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东城区-大厦-吴姐\"/>
    </mc:Choice>
  </mc:AlternateContent>
  <xr:revisionPtr revIDLastSave="0" documentId="13_ncr:1_{B67FD5C1-6DB3-41E0-8B52-03766D37ECBD}"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汇总）" sheetId="70" r:id="rId22"/>
    <sheet name="收益法" sheetId="15" r:id="rId23"/>
    <sheet name="收益法 (元)" sheetId="67" state="hidden" r:id="rId24"/>
    <sheet name="收益法-酒店模型" sheetId="77"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成本法" sheetId="68" state="hidden" r:id="rId41"/>
    <sheet name="收益法办" sheetId="88" r:id="rId42"/>
    <sheet name="中海金融中心" sheetId="85" r:id="rId43"/>
    <sheet name="丽金智地中心" sheetId="86" r:id="rId44"/>
    <sheet name="中海国际中心" sheetId="87" r:id="rId45"/>
    <sheet name="地价-分区" sheetId="79"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0"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1">'收益法（汇总）'!$A$1:$F$13</definedName>
    <definedName name="_xlnm.Print_Area" localSheetId="41">收益法办!$A$1:$F$43,收益法办!$H$3:$M$29,收益法办!$A$46:$F$71,收益法办!$I$46:$N$65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F20" i="6" l="1"/>
  <c r="K13" i="3"/>
  <c r="Q72" i="88"/>
  <c r="Q59" i="88"/>
  <c r="K59" i="88"/>
  <c r="P74" i="88" s="1"/>
  <c r="F59" i="88"/>
  <c r="Q58" i="88"/>
  <c r="Q51" i="88"/>
  <c r="J50" i="88"/>
  <c r="J49" i="88"/>
  <c r="M47" i="88"/>
  <c r="D46" i="88"/>
  <c r="F34" i="88"/>
  <c r="F62" i="88" s="1"/>
  <c r="F33" i="88"/>
  <c r="F61" i="88" s="1"/>
  <c r="F32" i="88"/>
  <c r="F60" i="88" s="1"/>
  <c r="F31" i="88"/>
  <c r="F28" i="88"/>
  <c r="C28" i="88"/>
  <c r="F23" i="88"/>
  <c r="D24" i="88" s="1"/>
  <c r="D23" i="88"/>
  <c r="D22" i="88"/>
  <c r="F21" i="88"/>
  <c r="M20" i="88"/>
  <c r="F20" i="88"/>
  <c r="M19" i="88"/>
  <c r="M18" i="88"/>
  <c r="F18" i="88"/>
  <c r="M17" i="88"/>
  <c r="F17" i="88"/>
  <c r="F15" i="88"/>
  <c r="G1" i="88"/>
  <c r="Y7" i="1"/>
  <c r="N14" i="1"/>
  <c r="N7" i="1"/>
  <c r="N8" i="1" s="1"/>
  <c r="L14" i="1"/>
  <c r="L7" i="1"/>
  <c r="L8" i="1" s="1"/>
  <c r="F19" i="6"/>
  <c r="M24" i="88"/>
  <c r="F8" i="88"/>
  <c r="C76" i="88"/>
  <c r="J51" i="88" l="1"/>
  <c r="Q71" i="88"/>
  <c r="F51" i="88"/>
  <c r="P61" i="88"/>
  <c r="L47" i="88"/>
  <c r="F38" i="88"/>
  <c r="L48" i="88"/>
  <c r="M27" i="88"/>
  <c r="M6" i="88"/>
  <c r="M23" i="88"/>
  <c r="F13" i="88"/>
  <c r="F6" i="88"/>
  <c r="F16" i="88"/>
  <c r="M8" i="88"/>
  <c r="M28" i="88"/>
  <c r="F42" i="88"/>
  <c r="F37" i="88"/>
  <c r="F26" i="88"/>
  <c r="J15" i="88"/>
  <c r="M9" i="88"/>
  <c r="F9" i="88"/>
  <c r="F40" i="88"/>
  <c r="M22" i="88"/>
  <c r="F36" i="88"/>
  <c r="M26" i="88"/>
  <c r="F65" i="88" l="1"/>
  <c r="L57" i="88"/>
  <c r="L56" i="88"/>
  <c r="L60" i="88"/>
  <c r="J57" i="88"/>
  <c r="J55" i="88" s="1"/>
  <c r="J58" i="88" s="1"/>
  <c r="Q50" i="88" s="1"/>
  <c r="J53" i="88"/>
  <c r="I54" i="88"/>
  <c r="F64" i="88"/>
  <c r="F68" i="88"/>
  <c r="F66" i="88"/>
  <c r="C27" i="88"/>
  <c r="N59" i="88"/>
  <c r="L58" i="88"/>
  <c r="M59" i="88"/>
  <c r="L59" i="88"/>
  <c r="Q61" i="88" l="1"/>
  <c r="Q74" i="88"/>
  <c r="Q57" i="88"/>
  <c r="Q66" i="88"/>
  <c r="Q73" i="88"/>
  <c r="Q60" i="88"/>
  <c r="F1" i="88"/>
  <c r="Q52" i="88"/>
  <c r="AT13" i="3" l="1"/>
  <c r="E67" i="34"/>
  <c r="F67" i="34" s="1"/>
  <c r="D67" i="34"/>
  <c r="N83" i="87"/>
  <c r="O83" i="87" s="1"/>
  <c r="M83" i="87"/>
  <c r="N141" i="86"/>
  <c r="M141" i="86"/>
  <c r="L141" i="86"/>
  <c r="M42" i="85"/>
  <c r="N42" i="85" s="1"/>
  <c r="L42" i="85"/>
  <c r="N19" i="1" l="1"/>
  <c r="B21" i="1" l="1"/>
  <c r="C29" i="34" l="1"/>
  <c r="J49" i="15" l="1"/>
  <c r="D40" i="43" l="1"/>
  <c r="D42" i="43"/>
  <c r="N21" i="1" l="1"/>
  <c r="C37" i="34" s="1"/>
  <c r="G14" i="73" l="1"/>
  <c r="F14" i="73"/>
  <c r="E14" i="73"/>
  <c r="Y6" i="1"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N31" i="79"/>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E34" i="71"/>
  <c r="C30" i="71"/>
  <c r="D30" i="71" s="1"/>
  <c r="C38" i="71"/>
  <c r="D38" i="71" s="1"/>
  <c r="X38" i="71"/>
  <c r="B28" i="71"/>
  <c r="P28" i="71"/>
  <c r="E28" i="71" s="1"/>
  <c r="Q28" i="71"/>
  <c r="F28" i="71" s="1"/>
  <c r="F27" i="71" s="1"/>
  <c r="F26" i="71" s="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J13" i="40" s="1"/>
  <c r="AC13" i="40" s="1"/>
  <c r="B77" i="40"/>
  <c r="F12" i="40" s="1"/>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H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E71" i="37" s="1"/>
  <c r="F71" i="37" s="1"/>
  <c r="G71" i="37" s="1"/>
  <c r="H15" i="37"/>
  <c r="AB15" i="37" s="1"/>
  <c r="B68" i="37"/>
  <c r="B66" i="37"/>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B75" i="35"/>
  <c r="B73" i="35"/>
  <c r="J23" i="35" s="1"/>
  <c r="AC23" i="35" s="1"/>
  <c r="B57" i="35"/>
  <c r="H11" i="35" s="1"/>
  <c r="AB11" i="35" s="1"/>
  <c r="B61" i="35"/>
  <c r="F13" i="35" s="1"/>
  <c r="B59" i="35"/>
  <c r="F12" i="35" s="1"/>
  <c r="B131" i="34"/>
  <c r="B129" i="34"/>
  <c r="B127" i="34"/>
  <c r="B99" i="34"/>
  <c r="F32" i="34" s="1"/>
  <c r="AA32" i="34" s="1"/>
  <c r="B97" i="34"/>
  <c r="F31" i="34" s="1"/>
  <c r="S31" i="34" s="1"/>
  <c r="B95" i="34"/>
  <c r="B93" i="34"/>
  <c r="H29" i="34" s="1"/>
  <c r="AB29" i="34" s="1"/>
  <c r="B75" i="34"/>
  <c r="F14" i="34" s="1"/>
  <c r="AA14" i="34" s="1"/>
  <c r="B73" i="34"/>
  <c r="B71" i="34"/>
  <c r="F12" i="34" s="1"/>
  <c r="S12" i="34" s="1"/>
  <c r="B130" i="33"/>
  <c r="B128" i="33"/>
  <c r="H45" i="33" s="1"/>
  <c r="U45" i="33" s="1"/>
  <c r="B126" i="33"/>
  <c r="H44" i="33" s="1"/>
  <c r="B98" i="33"/>
  <c r="B96" i="33"/>
  <c r="B94" i="33"/>
  <c r="H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s="1"/>
  <c r="H32" i="35"/>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H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A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97" i="43" s="1"/>
  <c r="C21" i="20"/>
  <c r="B99" i="43" s="1"/>
  <c r="C20" i="20"/>
  <c r="B101"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B92" i="21"/>
  <c r="H28" i="21" s="1"/>
  <c r="AB28" i="21" s="1"/>
  <c r="B90" i="21"/>
  <c r="J27" i="21"/>
  <c r="W27" i="21" s="1"/>
  <c r="B74" i="21"/>
  <c r="B72" i="21"/>
  <c r="F13" i="21" s="1"/>
  <c r="AA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Q35" i="21"/>
  <c r="Z35" i="21" s="1"/>
  <c r="Q36" i="21"/>
  <c r="Z36" i="21" s="1"/>
  <c r="Q37" i="21"/>
  <c r="Z37" i="21" s="1"/>
  <c r="J38" i="21"/>
  <c r="W38" i="21"/>
  <c r="Q38" i="21"/>
  <c r="Z38" i="21" s="1"/>
  <c r="J39" i="2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F35" i="39"/>
  <c r="U30" i="37"/>
  <c r="F29" i="36"/>
  <c r="AA29" i="36" s="1"/>
  <c r="F16" i="36"/>
  <c r="H22" i="35"/>
  <c r="AB22" i="35" s="1"/>
  <c r="AC27" i="35"/>
  <c r="W22" i="35"/>
  <c r="U34" i="35"/>
  <c r="F36" i="34"/>
  <c r="AA36" i="34" s="1"/>
  <c r="J35" i="34"/>
  <c r="AC35" i="34" s="1"/>
  <c r="H39" i="33"/>
  <c r="AB39" i="33" s="1"/>
  <c r="U33" i="33"/>
  <c r="H39" i="37"/>
  <c r="F11" i="40"/>
  <c r="AA11" i="40" s="1"/>
  <c r="H11" i="40"/>
  <c r="AB11" i="40" s="1"/>
  <c r="F42" i="39"/>
  <c r="F41" i="39"/>
  <c r="S41" i="39" s="1"/>
  <c r="H40" i="39"/>
  <c r="AB40" i="39" s="1"/>
  <c r="H39" i="39"/>
  <c r="U39" i="39" s="1"/>
  <c r="H34" i="39"/>
  <c r="U34" i="39" s="1"/>
  <c r="F31" i="39"/>
  <c r="AA31" i="39" s="1"/>
  <c r="H19" i="39"/>
  <c r="AB19" i="39" s="1"/>
  <c r="F19" i="39"/>
  <c r="AA19" i="39" s="1"/>
  <c r="H17" i="39"/>
  <c r="AB17" i="39" s="1"/>
  <c r="F17" i="39"/>
  <c r="AA17" i="39" s="1"/>
  <c r="J23" i="40"/>
  <c r="AC23" i="40"/>
  <c r="F21" i="40"/>
  <c r="AA21" i="40" s="1"/>
  <c r="J21" i="40"/>
  <c r="W21" i="40" s="1"/>
  <c r="H42" i="39"/>
  <c r="J34" i="39"/>
  <c r="AC34" i="39" s="1"/>
  <c r="J31" i="39"/>
  <c r="H27" i="39"/>
  <c r="U27" i="39" s="1"/>
  <c r="J19" i="39"/>
  <c r="AC19" i="39" s="1"/>
  <c r="J17" i="39"/>
  <c r="J27" i="39"/>
  <c r="AC27" i="39" s="1"/>
  <c r="F27" i="39"/>
  <c r="S27" i="39" s="1"/>
  <c r="F11" i="21"/>
  <c r="S11" i="21" s="1"/>
  <c r="S40" i="2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J30" i="35"/>
  <c r="W30" i="35" s="1"/>
  <c r="H30" i="35"/>
  <c r="AB30" i="35" s="1"/>
  <c r="F22" i="35"/>
  <c r="AA22" i="35" s="1"/>
  <c r="H10" i="35"/>
  <c r="U10" i="35" s="1"/>
  <c r="W30" i="36"/>
  <c r="H16" i="36"/>
  <c r="AB16" i="36" s="1"/>
  <c r="J29" i="36"/>
  <c r="AC29" i="36" s="1"/>
  <c r="F14" i="35"/>
  <c r="J32" i="35"/>
  <c r="AC32" i="35" s="1"/>
  <c r="J16" i="35"/>
  <c r="AC16" i="35" s="1"/>
  <c r="H16" i="35"/>
  <c r="F16" i="35"/>
  <c r="S16" i="35" s="1"/>
  <c r="H14" i="35"/>
  <c r="U14" i="35" s="1"/>
  <c r="J29" i="35"/>
  <c r="AC29" i="35" s="1"/>
  <c r="H33" i="35"/>
  <c r="J20" i="35"/>
  <c r="AC20" i="35" s="1"/>
  <c r="F35" i="37"/>
  <c r="J34" i="37"/>
  <c r="W34" i="37" s="1"/>
  <c r="AB34" i="37"/>
  <c r="J33" i="37"/>
  <c r="AC33" i="37" s="1"/>
  <c r="U42" i="34"/>
  <c r="E114" i="34"/>
  <c r="F114" i="34" s="1"/>
  <c r="G114" i="34" s="1"/>
  <c r="H114" i="34" s="1"/>
  <c r="I114" i="34" s="1"/>
  <c r="J114" i="34" s="1"/>
  <c r="K114" i="34" s="1"/>
  <c r="L114" i="34" s="1"/>
  <c r="M114" i="34" s="1"/>
  <c r="H36" i="34"/>
  <c r="U36" i="34" s="1"/>
  <c r="F28" i="34"/>
  <c r="J28" i="34"/>
  <c r="F41" i="33"/>
  <c r="AA41" i="33"/>
  <c r="E113" i="33"/>
  <c r="F113" i="33" s="1"/>
  <c r="G113" i="33" s="1"/>
  <c r="H113" i="33" s="1"/>
  <c r="I113" i="33" s="1"/>
  <c r="J113" i="33" s="1"/>
  <c r="K113" i="33" s="1"/>
  <c r="L113" i="33" s="1"/>
  <c r="M113" i="33" s="1"/>
  <c r="F32" i="33"/>
  <c r="AA32" i="33"/>
  <c r="J19" i="33"/>
  <c r="AC19" i="33" s="1"/>
  <c r="J15" i="33"/>
  <c r="AC15" i="33" s="1"/>
  <c r="F11" i="33"/>
  <c r="AA11" i="33" s="1"/>
  <c r="F37" i="40"/>
  <c r="AA37" i="40" s="1"/>
  <c r="F36" i="40"/>
  <c r="AA36" i="40" s="1"/>
  <c r="H28" i="40"/>
  <c r="U28" i="40" s="1"/>
  <c r="F23" i="40"/>
  <c r="AA23" i="40" s="1"/>
  <c r="F17" i="40"/>
  <c r="J17" i="40"/>
  <c r="W17" i="40" s="1"/>
  <c r="F15" i="40"/>
  <c r="S15" i="40" s="1"/>
  <c r="H15" i="40"/>
  <c r="AB15" i="40"/>
  <c r="F29" i="35"/>
  <c r="H29" i="35"/>
  <c r="H33" i="37"/>
  <c r="F33" i="37"/>
  <c r="AA33" i="37" s="1"/>
  <c r="U34" i="37"/>
  <c r="S34" i="37"/>
  <c r="AA34" i="37"/>
  <c r="J40" i="34"/>
  <c r="AC40" i="34" s="1"/>
  <c r="H38" i="34"/>
  <c r="AB38" i="34" s="1"/>
  <c r="J36" i="34"/>
  <c r="W36" i="34" s="1"/>
  <c r="F17" i="34"/>
  <c r="S41" i="33"/>
  <c r="H37" i="33"/>
  <c r="AB37" i="33" s="1"/>
  <c r="H15" i="33"/>
  <c r="AB15" i="33" s="1"/>
  <c r="H11" i="33"/>
  <c r="F28" i="40"/>
  <c r="AA28" i="40" s="1"/>
  <c r="J11" i="33"/>
  <c r="W11" i="33" s="1"/>
  <c r="J42" i="21"/>
  <c r="AC42" i="21" s="1"/>
  <c r="H42" i="21"/>
  <c r="U42" i="21" s="1"/>
  <c r="F44" i="34"/>
  <c r="AA44" i="34" s="1"/>
  <c r="J10" i="35"/>
  <c r="AC10" i="35" s="1"/>
  <c r="H14" i="21"/>
  <c r="U14" i="21" s="1"/>
  <c r="J28" i="21"/>
  <c r="J44" i="21"/>
  <c r="AC44"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J29" i="33"/>
  <c r="F29" i="33"/>
  <c r="S29" i="33" s="1"/>
  <c r="J45" i="33"/>
  <c r="W45" i="33" s="1"/>
  <c r="F45" i="33"/>
  <c r="J14" i="34"/>
  <c r="W14" i="34" s="1"/>
  <c r="H14" i="34"/>
  <c r="AB14" i="34" s="1"/>
  <c r="H32" i="34"/>
  <c r="U32" i="34" s="1"/>
  <c r="J32" i="34"/>
  <c r="W32" i="34" s="1"/>
  <c r="F11" i="35"/>
  <c r="J26" i="36"/>
  <c r="W26" i="36" s="1"/>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J40" i="37"/>
  <c r="F40" i="37"/>
  <c r="AA40" i="37" s="1"/>
  <c r="F14" i="33"/>
  <c r="S14" i="33" s="1"/>
  <c r="J44" i="33"/>
  <c r="F46" i="33"/>
  <c r="H13" i="34"/>
  <c r="U13" i="34" s="1"/>
  <c r="J29" i="34"/>
  <c r="AC29" i="34" s="1"/>
  <c r="F29" i="34"/>
  <c r="S29" i="34" s="1"/>
  <c r="J31" i="34"/>
  <c r="F35" i="35"/>
  <c r="AA35" i="35" s="1"/>
  <c r="J25" i="36"/>
  <c r="W25" i="36" s="1"/>
  <c r="F25" i="36"/>
  <c r="S25" i="36" s="1"/>
  <c r="H13" i="37"/>
  <c r="F13" i="37"/>
  <c r="S13" i="37" s="1"/>
  <c r="J13" i="37"/>
  <c r="W13" i="37" s="1"/>
  <c r="H28" i="37"/>
  <c r="F14" i="39"/>
  <c r="S14" i="39" s="1"/>
  <c r="H14" i="39"/>
  <c r="AB14" i="39" s="1"/>
  <c r="S12" i="40"/>
  <c r="H12" i="40"/>
  <c r="AB12" i="40" s="1"/>
  <c r="H30" i="40"/>
  <c r="AB30" i="40" s="1"/>
  <c r="F33" i="40"/>
  <c r="J35" i="40"/>
  <c r="AC35" i="40" s="1"/>
  <c r="J37" i="40"/>
  <c r="AC37" i="40" s="1"/>
  <c r="H13" i="40"/>
  <c r="F13" i="40"/>
  <c r="F13" i="39"/>
  <c r="AA13" i="39" s="1"/>
  <c r="H14" i="40"/>
  <c r="AB14" i="40" s="1"/>
  <c r="J14" i="40"/>
  <c r="W14" i="40" s="1"/>
  <c r="F14" i="40"/>
  <c r="J36" i="37"/>
  <c r="AC36" i="37" s="1"/>
  <c r="J10" i="36"/>
  <c r="AC10" i="36" s="1"/>
  <c r="AB26" i="33"/>
  <c r="AB45" i="33"/>
  <c r="F17" i="21"/>
  <c r="AA17" i="21" s="1"/>
  <c r="H17" i="21"/>
  <c r="F15" i="21"/>
  <c r="S15" i="21" s="1"/>
  <c r="J41" i="39"/>
  <c r="W41" i="39" s="1"/>
  <c r="G504" i="3"/>
  <c r="G584" i="3"/>
  <c r="G568" i="3"/>
  <c r="G564" i="3"/>
  <c r="BL578" i="3"/>
  <c r="G533" i="3"/>
  <c r="G525" i="3"/>
  <c r="BA568" i="3"/>
  <c r="BA583" i="3"/>
  <c r="BA571" i="3"/>
  <c r="G573" i="3"/>
  <c r="G565" i="3"/>
  <c r="G563"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H32" i="40"/>
  <c r="AB32" i="40" s="1"/>
  <c r="J36" i="40"/>
  <c r="W36" i="40" s="1"/>
  <c r="H19" i="37"/>
  <c r="AB19" i="37" s="1"/>
  <c r="H42" i="33"/>
  <c r="J43" i="33"/>
  <c r="W43" i="33" s="1"/>
  <c r="S28" i="31"/>
  <c r="S27" i="31"/>
  <c r="S26" i="31"/>
  <c r="U14" i="40"/>
  <c r="W23" i="35"/>
  <c r="U19" i="21"/>
  <c r="AB38" i="21"/>
  <c r="F43" i="33"/>
  <c r="AA43" i="33" s="1"/>
  <c r="H37" i="21"/>
  <c r="U37" i="21" s="1"/>
  <c r="S42" i="21"/>
  <c r="J9" i="37"/>
  <c r="W9" i="37" s="1"/>
  <c r="F9" i="37"/>
  <c r="S9" i="37" s="1"/>
  <c r="J12" i="37"/>
  <c r="F12" i="37"/>
  <c r="S12" i="37" s="1"/>
  <c r="F15" i="37"/>
  <c r="F31" i="37"/>
  <c r="S31" i="37" s="1"/>
  <c r="F12" i="39"/>
  <c r="J42" i="39"/>
  <c r="AC42" i="39" s="1"/>
  <c r="H21" i="40"/>
  <c r="G94" i="37"/>
  <c r="H94" i="37" s="1"/>
  <c r="I94" i="37" s="1"/>
  <c r="J94" i="37" s="1"/>
  <c r="K94" i="37" s="1"/>
  <c r="L94" i="37" s="1"/>
  <c r="M94" i="37" s="1"/>
  <c r="H31" i="37"/>
  <c r="U31" i="37" s="1"/>
  <c r="J15" i="37"/>
  <c r="AT6" i="3"/>
  <c r="H19" i="40"/>
  <c r="U19" i="40" s="1"/>
  <c r="F88" i="40"/>
  <c r="G88" i="40" s="1"/>
  <c r="F19" i="40"/>
  <c r="S19" i="40" s="1"/>
  <c r="W23" i="39"/>
  <c r="AB44" i="39"/>
  <c r="U44" i="39"/>
  <c r="H37" i="39"/>
  <c r="AB37" i="39" s="1"/>
  <c r="H25" i="39"/>
  <c r="AB25" i="39" s="1"/>
  <c r="J25" i="39"/>
  <c r="F25" i="39"/>
  <c r="AA25" i="39" s="1"/>
  <c r="F15" i="39"/>
  <c r="AA15" i="39" s="1"/>
  <c r="H15" i="39"/>
  <c r="U15" i="39" s="1"/>
  <c r="J15" i="39"/>
  <c r="W15" i="39" s="1"/>
  <c r="H41" i="39"/>
  <c r="AB41" i="39" s="1"/>
  <c r="AB34" i="39"/>
  <c r="U40" i="39"/>
  <c r="AA41" i="39"/>
  <c r="W8" i="39"/>
  <c r="J19" i="40"/>
  <c r="J50" i="40"/>
  <c r="H103" i="9"/>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BL380" i="3"/>
  <c r="AZ380" i="3" s="1"/>
  <c r="G381" i="3"/>
  <c r="BA383" i="3"/>
  <c r="BL384" i="3"/>
  <c r="AZ384" i="3" s="1"/>
  <c r="G385" i="3"/>
  <c r="BA387" i="3"/>
  <c r="BL388" i="3"/>
  <c r="G389" i="3"/>
  <c r="BA391" i="3"/>
  <c r="AZ391" i="3" s="1"/>
  <c r="BL392" i="3"/>
  <c r="G393" i="3"/>
  <c r="G548" i="3"/>
  <c r="G17" i="3"/>
  <c r="BA17" i="3"/>
  <c r="BA15" i="3"/>
  <c r="AZ392" i="3"/>
  <c r="U36" i="40"/>
  <c r="F83" i="43"/>
  <c r="H85" i="43" s="1"/>
  <c r="F50" i="43"/>
  <c r="H54" i="43" s="1"/>
  <c r="F72" i="43"/>
  <c r="H75" i="43" s="1"/>
  <c r="U17" i="39"/>
  <c r="U43" i="21"/>
  <c r="U12" i="40"/>
  <c r="AA12" i="40"/>
  <c r="J37" i="33"/>
  <c r="W37" i="33" s="1"/>
  <c r="J34" i="33"/>
  <c r="F33" i="34"/>
  <c r="S33" i="34" s="1"/>
  <c r="H20" i="36"/>
  <c r="U20" i="36" s="1"/>
  <c r="J20" i="36"/>
  <c r="W20" i="36" s="1"/>
  <c r="J27" i="36"/>
  <c r="W27" i="36" s="1"/>
  <c r="F111" i="40"/>
  <c r="G111" i="40" s="1"/>
  <c r="H111" i="40" s="1"/>
  <c r="I111" i="40" s="1"/>
  <c r="J111" i="40" s="1"/>
  <c r="K111" i="40" s="1"/>
  <c r="L111" i="40" s="1"/>
  <c r="M111" i="40" s="1"/>
  <c r="H35" i="40"/>
  <c r="W29" i="35"/>
  <c r="H35" i="37"/>
  <c r="U35" i="37" s="1"/>
  <c r="AC14" i="35"/>
  <c r="H20" i="35"/>
  <c r="U20" i="35" s="1"/>
  <c r="F20" i="35"/>
  <c r="U29" i="36"/>
  <c r="H32" i="37"/>
  <c r="F96" i="37"/>
  <c r="G96" i="37" s="1"/>
  <c r="H96" i="37" s="1"/>
  <c r="I96" i="37" s="1"/>
  <c r="J96" i="37" s="1"/>
  <c r="K96" i="37" s="1"/>
  <c r="L96" i="37" s="1"/>
  <c r="M96" i="37" s="1"/>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H44" i="34"/>
  <c r="U44" i="34" s="1"/>
  <c r="F39" i="39"/>
  <c r="S39" i="39" s="1"/>
  <c r="J39" i="39"/>
  <c r="AC39" i="39" s="1"/>
  <c r="C40" i="11"/>
  <c r="F23" i="39"/>
  <c r="H27" i="36"/>
  <c r="U27" i="36" s="1"/>
  <c r="F27" i="36"/>
  <c r="AA27" i="36" s="1"/>
  <c r="F32" i="37"/>
  <c r="AA32" i="37" s="1"/>
  <c r="F20" i="36"/>
  <c r="H23" i="39"/>
  <c r="U23" i="39" s="1"/>
  <c r="K9" i="1"/>
  <c r="M9" i="1" s="1"/>
  <c r="D93" i="9"/>
  <c r="W27" i="34"/>
  <c r="AC12" i="39"/>
  <c r="W12" i="39"/>
  <c r="S19" i="39"/>
  <c r="F12" i="33"/>
  <c r="H12" i="39"/>
  <c r="BA14" i="3"/>
  <c r="B12" i="1"/>
  <c r="E12" i="1" s="1"/>
  <c r="B10" i="1"/>
  <c r="E10" i="1" s="1"/>
  <c r="K12" i="1"/>
  <c r="M12" i="1" s="1"/>
  <c r="S13" i="1"/>
  <c r="AR13" i="1" s="1"/>
  <c r="R13" i="1"/>
  <c r="J51" i="67"/>
  <c r="B41" i="1"/>
  <c r="F48" i="9" s="1"/>
  <c r="O52" i="9" s="1"/>
  <c r="AB37" i="40"/>
  <c r="W38" i="40"/>
  <c r="S23" i="40"/>
  <c r="AC15" i="40"/>
  <c r="AA19" i="40"/>
  <c r="S28"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U13" i="36"/>
  <c r="U26" i="36"/>
  <c r="AC26" i="36"/>
  <c r="AA22" i="36"/>
  <c r="W14" i="36"/>
  <c r="AB14" i="36"/>
  <c r="U22" i="36"/>
  <c r="S24" i="36"/>
  <c r="U24" i="36"/>
  <c r="U23" i="36"/>
  <c r="AB20" i="36"/>
  <c r="S14" i="36"/>
  <c r="U28" i="35"/>
  <c r="AB27" i="35"/>
  <c r="AC30" i="35"/>
  <c r="S32" i="35"/>
  <c r="S28" i="35"/>
  <c r="U22" i="35"/>
  <c r="S22" i="35"/>
  <c r="H9" i="35"/>
  <c r="U9" i="35" s="1"/>
  <c r="AC29" i="37"/>
  <c r="U29" i="37"/>
  <c r="AB31" i="37"/>
  <c r="S36" i="37"/>
  <c r="W39" i="37"/>
  <c r="J17" i="37"/>
  <c r="W17" i="37" s="1"/>
  <c r="G73" i="37"/>
  <c r="F17" i="37"/>
  <c r="AA17" i="37" s="1"/>
  <c r="AB17" i="37"/>
  <c r="F75" i="37"/>
  <c r="F19" i="37"/>
  <c r="S19" i="37" s="1"/>
  <c r="F79" i="37"/>
  <c r="F23" i="37"/>
  <c r="U15" i="37"/>
  <c r="AC13" i="37"/>
  <c r="AA13" i="37"/>
  <c r="H10" i="37"/>
  <c r="AB10" i="37" s="1"/>
  <c r="F63" i="37"/>
  <c r="G63" i="37" s="1"/>
  <c r="H63" i="37" s="1"/>
  <c r="I63" i="37" s="1"/>
  <c r="F11" i="37"/>
  <c r="S11" i="37" s="1"/>
  <c r="H10" i="34"/>
  <c r="AB10" i="34" s="1"/>
  <c r="F11" i="34"/>
  <c r="S11" i="34" s="1"/>
  <c r="F70" i="34"/>
  <c r="G70" i="34" s="1"/>
  <c r="H70" i="34" s="1"/>
  <c r="I70" i="34" s="1"/>
  <c r="J70" i="34" s="1"/>
  <c r="K70" i="34" s="1"/>
  <c r="L70" i="34" s="1"/>
  <c r="M70" i="34" s="1"/>
  <c r="S32" i="33"/>
  <c r="AA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H25" i="33"/>
  <c r="F25" i="33"/>
  <c r="S25" i="33" s="1"/>
  <c r="J23" i="33"/>
  <c r="AC23" i="33" s="1"/>
  <c r="F85" i="33"/>
  <c r="G85" i="33" s="1"/>
  <c r="H23" i="33"/>
  <c r="F81" i="33"/>
  <c r="G81" i="33" s="1"/>
  <c r="F19" i="33"/>
  <c r="S19" i="33" s="1"/>
  <c r="W19" i="33"/>
  <c r="J17" i="33"/>
  <c r="AC17" i="33" s="1"/>
  <c r="F79" i="33"/>
  <c r="G79" i="33" s="1"/>
  <c r="S15" i="33"/>
  <c r="J10" i="33"/>
  <c r="W10" i="33" s="1"/>
  <c r="H10" i="33"/>
  <c r="U10" i="33" s="1"/>
  <c r="AB14" i="33"/>
  <c r="W43" i="21"/>
  <c r="W36" i="21"/>
  <c r="W41" i="21"/>
  <c r="AA43" i="21"/>
  <c r="S39" i="21"/>
  <c r="AA36" i="21"/>
  <c r="AC40" i="21"/>
  <c r="J15" i="21"/>
  <c r="W15" i="21" s="1"/>
  <c r="F77" i="21"/>
  <c r="G77" i="21"/>
  <c r="F23" i="21"/>
  <c r="S23" i="21" s="1"/>
  <c r="E85" i="21"/>
  <c r="F85" i="21" s="1"/>
  <c r="G85" i="21" s="1"/>
  <c r="C18" i="9"/>
  <c r="D18" i="9" s="1"/>
  <c r="M20" i="67"/>
  <c r="BA13" i="3"/>
  <c r="BL17" i="3"/>
  <c r="J56" i="9"/>
  <c r="J57" i="9" s="1"/>
  <c r="J59" i="9" s="1"/>
  <c r="J61" i="9" s="1"/>
  <c r="A24" i="51"/>
  <c r="B18" i="72" s="1"/>
  <c r="E32" i="6"/>
  <c r="E19" i="69"/>
  <c r="E19" i="68"/>
  <c r="E19" i="11"/>
  <c r="G22" i="68"/>
  <c r="G26" i="12"/>
  <c r="C6" i="43"/>
  <c r="B19" i="53"/>
  <c r="B37" i="72" s="1"/>
  <c r="L20" i="6"/>
  <c r="K11" i="1"/>
  <c r="M11" i="1" s="1"/>
  <c r="O11" i="1" s="1"/>
  <c r="B9" i="1"/>
  <c r="E9" i="1" s="1"/>
  <c r="W23" i="40"/>
  <c r="U32" i="40"/>
  <c r="S37" i="40"/>
  <c r="AB28" i="40"/>
  <c r="W28" i="40"/>
  <c r="S36" i="40"/>
  <c r="W37" i="40"/>
  <c r="AC14" i="40"/>
  <c r="AA15" i="40"/>
  <c r="U11" i="40"/>
  <c r="U15" i="40"/>
  <c r="AB17" i="40"/>
  <c r="U8" i="40"/>
  <c r="AA39" i="39"/>
  <c r="AC41" i="39"/>
  <c r="U41" i="39"/>
  <c r="W25" i="39"/>
  <c r="AC25" i="39"/>
  <c r="AA14" i="39"/>
  <c r="U11" i="39"/>
  <c r="AA27" i="39"/>
  <c r="W17" i="39"/>
  <c r="AC17" i="39"/>
  <c r="W31" i="39"/>
  <c r="AC31" i="39"/>
  <c r="AB39" i="39"/>
  <c r="W34" i="39"/>
  <c r="U38" i="39"/>
  <c r="S8" i="39"/>
  <c r="AC25" i="36"/>
  <c r="W29" i="36"/>
  <c r="AC20" i="36"/>
  <c r="W9" i="36"/>
  <c r="W22" i="36"/>
  <c r="W23" i="36"/>
  <c r="U24" i="35"/>
  <c r="S35" i="35"/>
  <c r="W35" i="35"/>
  <c r="W36" i="37"/>
  <c r="S28" i="37"/>
  <c r="W32" i="37"/>
  <c r="S40" i="37"/>
  <c r="AB37" i="37"/>
  <c r="AC34" i="37"/>
  <c r="U19" i="37"/>
  <c r="AA29" i="37"/>
  <c r="U8" i="37"/>
  <c r="AA31" i="34"/>
  <c r="AA8" i="34"/>
  <c r="S8" i="34"/>
  <c r="AC37" i="33"/>
  <c r="U39" i="33"/>
  <c r="U38" i="33"/>
  <c r="S33" i="33"/>
  <c r="AB34" i="33"/>
  <c r="U44" i="33"/>
  <c r="AB44" i="33"/>
  <c r="U15" i="33"/>
  <c r="S11" i="33"/>
  <c r="U37" i="33"/>
  <c r="S28" i="33"/>
  <c r="W8" i="33"/>
  <c r="S44" i="21"/>
  <c r="AB42" i="21"/>
  <c r="I101" i="21"/>
  <c r="J101" i="21" s="1"/>
  <c r="K101" i="21" s="1"/>
  <c r="L101" i="21" s="1"/>
  <c r="M101" i="21" s="1"/>
  <c r="F33" i="21"/>
  <c r="AA33" i="21" s="1"/>
  <c r="J33" i="21"/>
  <c r="AC33" i="21" s="1"/>
  <c r="H33" i="21"/>
  <c r="AB33" i="21" s="1"/>
  <c r="F37" i="21"/>
  <c r="AA37" i="21" s="1"/>
  <c r="AA26" i="21"/>
  <c r="AB14" i="21"/>
  <c r="AC15" i="21"/>
  <c r="S35" i="21"/>
  <c r="J37" i="21"/>
  <c r="W37" i="21" s="1"/>
  <c r="H15" i="21"/>
  <c r="U15" i="21" s="1"/>
  <c r="J17" i="21"/>
  <c r="AC17" i="21" s="1"/>
  <c r="AC19" i="21"/>
  <c r="H45" i="21"/>
  <c r="U45" i="21" s="1"/>
  <c r="F29" i="21"/>
  <c r="AA29" i="21" s="1"/>
  <c r="AC38" i="21"/>
  <c r="H32" i="21"/>
  <c r="AB32" i="21" s="1"/>
  <c r="H9" i="21"/>
  <c r="U9" i="21" s="1"/>
  <c r="J32" i="21"/>
  <c r="W32" i="21" s="1"/>
  <c r="F32" i="21"/>
  <c r="AA31" i="21"/>
  <c r="S19" i="21"/>
  <c r="K141" i="21"/>
  <c r="K144" i="21"/>
  <c r="K143" i="21"/>
  <c r="U27" i="21"/>
  <c r="F10" i="21"/>
  <c r="AA10" i="21" s="1"/>
  <c r="K145" i="21"/>
  <c r="W25" i="21"/>
  <c r="S27" i="21"/>
  <c r="S17" i="21"/>
  <c r="AA15" i="21"/>
  <c r="AC27" i="21"/>
  <c r="AC26" i="21"/>
  <c r="AC34" i="21"/>
  <c r="AB36" i="21"/>
  <c r="W30" i="40"/>
  <c r="C17" i="40"/>
  <c r="C23" i="40"/>
  <c r="C21" i="40"/>
  <c r="U30" i="40"/>
  <c r="B56" i="43"/>
  <c r="B67" i="43"/>
  <c r="B51" i="43"/>
  <c r="B54"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G87" i="33"/>
  <c r="H87" i="33" s="1"/>
  <c r="I87" i="33" s="1"/>
  <c r="J87" i="33" s="1"/>
  <c r="K87" i="33" s="1"/>
  <c r="L87" i="33" s="1"/>
  <c r="M87" i="33" s="1"/>
  <c r="J25" i="33"/>
  <c r="AB23" i="33"/>
  <c r="U23" i="33"/>
  <c r="F23" i="33"/>
  <c r="H19" i="33"/>
  <c r="U19" i="33" s="1"/>
  <c r="H17" i="33"/>
  <c r="U17" i="33" s="1"/>
  <c r="F17" i="33"/>
  <c r="S17" i="33" s="1"/>
  <c r="W17" i="33"/>
  <c r="S37" i="21"/>
  <c r="AA23" i="21"/>
  <c r="J23" i="21"/>
  <c r="H23" i="21"/>
  <c r="U23" i="21" s="1"/>
  <c r="AP7" i="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5" i="73"/>
  <c r="B12" i="76"/>
  <c r="E13" i="76"/>
  <c r="E7" i="76"/>
  <c r="B8" i="76"/>
  <c r="B9" i="76"/>
  <c r="E2" i="69"/>
  <c r="B7" i="76"/>
  <c r="B11" i="76"/>
  <c r="E2" i="68"/>
  <c r="F3" i="73"/>
  <c r="E11" i="76"/>
  <c r="F4" i="73"/>
  <c r="F6" i="73"/>
  <c r="F20" i="31"/>
  <c r="AO13" i="1"/>
  <c r="B13" i="76"/>
  <c r="F7" i="73"/>
  <c r="E8" i="76"/>
  <c r="E9" i="76"/>
  <c r="E12" i="76"/>
  <c r="D6" i="73"/>
  <c r="B10" i="76"/>
  <c r="F25" i="34" l="1"/>
  <c r="S25" i="34" s="1"/>
  <c r="H30" i="21"/>
  <c r="J30" i="21"/>
  <c r="B94" i="43"/>
  <c r="B62" i="43"/>
  <c r="F9" i="21"/>
  <c r="J9" i="21"/>
  <c r="AC8" i="40"/>
  <c r="W8" i="40"/>
  <c r="BL575" i="3"/>
  <c r="BA575" i="3"/>
  <c r="BH5" i="3"/>
  <c r="D8" i="53"/>
  <c r="D120" i="9"/>
  <c r="W12" i="37"/>
  <c r="AC12" i="37"/>
  <c r="AA46" i="33"/>
  <c r="S46" i="33"/>
  <c r="S11" i="35"/>
  <c r="AA11" i="35"/>
  <c r="S35" i="37"/>
  <c r="AA35" i="37"/>
  <c r="AB34" i="21"/>
  <c r="U34" i="21"/>
  <c r="E124" i="34"/>
  <c r="F124" i="34" s="1"/>
  <c r="J43" i="34"/>
  <c r="AC43" i="34" s="1"/>
  <c r="BA570" i="3"/>
  <c r="BA543" i="3"/>
  <c r="BA540" i="3"/>
  <c r="BA535" i="3"/>
  <c r="BA528" i="3"/>
  <c r="BT5" i="3"/>
  <c r="BA496" i="3"/>
  <c r="S23" i="39"/>
  <c r="AA23" i="39"/>
  <c r="AC38" i="39"/>
  <c r="AA20" i="35"/>
  <c r="S20" i="35"/>
  <c r="U25" i="21"/>
  <c r="AB25" i="21"/>
  <c r="W13" i="40"/>
  <c r="U40" i="37"/>
  <c r="AB40" i="37"/>
  <c r="AA14" i="35"/>
  <c r="S14" i="35"/>
  <c r="AB40" i="33"/>
  <c r="U40" i="33"/>
  <c r="J9" i="35"/>
  <c r="F9" i="35"/>
  <c r="S9" i="35" s="1"/>
  <c r="J13" i="33"/>
  <c r="F13" i="33"/>
  <c r="J31" i="33"/>
  <c r="H31" i="33"/>
  <c r="F31" i="33"/>
  <c r="J30" i="34"/>
  <c r="H30" i="34"/>
  <c r="H46" i="34"/>
  <c r="F46" i="34"/>
  <c r="J46" i="34"/>
  <c r="AC46" i="34" s="1"/>
  <c r="AA23" i="36"/>
  <c r="S23" i="36"/>
  <c r="H34" i="36"/>
  <c r="J34" i="36"/>
  <c r="W34" i="36" s="1"/>
  <c r="F34" i="36"/>
  <c r="AB13" i="39"/>
  <c r="U13" i="39"/>
  <c r="J33" i="40"/>
  <c r="H33" i="40"/>
  <c r="J39" i="40"/>
  <c r="F39" i="40"/>
  <c r="AA39" i="40" s="1"/>
  <c r="AB31" i="35"/>
  <c r="U31" i="35"/>
  <c r="AB30" i="36"/>
  <c r="U30" i="36"/>
  <c r="S38" i="21"/>
  <c r="AA38" i="21"/>
  <c r="BA587" i="3"/>
  <c r="BA578" i="3"/>
  <c r="BL522" i="3"/>
  <c r="BL520" i="3"/>
  <c r="AZ520" i="3" s="1"/>
  <c r="BA517" i="3"/>
  <c r="BA504" i="3"/>
  <c r="BL502" i="3"/>
  <c r="BA499" i="3"/>
  <c r="BG5" i="3"/>
  <c r="AA20" i="36"/>
  <c r="S20" i="36"/>
  <c r="AA25" i="33"/>
  <c r="W15" i="33"/>
  <c r="AA34" i="33"/>
  <c r="AB35" i="40"/>
  <c r="U35" i="40"/>
  <c r="AB21" i="40"/>
  <c r="U21" i="40"/>
  <c r="AA15" i="37"/>
  <c r="S15" i="37"/>
  <c r="AB17" i="21"/>
  <c r="U17" i="21"/>
  <c r="AA33" i="40"/>
  <c r="S33" i="40"/>
  <c r="U16" i="35"/>
  <c r="AB16" i="35"/>
  <c r="AC39" i="33"/>
  <c r="W39" i="33"/>
  <c r="H12" i="36"/>
  <c r="U12" i="36" s="1"/>
  <c r="J12" i="36"/>
  <c r="AB25" i="36"/>
  <c r="U25" i="36"/>
  <c r="H39" i="40"/>
  <c r="AC12" i="40"/>
  <c r="W12" i="40"/>
  <c r="AC31" i="40"/>
  <c r="W31" i="40"/>
  <c r="BA569" i="3"/>
  <c r="BA566" i="3"/>
  <c r="BL549" i="3"/>
  <c r="J25" i="35"/>
  <c r="W25" i="35" s="1"/>
  <c r="H25" i="35"/>
  <c r="BL566" i="3"/>
  <c r="BA563" i="3"/>
  <c r="BA548" i="3"/>
  <c r="BL545" i="3"/>
  <c r="BL530" i="3"/>
  <c r="BA512" i="3"/>
  <c r="BA509" i="3"/>
  <c r="BP5" i="3"/>
  <c r="BI5" i="3"/>
  <c r="BD5" i="3"/>
  <c r="W17" i="21"/>
  <c r="AA25" i="36"/>
  <c r="S32" i="21"/>
  <c r="AA32" i="21"/>
  <c r="AB43" i="39"/>
  <c r="AB9" i="21"/>
  <c r="C15" i="40"/>
  <c r="AB39" i="21"/>
  <c r="S37" i="37"/>
  <c r="AC15" i="37"/>
  <c r="W15" i="37"/>
  <c r="AB42" i="33"/>
  <c r="U42" i="33"/>
  <c r="U31" i="40"/>
  <c r="AB31" i="40"/>
  <c r="BL569" i="3"/>
  <c r="F25" i="35"/>
  <c r="AB42" i="39"/>
  <c r="U42" i="39"/>
  <c r="AC39" i="21"/>
  <c r="W39" i="21"/>
  <c r="F45" i="21"/>
  <c r="AA45" i="21" s="1"/>
  <c r="J45" i="21"/>
  <c r="AC9" i="33"/>
  <c r="W9" i="33"/>
  <c r="U28" i="33"/>
  <c r="AB28" i="33"/>
  <c r="AB32" i="35"/>
  <c r="U32" i="35"/>
  <c r="J36" i="35"/>
  <c r="AC36" i="35" s="1"/>
  <c r="H36" i="35"/>
  <c r="AC31" i="37"/>
  <c r="W31" i="37"/>
  <c r="AC34" i="40"/>
  <c r="W34" i="40"/>
  <c r="AA19" i="33"/>
  <c r="U40" i="21"/>
  <c r="U28" i="21"/>
  <c r="U36" i="37"/>
  <c r="W30" i="37"/>
  <c r="U16" i="36"/>
  <c r="F40" i="34"/>
  <c r="S40" i="34" s="1"/>
  <c r="AZ379" i="3"/>
  <c r="AZ355" i="3"/>
  <c r="W27" i="39"/>
  <c r="BL567" i="3"/>
  <c r="W44" i="39"/>
  <c r="J28" i="37"/>
  <c r="H35" i="35"/>
  <c r="H40" i="34"/>
  <c r="U40" i="34" s="1"/>
  <c r="W20" i="35"/>
  <c r="AB14" i="35"/>
  <c r="S38" i="40"/>
  <c r="S31" i="35"/>
  <c r="F39" i="37"/>
  <c r="S39" i="37" s="1"/>
  <c r="H23" i="35"/>
  <c r="U23" i="35" s="1"/>
  <c r="AZ347" i="3"/>
  <c r="AZ175" i="3"/>
  <c r="AZ378" i="3"/>
  <c r="AZ341" i="3"/>
  <c r="BL527" i="3"/>
  <c r="BL577" i="3"/>
  <c r="BL557" i="3"/>
  <c r="AZ557" i="3" s="1"/>
  <c r="H44" i="21"/>
  <c r="F23" i="35"/>
  <c r="AB12" i="35"/>
  <c r="S34" i="40"/>
  <c r="H9" i="33"/>
  <c r="J12" i="35"/>
  <c r="G553" i="3"/>
  <c r="G555" i="3"/>
  <c r="G554" i="3"/>
  <c r="BL13" i="3"/>
  <c r="BL412" i="3"/>
  <c r="G413" i="3"/>
  <c r="G414" i="3"/>
  <c r="BA414" i="3"/>
  <c r="BA415" i="3"/>
  <c r="BA416" i="3"/>
  <c r="AZ416" i="3" s="1"/>
  <c r="G418" i="3"/>
  <c r="BA424" i="3"/>
  <c r="G432" i="3"/>
  <c r="G445" i="3"/>
  <c r="G449" i="3"/>
  <c r="G458" i="3"/>
  <c r="G462" i="3"/>
  <c r="BL465" i="3"/>
  <c r="G470" i="3"/>
  <c r="BL472" i="3"/>
  <c r="BL476" i="3"/>
  <c r="BL477" i="3"/>
  <c r="BL478" i="3"/>
  <c r="G479" i="3"/>
  <c r="G492" i="3"/>
  <c r="BA319" i="3"/>
  <c r="AZ319" i="3" s="1"/>
  <c r="BL350" i="3"/>
  <c r="G358" i="3"/>
  <c r="G374" i="3"/>
  <c r="BL208" i="3"/>
  <c r="BL211" i="3"/>
  <c r="G212" i="3"/>
  <c r="G213" i="3"/>
  <c r="BL213" i="3"/>
  <c r="G216" i="3"/>
  <c r="G217" i="3"/>
  <c r="G221" i="3"/>
  <c r="BL224" i="3"/>
  <c r="G226" i="3"/>
  <c r="G229" i="3"/>
  <c r="G238" i="3"/>
  <c r="BL242" i="3"/>
  <c r="G246" i="3"/>
  <c r="G250" i="3"/>
  <c r="G254" i="3"/>
  <c r="BA260" i="3"/>
  <c r="G263" i="3"/>
  <c r="G273" i="3"/>
  <c r="G276" i="3"/>
  <c r="G280" i="3"/>
  <c r="G284" i="3"/>
  <c r="G292" i="3"/>
  <c r="G123" i="3"/>
  <c r="G134" i="3"/>
  <c r="BL146" i="3"/>
  <c r="G163" i="3"/>
  <c r="G166" i="3"/>
  <c r="G170" i="3"/>
  <c r="BL173" i="3"/>
  <c r="BL175" i="3"/>
  <c r="G179" i="3"/>
  <c r="G195" i="3"/>
  <c r="G41" i="3"/>
  <c r="BA55" i="3"/>
  <c r="G59" i="3"/>
  <c r="BL65" i="3"/>
  <c r="BL66" i="3"/>
  <c r="BL76" i="3"/>
  <c r="BL99" i="3"/>
  <c r="G105" i="3"/>
  <c r="S18" i="36"/>
  <c r="U68" i="71"/>
  <c r="B27" i="71"/>
  <c r="B26" i="71" s="1"/>
  <c r="BL399" i="3"/>
  <c r="BA410" i="3"/>
  <c r="BA458" i="3"/>
  <c r="BA462" i="3"/>
  <c r="BA469" i="3"/>
  <c r="BA470" i="3"/>
  <c r="BL490" i="3"/>
  <c r="BA225" i="3"/>
  <c r="BL227" i="3"/>
  <c r="BA255" i="3"/>
  <c r="BL269" i="3"/>
  <c r="BL158" i="3"/>
  <c r="BA160" i="3"/>
  <c r="AZ160" i="3" s="1"/>
  <c r="BA168" i="3"/>
  <c r="AZ168" i="3" s="1"/>
  <c r="BL193" i="3"/>
  <c r="BA207" i="3"/>
  <c r="BL23" i="3"/>
  <c r="BL52" i="3"/>
  <c r="G65" i="3"/>
  <c r="BA72" i="3"/>
  <c r="BL96" i="3"/>
  <c r="BA97" i="3"/>
  <c r="G99" i="3"/>
  <c r="BA105" i="3"/>
  <c r="BL110" i="3"/>
  <c r="BL111" i="3"/>
  <c r="AA21" i="33"/>
  <c r="K10" i="1"/>
  <c r="M10" i="1" s="1"/>
  <c r="O10" i="1" s="1"/>
  <c r="P10" i="1" s="1"/>
  <c r="F6" i="1"/>
  <c r="BL419" i="3"/>
  <c r="G434" i="3"/>
  <c r="BA437" i="3"/>
  <c r="AZ437" i="3" s="1"/>
  <c r="BL437" i="3"/>
  <c r="G439" i="3"/>
  <c r="G440" i="3"/>
  <c r="BL443" i="3"/>
  <c r="BA454" i="3"/>
  <c r="G467" i="3"/>
  <c r="G471" i="3"/>
  <c r="G481" i="3"/>
  <c r="G490" i="3"/>
  <c r="BL359" i="3"/>
  <c r="AZ359" i="3" s="1"/>
  <c r="BL395" i="3"/>
  <c r="G396" i="3"/>
  <c r="G220" i="3"/>
  <c r="BL222" i="3"/>
  <c r="G223" i="3"/>
  <c r="G227" i="3"/>
  <c r="G231" i="3"/>
  <c r="G249" i="3"/>
  <c r="G253" i="3"/>
  <c r="BA257" i="3"/>
  <c r="BA259" i="3"/>
  <c r="AZ259" i="3" s="1"/>
  <c r="G261" i="3"/>
  <c r="G274" i="3"/>
  <c r="G279" i="3"/>
  <c r="G286" i="3"/>
  <c r="G287" i="3"/>
  <c r="BL289" i="3"/>
  <c r="G290" i="3"/>
  <c r="G291" i="3"/>
  <c r="BL293" i="3"/>
  <c r="BL294" i="3"/>
  <c r="BA297" i="3"/>
  <c r="AZ297" i="3" s="1"/>
  <c r="BL297" i="3"/>
  <c r="G128" i="3"/>
  <c r="G135" i="3"/>
  <c r="G144" i="3"/>
  <c r="G147" i="3"/>
  <c r="BL154" i="3"/>
  <c r="G156" i="3"/>
  <c r="BA157" i="3"/>
  <c r="G164" i="3"/>
  <c r="G172" i="3"/>
  <c r="G202" i="3"/>
  <c r="G31" i="3"/>
  <c r="G48" i="3"/>
  <c r="G56" i="3"/>
  <c r="BA70" i="3"/>
  <c r="G73" i="3"/>
  <c r="G95" i="3"/>
  <c r="G98" i="3"/>
  <c r="G102" i="3"/>
  <c r="S21" i="37"/>
  <c r="C29" i="39"/>
  <c r="D58" i="71"/>
  <c r="F79" i="71"/>
  <c r="F78" i="71" s="1"/>
  <c r="G13" i="3"/>
  <c r="W43" i="34"/>
  <c r="J25" i="34"/>
  <c r="H25" i="34"/>
  <c r="AB25" i="34" s="1"/>
  <c r="U39" i="34"/>
  <c r="AB36" i="34"/>
  <c r="AB35" i="34"/>
  <c r="AC14" i="34"/>
  <c r="AC42" i="34"/>
  <c r="AC36" i="34"/>
  <c r="U14" i="34"/>
  <c r="S14" i="34"/>
  <c r="F34" i="67"/>
  <c r="F62" i="67" s="1"/>
  <c r="F34" i="15"/>
  <c r="F62" i="15" s="1"/>
  <c r="BL14" i="3"/>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C14" i="3" s="1"/>
  <c r="AX14" i="3" s="1"/>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BL277" i="3"/>
  <c r="BA282" i="3"/>
  <c r="BL282" i="3"/>
  <c r="BL298" i="3"/>
  <c r="BL299" i="3"/>
  <c r="C60" i="71"/>
  <c r="D59" i="71"/>
  <c r="V72" i="71"/>
  <c r="F71" i="71"/>
  <c r="F70" i="71" s="1"/>
  <c r="BA398" i="3"/>
  <c r="BA399" i="3"/>
  <c r="AZ399" i="3" s="1"/>
  <c r="BA402" i="3"/>
  <c r="AZ402" i="3" s="1"/>
  <c r="BA406" i="3"/>
  <c r="AZ406" i="3" s="1"/>
  <c r="BL409" i="3"/>
  <c r="G411" i="3"/>
  <c r="BA413" i="3"/>
  <c r="G421" i="3"/>
  <c r="BA421" i="3"/>
  <c r="BA423" i="3"/>
  <c r="AZ423" i="3" s="1"/>
  <c r="BA431" i="3"/>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AZ308" i="3" s="1"/>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G392" i="3"/>
  <c r="BA395" i="3"/>
  <c r="AZ395" i="3" s="1"/>
  <c r="BA211" i="3"/>
  <c r="AZ211" i="3" s="1"/>
  <c r="BA214" i="3"/>
  <c r="G218" i="3"/>
  <c r="BA222" i="3"/>
  <c r="AZ222" i="3" s="1"/>
  <c r="G225" i="3"/>
  <c r="BA226" i="3"/>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AZ541" i="3" s="1"/>
  <c r="BA538" i="3"/>
  <c r="AZ538" i="3" s="1"/>
  <c r="BL537" i="3"/>
  <c r="BA537" i="3"/>
  <c r="BL536" i="3"/>
  <c r="BA536" i="3"/>
  <c r="BL534" i="3"/>
  <c r="BA534" i="3"/>
  <c r="BA533" i="3"/>
  <c r="AZ533" i="3" s="1"/>
  <c r="BL532" i="3"/>
  <c r="BA532" i="3"/>
  <c r="BA530" i="3"/>
  <c r="AZ530" i="3" s="1"/>
  <c r="BL529" i="3"/>
  <c r="BA529" i="3"/>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BA500" i="3"/>
  <c r="AZ500" i="3" s="1"/>
  <c r="BL499" i="3"/>
  <c r="AZ499" i="3" s="1"/>
  <c r="BL498" i="3"/>
  <c r="AZ498" i="3" s="1"/>
  <c r="BL497" i="3"/>
  <c r="BA497" i="3"/>
  <c r="BL496" i="3"/>
  <c r="AZ496" i="3" s="1"/>
  <c r="BK5" i="3"/>
  <c r="BA494" i="3"/>
  <c r="BC5" i="3"/>
  <c r="BO5" i="3"/>
  <c r="BJ5" i="3"/>
  <c r="BF5" i="3"/>
  <c r="BA493" i="3"/>
  <c r="AZ493" i="3" s="1"/>
  <c r="AA30" i="40"/>
  <c r="AZ306" i="3"/>
  <c r="AC45" i="33"/>
  <c r="F28" i="21"/>
  <c r="W28" i="34"/>
  <c r="AC28" i="34"/>
  <c r="S36" i="39"/>
  <c r="AA36" i="39"/>
  <c r="H29" i="21"/>
  <c r="J29" i="21"/>
  <c r="AC33" i="33"/>
  <c r="W33" i="33"/>
  <c r="AC8" i="34"/>
  <c r="W8" i="34"/>
  <c r="F38" i="37"/>
  <c r="J38" i="37"/>
  <c r="H38" i="37"/>
  <c r="J43" i="39"/>
  <c r="F43" i="39"/>
  <c r="J37" i="39"/>
  <c r="F37" i="39"/>
  <c r="W37" i="37"/>
  <c r="W44" i="21"/>
  <c r="S25" i="21"/>
  <c r="AA25" i="21"/>
  <c r="AZ515" i="3"/>
  <c r="AZ575" i="3"/>
  <c r="AZ508" i="3"/>
  <c r="AZ554" i="3"/>
  <c r="AZ502" i="3"/>
  <c r="AA14" i="33"/>
  <c r="AA42" i="39"/>
  <c r="S42" i="39"/>
  <c r="H36" i="39"/>
  <c r="J36" i="39"/>
  <c r="AC36" i="39" s="1"/>
  <c r="BA584" i="3"/>
  <c r="AZ584" i="3" s="1"/>
  <c r="BL582" i="3"/>
  <c r="AZ582" i="3" s="1"/>
  <c r="BL581" i="3"/>
  <c r="BA581" i="3"/>
  <c r="AZ581" i="3" s="1"/>
  <c r="BL580" i="3"/>
  <c r="BA580" i="3"/>
  <c r="BL579" i="3"/>
  <c r="AZ579" i="3" s="1"/>
  <c r="BA577" i="3"/>
  <c r="AZ577" i="3" s="1"/>
  <c r="BA576" i="3"/>
  <c r="AZ576" i="3" s="1"/>
  <c r="BL574" i="3"/>
  <c r="AZ574" i="3" s="1"/>
  <c r="BA573" i="3"/>
  <c r="BL572" i="3"/>
  <c r="BA572" i="3"/>
  <c r="BL571" i="3"/>
  <c r="AZ571" i="3" s="1"/>
  <c r="S43" i="33"/>
  <c r="S36" i="33"/>
  <c r="S17" i="37"/>
  <c r="AA40" i="34"/>
  <c r="AA16" i="35"/>
  <c r="S24" i="35"/>
  <c r="AB28" i="36"/>
  <c r="S31" i="40"/>
  <c r="AC11" i="33"/>
  <c r="W38" i="33"/>
  <c r="S27" i="33"/>
  <c r="U28" i="34"/>
  <c r="W41" i="34"/>
  <c r="U23" i="37"/>
  <c r="AA33" i="35"/>
  <c r="U25" i="39"/>
  <c r="AC36" i="40"/>
  <c r="AZ14" i="3"/>
  <c r="AB23" i="35"/>
  <c r="U35" i="21"/>
  <c r="BN5" i="3"/>
  <c r="G29" i="6" s="1"/>
  <c r="AC5" i="3"/>
  <c r="BM5" i="3"/>
  <c r="AZ327" i="3"/>
  <c r="BL503" i="3"/>
  <c r="AZ503" i="3" s="1"/>
  <c r="BL535" i="3"/>
  <c r="AZ535" i="3" s="1"/>
  <c r="H31" i="34"/>
  <c r="AB31" i="34" s="1"/>
  <c r="F44" i="33"/>
  <c r="J14" i="33"/>
  <c r="BA586" i="3"/>
  <c r="BL585" i="3"/>
  <c r="BA585" i="3"/>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AZ410" i="3" s="1"/>
  <c r="G412" i="3"/>
  <c r="G419" i="3"/>
  <c r="BA422" i="3"/>
  <c r="G430" i="3"/>
  <c r="BL431" i="3"/>
  <c r="BL434" i="3"/>
  <c r="G437" i="3"/>
  <c r="BL438" i="3"/>
  <c r="BL439" i="3"/>
  <c r="BA441" i="3"/>
  <c r="AZ441" i="3" s="1"/>
  <c r="BL445" i="3"/>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BL421" i="3"/>
  <c r="AZ421" i="3" s="1"/>
  <c r="BL422" i="3"/>
  <c r="BL425" i="3"/>
  <c r="AZ425" i="3" s="1"/>
  <c r="BL426" i="3"/>
  <c r="AZ426" i="3" s="1"/>
  <c r="BA428" i="3"/>
  <c r="BA429" i="3"/>
  <c r="AZ429" i="3" s="1"/>
  <c r="BA430" i="3"/>
  <c r="AZ430" i="3" s="1"/>
  <c r="BA432" i="3"/>
  <c r="BA434" i="3"/>
  <c r="BA436" i="3"/>
  <c r="BA438" i="3"/>
  <c r="G442" i="3"/>
  <c r="G443" i="3"/>
  <c r="BA446" i="3"/>
  <c r="BA450" i="3"/>
  <c r="AZ450" i="3" s="1"/>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AZ293" i="3" s="1"/>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AZ62" i="3" s="1"/>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U31" i="34"/>
  <c r="S12" i="21"/>
  <c r="AA12" i="21"/>
  <c r="S12" i="35"/>
  <c r="AA12" i="35"/>
  <c r="AC45" i="39"/>
  <c r="AA12" i="34"/>
  <c r="S34" i="21"/>
  <c r="J34" i="35"/>
  <c r="F34" i="35"/>
  <c r="J26" i="37"/>
  <c r="F26" i="37"/>
  <c r="F40" i="40"/>
  <c r="G578" i="3"/>
  <c r="AZ439" i="3"/>
  <c r="AZ456" i="3"/>
  <c r="AZ468" i="3"/>
  <c r="AZ470" i="3"/>
  <c r="W35" i="39"/>
  <c r="F27" i="34"/>
  <c r="C21" i="39"/>
  <c r="U9" i="36"/>
  <c r="U14" i="37"/>
  <c r="H12" i="21"/>
  <c r="G526" i="3"/>
  <c r="AZ420" i="3"/>
  <c r="AZ434" i="3"/>
  <c r="AZ436" i="3"/>
  <c r="U26" i="21"/>
  <c r="U23" i="40"/>
  <c r="AA39" i="37"/>
  <c r="AC16" i="36"/>
  <c r="AB12" i="33"/>
  <c r="C27" i="39"/>
  <c r="U40" i="40"/>
  <c r="AC9" i="40"/>
  <c r="W36" i="35"/>
  <c r="J12" i="21"/>
  <c r="B73" i="43"/>
  <c r="B76" i="43"/>
  <c r="F9" i="36"/>
  <c r="J40" i="40"/>
  <c r="G562" i="3"/>
  <c r="AZ463" i="3"/>
  <c r="AZ489" i="3"/>
  <c r="AZ220"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39" i="1" s="1"/>
  <c r="B13" i="70"/>
  <c r="D9" i="69"/>
  <c r="F7" i="88"/>
  <c r="F16" i="15"/>
  <c r="F6" i="67"/>
  <c r="M23" i="15"/>
  <c r="D5" i="73"/>
  <c r="M29" i="67"/>
  <c r="L48" i="67"/>
  <c r="F37" i="15"/>
  <c r="F6" i="15"/>
  <c r="M28" i="67"/>
  <c r="F7" i="67"/>
  <c r="F13" i="15"/>
  <c r="F26" i="15"/>
  <c r="D3" i="73"/>
  <c r="J15" i="15"/>
  <c r="M24" i="15"/>
  <c r="F8" i="15"/>
  <c r="L48" i="15"/>
  <c r="C76" i="67"/>
  <c r="F26" i="67"/>
  <c r="C76" i="15"/>
  <c r="M8" i="15"/>
  <c r="F42" i="67"/>
  <c r="F9" i="67"/>
  <c r="F40" i="67"/>
  <c r="M24" i="67"/>
  <c r="F43" i="88"/>
  <c r="F16" i="67"/>
  <c r="F38" i="15"/>
  <c r="F43" i="15"/>
  <c r="M29" i="15"/>
  <c r="F37" i="67"/>
  <c r="F36" i="67"/>
  <c r="M26" i="67"/>
  <c r="M22" i="15"/>
  <c r="F42" i="15"/>
  <c r="M23" i="67"/>
  <c r="M26" i="15"/>
  <c r="M29" i="88"/>
  <c r="F43" i="67"/>
  <c r="L47" i="67"/>
  <c r="D9" i="68"/>
  <c r="F38" i="67"/>
  <c r="F9" i="15"/>
  <c r="D7" i="73"/>
  <c r="F13" i="67"/>
  <c r="D4" i="73"/>
  <c r="F7" i="15"/>
  <c r="M9" i="67"/>
  <c r="M9" i="15"/>
  <c r="M22" i="67"/>
  <c r="F8" i="67"/>
  <c r="F36" i="15"/>
  <c r="M8" i="67"/>
  <c r="M6" i="67"/>
  <c r="M6" i="15"/>
  <c r="M28" i="15"/>
  <c r="F40" i="15"/>
  <c r="L47" i="15"/>
  <c r="J15" i="67"/>
  <c r="F71" i="88" l="1"/>
  <c r="M7" i="88"/>
  <c r="J6" i="88" s="1"/>
  <c r="F50" i="88"/>
  <c r="C49" i="88" s="1"/>
  <c r="C61" i="88" s="1"/>
  <c r="C6" i="88"/>
  <c r="M11" i="88"/>
  <c r="J10" i="88" s="1"/>
  <c r="F11" i="88"/>
  <c r="E8" i="6"/>
  <c r="F27" i="6" s="1"/>
  <c r="P26" i="43"/>
  <c r="AZ432" i="3"/>
  <c r="AZ417" i="3"/>
  <c r="AZ467" i="3"/>
  <c r="AZ501" i="3"/>
  <c r="AZ529" i="3"/>
  <c r="AZ536" i="3"/>
  <c r="AB9" i="33"/>
  <c r="U9" i="33"/>
  <c r="U44" i="21"/>
  <c r="AB44" i="21"/>
  <c r="AB25" i="35"/>
  <c r="U25" i="35"/>
  <c r="W12" i="36"/>
  <c r="AC12" i="36"/>
  <c r="AB34" i="36"/>
  <c r="U34" i="36"/>
  <c r="S46" i="34"/>
  <c r="AA46" i="34"/>
  <c r="S31" i="33"/>
  <c r="AA31" i="33"/>
  <c r="AC13" i="33"/>
  <c r="W13" i="33"/>
  <c r="AZ431" i="3"/>
  <c r="AZ413" i="3"/>
  <c r="AZ277" i="3"/>
  <c r="U39" i="40"/>
  <c r="AB39" i="40"/>
  <c r="AC39" i="40"/>
  <c r="W39" i="40"/>
  <c r="AB46" i="34"/>
  <c r="U46" i="34"/>
  <c r="AC9" i="21"/>
  <c r="W9" i="21"/>
  <c r="AC30" i="21"/>
  <c r="W30" i="21"/>
  <c r="AZ252" i="3"/>
  <c r="AZ445" i="3"/>
  <c r="AZ585" i="3"/>
  <c r="AZ534" i="3"/>
  <c r="AZ537" i="3"/>
  <c r="AZ226" i="3"/>
  <c r="AZ385" i="3"/>
  <c r="AZ516" i="3"/>
  <c r="AB33" i="40"/>
  <c r="U33" i="40"/>
  <c r="S34" i="36"/>
  <c r="AA34" i="36"/>
  <c r="U30" i="34"/>
  <c r="AB30" i="34"/>
  <c r="W31" i="33"/>
  <c r="AC31" i="33"/>
  <c r="W9" i="35"/>
  <c r="AC9" i="35"/>
  <c r="S9" i="21"/>
  <c r="AA9" i="21"/>
  <c r="U30" i="21"/>
  <c r="AB30" i="21"/>
  <c r="AZ43" i="3"/>
  <c r="AZ202" i="3"/>
  <c r="AZ261" i="3"/>
  <c r="AZ497" i="3"/>
  <c r="W12" i="35"/>
  <c r="AC12" i="35"/>
  <c r="AA23" i="35"/>
  <c r="S23" i="35"/>
  <c r="AB36" i="35"/>
  <c r="U36" i="35"/>
  <c r="W45" i="21"/>
  <c r="AC45" i="21"/>
  <c r="AZ566" i="3"/>
  <c r="W33" i="40"/>
  <c r="AC33" i="40"/>
  <c r="S13" i="33"/>
  <c r="AA13" i="33"/>
  <c r="G124" i="34"/>
  <c r="H124" i="34" s="1"/>
  <c r="I124" i="34" s="1"/>
  <c r="J124" i="34" s="1"/>
  <c r="K124" i="34" s="1"/>
  <c r="L124" i="34" s="1"/>
  <c r="M124" i="34" s="1"/>
  <c r="H43" i="34"/>
  <c r="F43" i="34"/>
  <c r="U25" i="34"/>
  <c r="AC25" i="34"/>
  <c r="W25" i="34"/>
  <c r="AB45" i="34"/>
  <c r="E10" i="6"/>
  <c r="E15" i="6"/>
  <c r="E64" i="39" s="1"/>
  <c r="E12" i="6"/>
  <c r="E57" i="40" s="1"/>
  <c r="E14" i="6"/>
  <c r="E63" i="39" s="1"/>
  <c r="E11" i="6"/>
  <c r="E60" i="39" s="1"/>
  <c r="E13" i="6"/>
  <c r="E58" i="40" s="1"/>
  <c r="G30" i="6"/>
  <c r="G27" i="6"/>
  <c r="F39" i="6"/>
  <c r="E39" i="6" s="1"/>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M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E60" i="40"/>
  <c r="E51" i="40"/>
  <c r="E62" i="39"/>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67"/>
  <c r="C36" i="68"/>
  <c r="C16" i="88"/>
  <c r="C16" i="15"/>
  <c r="F27" i="68"/>
  <c r="G1" i="73"/>
  <c r="C33" i="88" l="1"/>
  <c r="C32" i="88"/>
  <c r="E30" i="6"/>
  <c r="J18" i="88"/>
  <c r="J19" i="88"/>
  <c r="J5" i="88"/>
  <c r="J24" i="88" s="1"/>
  <c r="C53" i="88"/>
  <c r="C48" i="88" s="1"/>
  <c r="C10" i="88"/>
  <c r="C5" i="88" s="1"/>
  <c r="G31" i="6"/>
  <c r="E56" i="40"/>
  <c r="E16" i="6"/>
  <c r="AB43" i="34"/>
  <c r="U43" i="34"/>
  <c r="G35" i="6"/>
  <c r="AA43" i="34"/>
  <c r="S43" i="34"/>
  <c r="E61" i="39"/>
  <c r="E227" i="3"/>
  <c r="E581" i="3"/>
  <c r="E223" i="3"/>
  <c r="E216" i="3"/>
  <c r="E272" i="3"/>
  <c r="E240" i="3"/>
  <c r="E380" i="3"/>
  <c r="E520" i="3"/>
  <c r="E445" i="3"/>
  <c r="E114" i="3"/>
  <c r="E299" i="3"/>
  <c r="E217" i="3"/>
  <c r="E72" i="3"/>
  <c r="E126" i="3"/>
  <c r="E197" i="3"/>
  <c r="E368" i="3"/>
  <c r="E210" i="3"/>
  <c r="E238" i="3"/>
  <c r="E416" i="3"/>
  <c r="E144" i="3"/>
  <c r="E172" i="3"/>
  <c r="E545" i="3"/>
  <c r="E111" i="3"/>
  <c r="E558" i="3"/>
  <c r="E98" i="3"/>
  <c r="E116" i="3"/>
  <c r="E33" i="3"/>
  <c r="P65" i="71"/>
  <c r="P66" i="71"/>
  <c r="T32" i="71"/>
  <c r="D32" i="71"/>
  <c r="S7" i="36"/>
  <c r="E131" i="3"/>
  <c r="E487" i="3"/>
  <c r="E268" i="3"/>
  <c r="AK6" i="3"/>
  <c r="E331" i="3"/>
  <c r="E415" i="3"/>
  <c r="E434" i="3"/>
  <c r="E307" i="3"/>
  <c r="E339" i="3"/>
  <c r="E525" i="3"/>
  <c r="E510" i="3"/>
  <c r="N65" i="71"/>
  <c r="N66" i="71"/>
  <c r="AB33" i="34"/>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155" i="3" s="1"/>
  <c r="E3" i="6"/>
  <c r="D3" i="34"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F69" i="39" s="1"/>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E466" i="3"/>
  <c r="E499" i="3"/>
  <c r="O65" i="71"/>
  <c r="D66" i="71"/>
  <c r="O66" i="71"/>
  <c r="T52" i="71"/>
  <c r="D52" i="71"/>
  <c r="B40" i="1"/>
  <c r="F24" i="88"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160" i="3"/>
  <c r="AY433" i="3"/>
  <c r="AY278" i="3"/>
  <c r="AY377" i="3"/>
  <c r="AY237" i="3"/>
  <c r="AY211" i="3"/>
  <c r="AY112" i="3"/>
  <c r="AY141" i="3"/>
  <c r="AY552" i="3"/>
  <c r="AY282" i="3"/>
  <c r="AY468" i="3"/>
  <c r="AY565" i="3"/>
  <c r="AY187" i="3"/>
  <c r="AY362" i="3"/>
  <c r="AY587" i="3"/>
  <c r="AY241" i="3"/>
  <c r="AY490" i="3"/>
  <c r="AY498" i="3"/>
  <c r="AY336" i="3"/>
  <c r="AY575" i="3"/>
  <c r="AY296" i="3"/>
  <c r="AY576" i="3"/>
  <c r="AY375" i="3"/>
  <c r="AY174" i="3"/>
  <c r="AY476" i="3"/>
  <c r="AY545" i="3"/>
  <c r="AY394" i="3"/>
  <c r="AY54" i="3"/>
  <c r="AY477" i="3"/>
  <c r="D3" i="33"/>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15"/>
  <c r="M27" i="67"/>
  <c r="AE6" i="1"/>
  <c r="AE7" i="1"/>
  <c r="F41" i="88"/>
  <c r="F41" i="67"/>
  <c r="AY307" i="3" l="1"/>
  <c r="AY107" i="3"/>
  <c r="AY248" i="3"/>
  <c r="AY551" i="3"/>
  <c r="AY320" i="3"/>
  <c r="AY21" i="3"/>
  <c r="AY208" i="3"/>
  <c r="AY13" i="3"/>
  <c r="AY120" i="3"/>
  <c r="AY564" i="3"/>
  <c r="AY352" i="3"/>
  <c r="AY586" i="3"/>
  <c r="AY306" i="3"/>
  <c r="AY119" i="3"/>
  <c r="BL6" i="3"/>
  <c r="AY376" i="3"/>
  <c r="AY46" i="3"/>
  <c r="AY502" i="3"/>
  <c r="AY484" i="3"/>
  <c r="AY169" i="3"/>
  <c r="AY449" i="3"/>
  <c r="AY539" i="3"/>
  <c r="AY527" i="3"/>
  <c r="AY178" i="3"/>
  <c r="AY510" i="3"/>
  <c r="AY114" i="3"/>
  <c r="AY165" i="3"/>
  <c r="AY217" i="3"/>
  <c r="AY382" i="3"/>
  <c r="AY257" i="3"/>
  <c r="AY408" i="3"/>
  <c r="AY172" i="3"/>
  <c r="AY505" i="3"/>
  <c r="AY396" i="3"/>
  <c r="AY15" i="3"/>
  <c r="AY175" i="3"/>
  <c r="AY330" i="3"/>
  <c r="AY47" i="3"/>
  <c r="AY418" i="3"/>
  <c r="AY298" i="3"/>
  <c r="BD6" i="3"/>
  <c r="AY367" i="3"/>
  <c r="AY184" i="3"/>
  <c r="AY437" i="3"/>
  <c r="AY249" i="3"/>
  <c r="BA6" i="3"/>
  <c r="AY506" i="3"/>
  <c r="AY345" i="3"/>
  <c r="AY65" i="3"/>
  <c r="AY161" i="3"/>
  <c r="AY379" i="3"/>
  <c r="AY308" i="3"/>
  <c r="AY574" i="3"/>
  <c r="AY581" i="3"/>
  <c r="AY73" i="3"/>
  <c r="AY60" i="3"/>
  <c r="AY529" i="3"/>
  <c r="AY111" i="3"/>
  <c r="AY566" i="3"/>
  <c r="AY293" i="3"/>
  <c r="AY451" i="3"/>
  <c r="AY62" i="3"/>
  <c r="AY415" i="3"/>
  <c r="AY250" i="3"/>
  <c r="AY432" i="3"/>
  <c r="AY195" i="3"/>
  <c r="AY347" i="3"/>
  <c r="AY563" i="3"/>
  <c r="AY450" i="3"/>
  <c r="AY122" i="3"/>
  <c r="AY429" i="3"/>
  <c r="AY391" i="3"/>
  <c r="AY38" i="3"/>
  <c r="AY456" i="3"/>
  <c r="AY285" i="3"/>
  <c r="AY578" i="3"/>
  <c r="AY423" i="3"/>
  <c r="AY364" i="3"/>
  <c r="AY101" i="3"/>
  <c r="AY373" i="3"/>
  <c r="AY489" i="3"/>
  <c r="AY186" i="3"/>
  <c r="AY269" i="3"/>
  <c r="AY472" i="3"/>
  <c r="AY392" i="3"/>
  <c r="BE6" i="3"/>
  <c r="AY363" i="3"/>
  <c r="AY34" i="3"/>
  <c r="AY83" i="3"/>
  <c r="AY95" i="3"/>
  <c r="AY58" i="3"/>
  <c r="AY366" i="3"/>
  <c r="AY183" i="3"/>
  <c r="AY319" i="3"/>
  <c r="AY106" i="3"/>
  <c r="AY327" i="3"/>
  <c r="AY513" i="3"/>
  <c r="AY553" i="3"/>
  <c r="AY33" i="3"/>
  <c r="AY149" i="3"/>
  <c r="AY231" i="3"/>
  <c r="AY357" i="3"/>
  <c r="AY41" i="3"/>
  <c r="AY290" i="3"/>
  <c r="AY317" i="3"/>
  <c r="AY446" i="3"/>
  <c r="BM6" i="3"/>
  <c r="AY16" i="3"/>
  <c r="AY334" i="3"/>
  <c r="AY355" i="3"/>
  <c r="AY85" i="3"/>
  <c r="AY157" i="3"/>
  <c r="AY389" i="3"/>
  <c r="AY243" i="3"/>
  <c r="AY454" i="3"/>
  <c r="AY518" i="3"/>
  <c r="AY82" i="3"/>
  <c r="AY455" i="3"/>
  <c r="AY326" i="3"/>
  <c r="AY84" i="3"/>
  <c r="AY134" i="3"/>
  <c r="AY368" i="3"/>
  <c r="AY215" i="3"/>
  <c r="AY406" i="3"/>
  <c r="AY543" i="3"/>
  <c r="AY37" i="3"/>
  <c r="AY251" i="3"/>
  <c r="AY344" i="3"/>
  <c r="AY426" i="3"/>
  <c r="AY499" i="3"/>
  <c r="AY542" i="3"/>
  <c r="AY63" i="3"/>
  <c r="AY156" i="3"/>
  <c r="AY264" i="3"/>
  <c r="AY314" i="3"/>
  <c r="AY558" i="3"/>
  <c r="AY91" i="3"/>
  <c r="AY148" i="3"/>
  <c r="AY256" i="3"/>
  <c r="AY354" i="3"/>
  <c r="AY448" i="3"/>
  <c r="BC6" i="3"/>
  <c r="AY32" i="3"/>
  <c r="AY218" i="3"/>
  <c r="AY304" i="3"/>
  <c r="AY431" i="3"/>
  <c r="AY530" i="3"/>
  <c r="AY30" i="3"/>
  <c r="AY233" i="3"/>
  <c r="AY440" i="3"/>
  <c r="AY102" i="3"/>
  <c r="AY136" i="3"/>
  <c r="AY322" i="3"/>
  <c r="AY583" i="3"/>
  <c r="AY153" i="3"/>
  <c r="AY337" i="3"/>
  <c r="AY445" i="3"/>
  <c r="AY538" i="3"/>
  <c r="AY493" i="3"/>
  <c r="AY151" i="3"/>
  <c r="AY359" i="3"/>
  <c r="AY547" i="3"/>
  <c r="AY200" i="3"/>
  <c r="AY240" i="3"/>
  <c r="AY400" i="3"/>
  <c r="AY23" i="3"/>
  <c r="AY42" i="3"/>
  <c r="AY168" i="3"/>
  <c r="AY103" i="3"/>
  <c r="AY123" i="3"/>
  <c r="AY470" i="3"/>
  <c r="AY245" i="3"/>
  <c r="AY342" i="3"/>
  <c r="BK6" i="3"/>
  <c r="AY77" i="3"/>
  <c r="AY201" i="3"/>
  <c r="AY118" i="3"/>
  <c r="AY246" i="3"/>
  <c r="AY554" i="3"/>
  <c r="AY202" i="3"/>
  <c r="AY210" i="3"/>
  <c r="AY332" i="3"/>
  <c r="AY430" i="3"/>
  <c r="BF6" i="3"/>
  <c r="AY18" i="3"/>
  <c r="AY486" i="3"/>
  <c r="AY447" i="3"/>
  <c r="AY53" i="3"/>
  <c r="AY117" i="3"/>
  <c r="AY93" i="3"/>
  <c r="AY226" i="3"/>
  <c r="AY422" i="3"/>
  <c r="AY556" i="3"/>
  <c r="AY132" i="3"/>
  <c r="AY412" i="3"/>
  <c r="AY417" i="3"/>
  <c r="AY52" i="3"/>
  <c r="AY255" i="3"/>
  <c r="AY72" i="3"/>
  <c r="AY370" i="3"/>
  <c r="AY503" i="3"/>
  <c r="AY582" i="3"/>
  <c r="AY158" i="3"/>
  <c r="AY234" i="3"/>
  <c r="AY312" i="3"/>
  <c r="AY439" i="3"/>
  <c r="AY14" i="3"/>
  <c r="AY570" i="3"/>
  <c r="AY78" i="3"/>
  <c r="AY135" i="3"/>
  <c r="AY378" i="3"/>
  <c r="AY469" i="3"/>
  <c r="AY517" i="3"/>
  <c r="AY70" i="3"/>
  <c r="AY128" i="3"/>
  <c r="AY224" i="3"/>
  <c r="AY338" i="3"/>
  <c r="AY416" i="3"/>
  <c r="AY511" i="3"/>
  <c r="AY142" i="3"/>
  <c r="AY385" i="3"/>
  <c r="AY492" i="3"/>
  <c r="AY17" i="3"/>
  <c r="AY548" i="3"/>
  <c r="AY203" i="3"/>
  <c r="AY383" i="3"/>
  <c r="AY421" i="3"/>
  <c r="AY39" i="3"/>
  <c r="AY272" i="3"/>
  <c r="AY474" i="3"/>
  <c r="AY567" i="3"/>
  <c r="AY267" i="3"/>
  <c r="AY305" i="3"/>
  <c r="AY434" i="3"/>
  <c r="AY515" i="3"/>
  <c r="AY79" i="3"/>
  <c r="AY301" i="3"/>
  <c r="AY485" i="3"/>
  <c r="AY568" i="3"/>
  <c r="AY164" i="3"/>
  <c r="AY351" i="3"/>
  <c r="AY521" i="3"/>
  <c r="AY228" i="3"/>
  <c r="AY68" i="3"/>
  <c r="AY516" i="3"/>
  <c r="AY292" i="3"/>
  <c r="AY540" i="3"/>
  <c r="AY198" i="3"/>
  <c r="AY181" i="3"/>
  <c r="AY520" i="3"/>
  <c r="AY207" i="3"/>
  <c r="AY152" i="3"/>
  <c r="AY236" i="3"/>
  <c r="AY196" i="3"/>
  <c r="AY204" i="3"/>
  <c r="AY428" i="3"/>
  <c r="AY463" i="3"/>
  <c r="AY541" i="3"/>
  <c r="AY45" i="3"/>
  <c r="AY185" i="3"/>
  <c r="AY294" i="3"/>
  <c r="AY219" i="3"/>
  <c r="BH6" i="3"/>
  <c r="AY177" i="3"/>
  <c r="AY388" i="3"/>
  <c r="AY491" i="3"/>
  <c r="AY411" i="3"/>
  <c r="AY571" i="3"/>
  <c r="AY171" i="3"/>
  <c r="AY199" i="3"/>
  <c r="AY535" i="3"/>
  <c r="AY239" i="3"/>
  <c r="AY57" i="3"/>
  <c r="AY325" i="3"/>
  <c r="AY496" i="3"/>
  <c r="AY229" i="3"/>
  <c r="AY238" i="3"/>
  <c r="AY324" i="3"/>
  <c r="J26" i="88"/>
  <c r="J29" i="88" s="1"/>
  <c r="F38" i="6"/>
  <c r="C34" i="34"/>
  <c r="F69" i="88"/>
  <c r="C24" i="88"/>
  <c r="C38" i="88"/>
  <c r="C66" i="88"/>
  <c r="C60" i="88"/>
  <c r="D14" i="12"/>
  <c r="D17" i="12" s="1"/>
  <c r="C17" i="12" s="1"/>
  <c r="O16" i="1"/>
  <c r="I46" i="37"/>
  <c r="J46" i="37" s="1"/>
  <c r="D19" i="11"/>
  <c r="C19" i="11" s="1"/>
  <c r="C20" i="11" s="1"/>
  <c r="C28" i="11" s="1"/>
  <c r="C27" i="11" s="1"/>
  <c r="E6" i="6"/>
  <c r="D10" i="11" s="1"/>
  <c r="C10" i="11" s="1"/>
  <c r="AY458" i="3"/>
  <c r="AY328" i="3"/>
  <c r="AY380" i="3"/>
  <c r="AY137" i="3"/>
  <c r="AY48" i="3"/>
  <c r="AY514" i="3"/>
  <c r="AY580" i="3"/>
  <c r="AY483" i="3"/>
  <c r="AY258" i="3"/>
  <c r="BB6" i="3"/>
  <c r="AY270" i="3"/>
  <c r="AY162" i="3"/>
  <c r="AY105" i="3"/>
  <c r="AY436" i="3"/>
  <c r="AY116" i="3"/>
  <c r="AY147" i="3"/>
  <c r="AY81" i="3"/>
  <c r="AY532" i="3"/>
  <c r="AY403" i="3"/>
  <c r="AY340" i="3"/>
  <c r="AY130" i="3"/>
  <c r="AY365" i="3"/>
  <c r="AY271" i="3"/>
  <c r="AY182" i="3"/>
  <c r="BO6" i="3"/>
  <c r="AY311" i="3"/>
  <c r="AY526" i="3"/>
  <c r="AY163" i="3"/>
  <c r="BG6" i="3"/>
  <c r="AY561" i="3"/>
  <c r="AY414" i="3"/>
  <c r="AY488" i="3"/>
  <c r="AY333" i="3"/>
  <c r="AY259" i="3"/>
  <c r="AY197" i="3"/>
  <c r="AY104" i="3"/>
  <c r="AY381" i="3"/>
  <c r="AY262" i="3"/>
  <c r="AY299" i="3"/>
  <c r="AY170" i="3"/>
  <c r="AY28" i="3"/>
  <c r="AY92" i="3"/>
  <c r="AY544" i="3"/>
  <c r="AY452" i="3"/>
  <c r="AY358" i="3"/>
  <c r="AY180" i="3"/>
  <c r="AY460" i="3"/>
  <c r="AY252" i="3"/>
  <c r="AY139" i="3"/>
  <c r="AY303" i="3"/>
  <c r="AY268" i="3"/>
  <c r="AY131" i="3"/>
  <c r="AY124" i="3"/>
  <c r="AY6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D3" i="37"/>
  <c r="D37" i="11"/>
  <c r="F69" i="67"/>
  <c r="AA10" i="40"/>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1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5" i="6"/>
  <c r="D28"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69"/>
  <c r="F41" i="15"/>
  <c r="C17" i="67"/>
  <c r="C14" i="67"/>
  <c r="D10" i="68"/>
  <c r="C17" i="88"/>
  <c r="C17" i="15"/>
  <c r="D10" i="69" l="1"/>
  <c r="D19" i="69" s="1"/>
  <c r="E6" i="3"/>
  <c r="D29" i="6"/>
  <c r="D24" i="6"/>
  <c r="D14" i="6"/>
  <c r="H34" i="34"/>
  <c r="F34" i="34"/>
  <c r="J34" i="34"/>
  <c r="D23" i="6"/>
  <c r="D8" i="6"/>
  <c r="D20" i="12"/>
  <c r="C20" i="12" s="1"/>
  <c r="C18" i="12" s="1"/>
  <c r="D13" i="6"/>
  <c r="D10" i="6"/>
  <c r="D21" i="6"/>
  <c r="H26" i="6"/>
  <c r="D11" i="6"/>
  <c r="C18" i="4"/>
  <c r="A10" i="51" s="1"/>
  <c r="B9" i="72" s="1"/>
  <c r="D9" i="6"/>
  <c r="D26" i="6"/>
  <c r="D22" i="6"/>
  <c r="E61" i="40"/>
  <c r="D12" i="6"/>
  <c r="D19" i="6"/>
  <c r="M19" i="9" s="1"/>
  <c r="C118" i="9" s="1"/>
  <c r="C14" i="74" s="1"/>
  <c r="B2" i="74" s="1"/>
  <c r="D6" i="6"/>
  <c r="D20" i="6"/>
  <c r="H24" i="6"/>
  <c r="B14" i="74"/>
  <c r="B1" i="74" s="1"/>
  <c r="F69" i="15"/>
  <c r="N36" i="43"/>
  <c r="Q36" i="43"/>
  <c r="N37" i="43"/>
  <c r="M37" i="43"/>
  <c r="P37" i="43"/>
  <c r="E7" i="70"/>
  <c r="O37" i="43"/>
  <c r="P36" i="43"/>
  <c r="O36" i="43"/>
  <c r="M36" i="43"/>
  <c r="C66" i="67"/>
  <c r="F41" i="68"/>
  <c r="H22" i="6"/>
  <c r="R22" i="6" s="1"/>
  <c r="R9" i="1" s="1"/>
  <c r="D30" i="6"/>
  <c r="H21" i="6"/>
  <c r="R21" i="6" s="1"/>
  <c r="R8" i="1" s="1"/>
  <c r="H25" i="6"/>
  <c r="R25" i="6" s="1"/>
  <c r="R12" i="1" s="1"/>
  <c r="C26" i="68"/>
  <c r="D22" i="68" s="1"/>
  <c r="C60" i="15"/>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4" i="6"/>
  <c r="R11" i="1" s="1"/>
  <c r="C15" i="12"/>
  <c r="C12" i="12"/>
  <c r="C10" i="69"/>
  <c r="C8" i="69" s="1"/>
  <c r="C5" i="69" s="1"/>
  <c r="F50" i="69"/>
  <c r="F50" i="11"/>
  <c r="F50" i="68"/>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88"/>
  <c r="E6" i="76"/>
  <c r="F35" i="88"/>
  <c r="C14" i="15"/>
  <c r="C34" i="68"/>
  <c r="M21" i="88"/>
  <c r="C18" i="88" l="1"/>
  <c r="C15" i="88"/>
  <c r="C19" i="88" s="1"/>
  <c r="J20" i="88"/>
  <c r="J17" i="88" s="1"/>
  <c r="F63" i="88"/>
  <c r="C62" i="88" s="1"/>
  <c r="C59" i="88" s="1"/>
  <c r="C34" i="88"/>
  <c r="C31" i="88" s="1"/>
  <c r="C4" i="52"/>
  <c r="B45" i="72" s="1"/>
  <c r="R23" i="6"/>
  <c r="R10" i="1" s="1"/>
  <c r="D27" i="6"/>
  <c r="D31" i="6" s="1"/>
  <c r="I6" i="6" s="1"/>
  <c r="R26" i="6"/>
  <c r="AC34" i="34"/>
  <c r="V49" i="34" s="1"/>
  <c r="I49" i="34" s="1"/>
  <c r="W34" i="34"/>
  <c r="AA34" i="34"/>
  <c r="R49" i="34" s="1"/>
  <c r="S34" i="34"/>
  <c r="AB34" i="34"/>
  <c r="T49" i="34" s="1"/>
  <c r="G49" i="34" s="1"/>
  <c r="U34" i="34"/>
  <c r="D16" i="6"/>
  <c r="E2" i="70"/>
  <c r="D7" i="74"/>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0" i="88" l="1"/>
  <c r="C26" i="88" s="1"/>
  <c r="G53" i="34"/>
  <c r="H53" i="34" s="1"/>
  <c r="G54" i="34"/>
  <c r="H54" i="34" s="1"/>
  <c r="I53" i="34"/>
  <c r="J53" i="34" s="1"/>
  <c r="E49" i="34"/>
  <c r="I54" i="34" s="1"/>
  <c r="J54" i="34" s="1"/>
  <c r="R50" i="34"/>
  <c r="I5"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3" i="88" l="1"/>
  <c r="C29" i="88" s="1"/>
  <c r="J59" i="88" s="1"/>
  <c r="J60" i="88" s="1"/>
  <c r="C50" i="34"/>
  <c r="C49" i="34"/>
  <c r="E53" i="34"/>
  <c r="F53" i="34" s="1"/>
  <c r="E54" i="34"/>
  <c r="F54" i="34"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C57" i="88" l="1"/>
  <c r="C64" i="88" s="1"/>
  <c r="Q49" i="88"/>
  <c r="C13" i="88"/>
  <c r="C75" i="88" s="1"/>
  <c r="C36" i="88"/>
  <c r="J14" i="88"/>
  <c r="J13" i="88" s="1"/>
  <c r="J23" i="88" s="1"/>
  <c r="Q48" i="88"/>
  <c r="L46" i="88"/>
  <c r="E48" i="2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Q70" i="88" l="1"/>
  <c r="C37" i="88"/>
  <c r="C30" i="88"/>
  <c r="C39" i="88" s="1"/>
  <c r="Q69" i="88" s="1"/>
  <c r="C56" i="88"/>
  <c r="C65" i="88" s="1"/>
  <c r="C58" i="88" s="1"/>
  <c r="C67" i="88" s="1"/>
  <c r="C68" i="88" s="1"/>
  <c r="C71" i="88" s="1"/>
  <c r="J22" i="88"/>
  <c r="J16" i="88" s="1"/>
  <c r="J25" i="8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8"/>
  <c r="D2" i="21"/>
  <c r="Q68" i="88" l="1"/>
  <c r="C80" i="88"/>
  <c r="C79" i="88" s="1"/>
  <c r="C40" i="88"/>
  <c r="C43" i="88" s="1"/>
  <c r="Q67" i="88"/>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88" l="1"/>
  <c r="B3" i="88" s="1"/>
  <c r="Q65" i="88"/>
  <c r="Q75" i="88" s="1"/>
  <c r="C83" i="88"/>
  <c r="C82" i="88" s="1"/>
  <c r="C46" i="88"/>
  <c r="Q56" i="88"/>
  <c r="Q62" i="88" s="1"/>
  <c r="Q47" i="88"/>
  <c r="Q53" i="8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8" i="1"/>
  <c r="AO7" i="1"/>
  <c r="AO10" i="1"/>
  <c r="C19" i="9"/>
  <c r="AO9" i="1"/>
  <c r="AO12"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35" i="9"/>
  <c r="D34" i="9"/>
  <c r="D21" i="9" l="1"/>
  <c r="G19" i="9"/>
  <c r="G21" i="9" s="1"/>
  <c r="D22" i="9"/>
  <c r="D102" i="9"/>
  <c r="B3" i="70"/>
  <c r="D9" i="71"/>
  <c r="C8" i="71"/>
  <c r="C42" i="40"/>
  <c r="C43" i="40"/>
  <c r="E47" i="40"/>
  <c r="F47" i="40" s="1"/>
  <c r="E46" i="40"/>
  <c r="F46" i="40" s="1"/>
  <c r="I47" i="40"/>
  <c r="J47" i="40" s="1"/>
  <c r="D20" i="9"/>
  <c r="E38" i="6" l="1"/>
  <c r="G38" i="6" s="1"/>
  <c r="D103" i="9"/>
  <c r="G20" i="9"/>
  <c r="C32" i="9" s="1"/>
  <c r="C35" i="9" s="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C104" i="9"/>
  <c r="H101" i="9"/>
  <c r="M48" i="9" s="1"/>
  <c r="P48" i="9" s="1"/>
  <c r="I118" i="9"/>
  <c r="I4" i="52" s="1"/>
  <c r="F119" i="9"/>
  <c r="F5" i="52" s="1"/>
  <c r="B53" i="72" s="1"/>
  <c r="D4" i="52"/>
  <c r="B47" i="72" s="1"/>
  <c r="H4" i="52"/>
  <c r="E14" i="74" l="1"/>
  <c r="F14" i="74"/>
  <c r="D45" i="9"/>
  <c r="C72" i="9" s="1"/>
  <c r="D5" i="53"/>
  <c r="B20" i="72" s="1"/>
  <c r="H107" i="9"/>
  <c r="D13" i="53" s="1"/>
  <c r="E118" i="9"/>
  <c r="E4" i="52" s="1"/>
  <c r="B48" i="72" s="1"/>
  <c r="C105" i="9"/>
  <c r="H102" i="9"/>
  <c r="D6" i="53" l="1"/>
  <c r="B22" i="72" s="1"/>
  <c r="D55" i="9"/>
  <c r="M53" i="9" s="1"/>
  <c r="P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D7" i="53"/>
  <c r="B21" i="72" s="1"/>
  <c r="D14" i="53"/>
  <c r="B32" i="72" s="1"/>
  <c r="B30" i="72"/>
  <c r="D59" i="9"/>
  <c r="M55" i="9" s="1"/>
  <c r="P52" i="9" l="1"/>
  <c r="P57" i="9" s="1"/>
  <c r="P58" i="9" s="1"/>
  <c r="L65" i="9"/>
  <c r="M65" i="9" s="1"/>
  <c r="P49" i="9"/>
  <c r="D8" i="52"/>
  <c r="C95" i="9"/>
  <c r="C96" i="9" s="1"/>
  <c r="E96" i="9" s="1"/>
  <c r="E97" i="9" s="1"/>
  <c r="L63" i="9"/>
  <c r="M63" i="9" s="1"/>
  <c r="L64" i="9"/>
  <c r="M64" i="9" s="1"/>
  <c r="L67" i="9"/>
  <c r="M67" i="9" s="1"/>
  <c r="C81" i="9"/>
  <c r="L66" i="9"/>
  <c r="M66" i="9" s="1"/>
  <c r="L68" i="9"/>
  <c r="M68" i="9" s="1"/>
  <c r="P59" i="9" l="1"/>
  <c r="B8" i="74" s="1"/>
  <c r="C8" i="74" s="1"/>
  <c r="C97" i="9"/>
  <c r="D58" i="9" s="1"/>
  <c r="D56" i="9" s="1"/>
  <c r="M54" i="9" s="1"/>
  <c r="N57" i="9" s="1"/>
  <c r="M69" i="9"/>
  <c r="N69" i="9" s="1"/>
  <c r="P61" i="9" l="1"/>
  <c r="P60" i="9"/>
  <c r="D8" i="74"/>
  <c r="N58" i="9"/>
  <c r="N59" i="9"/>
  <c r="N61" i="9" s="1"/>
  <c r="H112" i="9" s="1"/>
  <c r="H111" i="9" l="1"/>
  <c r="D126" i="9" s="1"/>
  <c r="N60" i="9"/>
  <c r="D21" i="53"/>
  <c r="B39" i="72" s="1"/>
  <c r="D19" i="53" l="1"/>
  <c r="D20" i="53" s="1"/>
  <c r="B40" i="72" s="1"/>
  <c r="D127" i="9"/>
  <c r="D13" i="52" s="1"/>
  <c r="D12" i="52"/>
  <c r="B38" i="72" l="1"/>
  <c r="D15" i="74" l="1"/>
  <c r="G15" i="74" s="1"/>
  <c r="B6" i="74" s="1"/>
  <c r="D6" i="74" l="1"/>
  <c r="C6" i="74"/>
  <c r="F15" i="74"/>
  <c r="E15"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7F4B368-2F43-447B-BFDA-CA4F244792F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F272ABE-A00D-498B-9657-E8DE457FC53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F1E6F76-6C3F-4679-904E-7761644439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46C7701-6B2B-41C3-A10D-E4AF4F8AB74A}">
      <text>
        <r>
          <rPr>
            <sz val="11"/>
            <color indexed="81"/>
            <rFont val="宋体"/>
            <family val="3"/>
            <charset val="134"/>
          </rPr>
          <t>在建项目均选择“是”</t>
        </r>
      </text>
    </comment>
    <comment ref="F59" authorId="1" shapeId="0" xr:uid="{9B86FDEB-66C8-4329-93CF-C48C0EE4738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4A6910E-CF9B-4099-8E03-9E289096BB87}">
      <text>
        <r>
          <rPr>
            <sz val="10"/>
            <color indexed="81"/>
            <rFont val="宋体"/>
            <family val="3"/>
            <charset val="134"/>
          </rPr>
          <t xml:space="preserve">在建
</t>
        </r>
      </text>
    </comment>
    <comment ref="N59" authorId="0" shapeId="0" xr:uid="{AF20DFA6-E5BE-46D0-A69E-FC6192213AF9}">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<sst xmlns="http://schemas.openxmlformats.org/spreadsheetml/2006/main" count="9413" uniqueCount="3593">
  <si>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</si>
  <si>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</si>
  <si>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</si>
  <si>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</si>
  <si>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</si>
  <si>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</si>
  <si>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</si>
  <si>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</si>
  <si>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</si>
  <si>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</si>
  <si>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</si>
  <si>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</si>
  <si>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</si>
  <si>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</si>
  <si>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</si>
  <si>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</si>
  <si>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</si>
  <si>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</si>
  <si>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</si>
  <si>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</si>
  <si>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</si>
  <si>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</si>
  <si>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</si>
  <si>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</si>
  <si>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</si>
  <si>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</si>
  <si>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</si>
  <si>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</si>
  <si>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</si>
  <si>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</si>
  <si>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</si>
  <si>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</si>
  <si>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</si>
  <si>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</si>
  <si>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</si>
  <si>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</si>
  <si>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</si>
  <si>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</si>
  <si>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</si>
  <si>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</si>
  <si>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</si>
  <si>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</si>
  <si>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</si>
  <si>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</si>
  <si>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</si>
  <si>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</si>
  <si>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</si>
  <si>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</si>
  <si>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</si>
  <si>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</si>
  <si>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</si>
  <si>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</si>
  <si>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</si>
  <si>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</si>
  <si>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</si>
  <si>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</si>
  <si>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</si>
  <si>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</si>
  <si>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</si>
  <si>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</si>
  <si>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</si>
  <si>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</si>
  <si>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</si>
  <si>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</si>
  <si>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</si>
  <si>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</si>
  <si>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</si>
  <si>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</si>
  <si>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</si>
  <si>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</si>
  <si>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</si>
  <si>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</si>
  <si>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</si>
  <si>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</si>
  <si>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</si>
  <si>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</si>
  <si>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</si>
  <si>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</si>
  <si>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</si>
  <si>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</si>
  <si>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</si>
  <si>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</si>
  <si>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</si>
  <si>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</si>
  <si>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</si>
  <si>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</si>
  <si>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</si>
  <si>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</si>
  <si>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</si>
  <si>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</si>
  <si>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</si>
  <si>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</si>
  <si>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</si>
  <si>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</si>
  <si>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</si>
  <si>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</si>
  <si>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</si>
  <si>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</si>
  <si>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</si>
  <si>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</si>
  <si>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</si>
  <si>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</si>
  <si>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</si>
  <si>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</si>
  <si>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</si>
  <si>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</si>
  <si>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</si>
  <si>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</si>
  <si>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</si>
  <si>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</si>
  <si>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</si>
  <si>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</si>
  <si>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</si>
  <si>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</si>
  <si>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</si>
  <si>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</si>
  <si>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</si>
  <si>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</si>
  <si>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</si>
  <si>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</si>
  <si>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</si>
  <si>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</si>
  <si>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</si>
  <si>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</si>
  <si>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</si>
  <si>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</si>
  <si>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</si>
  <si>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</si>
  <si>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</si>
  <si>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</si>
  <si>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</si>
  <si>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</si>
  <si>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</si>
  <si>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</si>
  <si>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</si>
  <si>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</si>
  <si>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</si>
  <si>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</si>
  <si>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</si>
  <si>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</si>
  <si>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</si>
  <si>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</si>
  <si>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</si>
  <si>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</si>
  <si>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</si>
  <si>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</si>
  <si>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</si>
  <si>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</si>
  <si>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</si>
  <si>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</si>
  <si>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</si>
  <si>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</si>
  <si>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</si>
  <si>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</si>
  <si>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</si>
  <si>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</si>
  <si>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</si>
  <si>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</si>
  <si>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</si>
  <si>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</si>
  <si>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</si>
  <si>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</si>
  <si>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</si>
  <si>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</si>
  <si>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</si>
  <si>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</si>
  <si>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</si>
  <si>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</si>
  <si>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</si>
  <si>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</si>
  <si>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</si>
  <si>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</si>
  <si>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</si>
  <si>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</si>
  <si>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</si>
  <si>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</si>
  <si>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</si>
  <si>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</si>
  <si>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</si>
  <si>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</si>
  <si>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</si>
  <si>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</si>
  <si>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</si>
  <si>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</si>
  <si>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</si>
  <si>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</si>
  <si>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</si>
  <si>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</si>
  <si>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</si>
  <si>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</si>
  <si>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</si>
  <si>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</si>
  <si>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</si>
  <si>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</si>
  <si>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</si>
  <si>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</si>
  <si>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</si>
  <si>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</si>
  <si>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</si>
  <si>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</si>
  <si>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</si>
  <si>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</si>
  <si>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</si>
  <si>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</si>
  <si>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</si>
  <si>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</si>
  <si>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</si>
  <si>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</si>
  <si>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</si>
  <si>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</si>
  <si>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</si>
  <si>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</si>
  <si>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</si>
  <si>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</si>
  <si>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</si>
  <si>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</si>
  <si>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</si>
  <si>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</si>
  <si>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</si>
  <si>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</si>
  <si>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</si>
  <si>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</si>
  <si>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</si>
  <si>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</si>
  <si>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</si>
  <si>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</si>
  <si>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</si>
  <si>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</si>
  <si>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</si>
  <si>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</si>
  <si>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</si>
  <si>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</si>
  <si>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</si>
  <si>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</si>
  <si>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</si>
  <si>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</si>
  <si>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</si>
  <si>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</si>
  <si>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</si>
  <si>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</si>
  <si>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</si>
  <si>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</si>
  <si>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</si>
  <si>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</si>
  <si>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</si>
  <si>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</si>
  <si>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</si>
  <si>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</si>
  <si>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</si>
  <si>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</si>
  <si>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</si>
  <si>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</si>
  <si>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</si>
  <si>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</si>
  <si>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</si>
  <si>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</si>
  <si>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</si>
  <si>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</si>
  <si>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</si>
  <si>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</si>
  <si>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</si>
  <si>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</si>
  <si>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</si>
  <si>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</si>
  <si>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</si>
  <si>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</si>
  <si>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</si>
  <si>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</si>
  <si>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</si>
  <si>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</si>
  <si>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</si>
  <si>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</si>
  <si>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</si>
  <si>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</si>
  <si>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</si>
  <si>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</si>
  <si>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</si>
  <si>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</si>
  <si>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</si>
  <si>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</si>
  <si>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</si>
  <si>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</si>
  <si>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</si>
  <si>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</si>
  <si>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</si>
  <si>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</si>
  <si>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</si>
  <si>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</si>
  <si>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</si>
  <si>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</si>
  <si>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</si>
  <si>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</si>
  <si>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</si>
  <si>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</si>
  <si>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</si>
  <si>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</si>
  <si>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</si>
  <si>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</si>
  <si>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</si>
  <si>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</si>
  <si>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</si>
  <si>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</si>
  <si>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</si>
  <si>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</si>
  <si>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</si>
  <si>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</si>
  <si>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</si>
  <si>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</si>
  <si>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</si>
  <si>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</si>
  <si>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</si>
  <si>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</si>
  <si>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</si>
  <si>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</si>
  <si>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</si>
  <si>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</si>
  <si>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</si>
  <si>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</si>
  <si>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</si>
  <si>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</si>
  <si>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</si>
  <si>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</si>
  <si>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</si>
  <si>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</si>
  <si>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</si>
  <si>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</si>
  <si>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</si>
  <si>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</si>
  <si>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</si>
  <si>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</si>
  <si>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</si>
  <si>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</si>
  <si>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</si>
  <si>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</si>
  <si>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</si>
  <si>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</si>
  <si>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</si>
  <si>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</si>
  <si>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</si>
  <si>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</si>
  <si>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</si>
  <si>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</si>
  <si>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</si>
  <si>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</si>
  <si>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</si>
  <si>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</si>
  <si>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</si>
  <si>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</si>
  <si>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</si>
  <si>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</si>
  <si>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</si>
  <si>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</si>
  <si>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</si>
  <si>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</si>
  <si>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</si>
  <si>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</si>
  <si>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</si>
  <si>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</si>
  <si>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</si>
  <si>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</si>
  <si>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</si>
  <si>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</si>
  <si>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</si>
  <si>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</si>
  <si>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</si>
  <si>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</si>
  <si>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</si>
  <si>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</si>
  <si>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</si>
  <si>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</si>
  <si>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</si>
  <si>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</si>
  <si>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</si>
  <si>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</si>
  <si>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</si>
  <si>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</si>
  <si>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</si>
  <si>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</si>
  <si>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</si>
  <si>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</si>
  <si>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</si>
  <si>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</si>
  <si>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</si>
  <si>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</si>
  <si>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</si>
  <si>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</si>
  <si>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</si>
  <si>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</si>
  <si>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</si>
  <si>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</si>
  <si>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</si>
  <si>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</si>
  <si>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</si>
  <si>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</si>
  <si>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</si>
  <si>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</si>
  <si>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</si>
  <si>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</si>
  <si>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</si>
  <si>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</si>
  <si>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</si>
  <si>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</si>
  <si>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</si>
  <si>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</si>
  <si>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</si>
  <si>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</si>
  <si>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</si>
  <si>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</si>
  <si>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</si>
  <si>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</si>
  <si>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</si>
  <si>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</si>
  <si>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</si>
  <si>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</si>
  <si>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</si>
  <si>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</si>
  <si>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</si>
  <si>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</si>
  <si>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</si>
  <si>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</si>
  <si>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</si>
  <si>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</si>
  <si>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</si>
  <si>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</si>
  <si>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</si>
  <si>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</si>
  <si>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</si>
  <si>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</si>
  <si>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</si>
  <si>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</si>
  <si>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</si>
  <si>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</si>
  <si>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</si>
  <si>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</si>
  <si>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</si>
  <si>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</si>
  <si>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</si>
  <si>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</si>
  <si>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</si>
  <si>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</si>
  <si>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</si>
  <si>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</si>
  <si>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</si>
  <si>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</si>
  <si>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</si>
  <si>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</si>
  <si>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</si>
  <si>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</si>
  <si>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</si>
  <si>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</si>
  <si>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</si>
  <si>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</si>
  <si>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</si>
  <si>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</si>
  <si>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</si>
  <si>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</si>
  <si>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</si>
  <si>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</si>
  <si>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</si>
  <si>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</si>
  <si>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</si>
  <si>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</si>
  <si>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</si>
  <si>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</si>
  <si>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</si>
  <si>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</si>
  <si>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</si>
  <si>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</si>
  <si>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</si>
  <si>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</si>
  <si>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</si>
  <si>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</si>
  <si>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</si>
  <si>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</si>
  <si>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</si>
  <si>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</si>
  <si>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</si>
  <si>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</si>
  <si>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</si>
  <si>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</si>
  <si>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</si>
  <si>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</si>
  <si>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</si>
  <si>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</si>
  <si>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</si>
  <si>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</si>
  <si>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</si>
  <si>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</si>
  <si>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</si>
  <si>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</si>
  <si>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</si>
  <si>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</si>
  <si>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</si>
  <si>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</si>
  <si>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</si>
  <si>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</si>
  <si>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</si>
  <si>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</si>
  <si>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</si>
  <si>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</si>
  <si>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</si>
  <si>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</si>
  <si>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</si>
  <si>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</si>
  <si>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</si>
  <si>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</si>
  <si>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</si>
  <si>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</si>
  <si>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</si>
  <si>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</si>
  <si>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</si>
  <si>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</si>
  <si>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</si>
  <si>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</si>
  <si>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</si>
  <si>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</si>
  <si>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</si>
  <si>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</si>
  <si>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</si>
  <si>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</si>
  <si>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</si>
  <si>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</si>
  <si>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</si>
  <si>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</si>
  <si>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</si>
  <si>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</si>
  <si>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</si>
  <si>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</si>
  <si>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</si>
  <si>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</si>
  <si>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</si>
  <si>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</si>
  <si>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</si>
  <si>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</si>
  <si>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</si>
  <si>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</si>
  <si>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</si>
  <si>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</si>
  <si>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</si>
  <si>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</si>
  <si>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</si>
  <si>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</si>
  <si>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</si>
  <si>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</si>
  <si>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</si>
  <si>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</si>
  <si>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</si>
  <si>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</si>
  <si>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</si>
  <si>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</si>
  <si>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</si>
  <si>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</si>
  <si>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</si>
  <si>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</si>
  <si>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</si>
  <si>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</si>
  <si>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</si>
  <si>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</si>
  <si>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</si>
  <si>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</si>
  <si>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</si>
  <si>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</si>
  <si>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</si>
  <si>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</si>
  <si>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</si>
  <si>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</si>
  <si>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</si>
  <si>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</si>
  <si>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</si>
  <si>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</si>
  <si>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</si>
  <si>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</si>
  <si>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</si>
  <si>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</si>
  <si>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</si>
  <si>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</si>
  <si>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</si>
  <si>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</si>
  <si>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</si>
  <si>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</si>
  <si>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</si>
  <si>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</si>
  <si>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</si>
  <si>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</si>
  <si>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</si>
  <si>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</si>
  <si>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</si>
  <si>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</si>
  <si>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</si>
  <si>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</si>
  <si>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</si>
  <si>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</si>
  <si>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</si>
  <si>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</si>
  <si>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</si>
  <si>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</si>
  <si>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</si>
  <si>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</si>
  <si>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</si>
  <si>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</si>
  <si>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</si>
  <si>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</si>
  <si>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</si>
  <si>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</si>
  <si>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</si>
  <si>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</si>
  <si>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</si>
  <si>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</si>
  <si>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</si>
  <si>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</si>
  <si>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</si>
  <si>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</si>
  <si>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</si>
  <si>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</si>
  <si>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</si>
  <si>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</si>
  <si>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</si>
  <si>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</si>
  <si>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</si>
  <si>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</si>
  <si>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</si>
  <si>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</si>
  <si>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</si>
  <si>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</si>
  <si>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</si>
  <si>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</si>
  <si>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</si>
  <si>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</si>
  <si>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</si>
  <si>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</si>
  <si>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</si>
  <si>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</si>
  <si>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</si>
  <si>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</si>
  <si>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</si>
  <si>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</si>
  <si>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</si>
  <si>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</si>
  <si>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</si>
  <si>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</si>
  <si>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</si>
  <si>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</si>
  <si>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</si>
  <si>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</si>
  <si>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</si>
  <si>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</si>
  <si>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</si>
  <si>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</si>
  <si>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</si>
  <si>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</si>
  <si>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</si>
  <si>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</si>
  <si>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</si>
  <si>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</si>
  <si>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</si>
  <si>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</si>
  <si>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</si>
  <si>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</si>
  <si>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</si>
  <si>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</si>
  <si>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</si>
  <si>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</si>
  <si>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</si>
  <si>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</si>
  <si>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</si>
  <si>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</si>
  <si>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</si>
  <si>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</si>
  <si>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</si>
  <si>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</si>
  <si>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</si>
  <si>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</si>
  <si>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</si>
  <si>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</si>
  <si>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</si>
  <si>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</si>
  <si>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</si>
  <si>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</si>
  <si>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</si>
  <si>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</si>
  <si>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</si>
  <si>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</si>
  <si>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</si>
  <si>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</si>
  <si>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</si>
  <si>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</si>
  <si>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</si>
  <si>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</si>
  <si>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</si>
  <si>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</si>
  <si>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</si>
  <si>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</si>
  <si>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</si>
  <si>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</si>
  <si>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</si>
  <si>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</si>
  <si>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</si>
  <si>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</si>
  <si>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</si>
  <si>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</si>
  <si>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</si>
  <si>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</si>
  <si>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</si>
  <si>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</si>
  <si>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</si>
  <si>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</si>
  <si>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</si>
  <si>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</si>
  <si>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</si>
  <si>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</si>
  <si>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</si>
  <si>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</si>
  <si>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</si>
  <si>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</si>
  <si>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</si>
  <si>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</si>
  <si>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</si>
  <si>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</si>
  <si>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</si>
  <si>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</si>
  <si>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</si>
  <si>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</si>
  <si>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</si>
  <si>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</si>
  <si>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</si>
  <si>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</si>
  <si>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</si>
  <si>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</si>
  <si>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</si>
  <si>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</si>
  <si>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</si>
  <si>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</si>
  <si>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</si>
  <si>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</si>
  <si>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</si>
  <si>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</si>
  <si>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</si>
  <si>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</si>
  <si>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</si>
  <si>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</si>
  <si>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</si>
  <si>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</si>
  <si>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</si>
  <si>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</si>
  <si>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</si>
  <si>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</si>
  <si>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</si>
  <si>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</si>
  <si>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</si>
  <si>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</si>
  <si>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</si>
  <si>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</si>
  <si>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</si>
  <si>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</si>
  <si>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</si>
  <si>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</si>
  <si>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</si>
  <si>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</si>
  <si>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</si>
  <si>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</si>
  <si>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</si>
  <si>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</si>
  <si>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</si>
  <si>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</si>
  <si>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</si>
  <si>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</si>
  <si>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</si>
  <si>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</si>
  <si>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</si>
  <si>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</si>
  <si>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</si>
  <si>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</si>
  <si>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</si>
  <si>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</si>
  <si>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</si>
  <si>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</si>
  <si>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</si>
  <si>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</si>
  <si>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</si>
  <si>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</si>
  <si>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</si>
  <si>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</si>
  <si>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</si>
  <si>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</si>
  <si>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</si>
  <si>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</si>
  <si>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</si>
  <si>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</si>
  <si>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</si>
  <si>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</si>
  <si>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</si>
  <si>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</si>
  <si>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</si>
  <si>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</si>
  <si>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</si>
  <si>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</si>
  <si>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</si>
  <si>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</si>
  <si>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</si>
  <si>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</si>
  <si>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</si>
  <si>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</si>
  <si>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</si>
  <si>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</si>
  <si>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</si>
  <si>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</si>
  <si>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</si>
  <si>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</si>
  <si>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</si>
  <si>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</si>
  <si>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</si>
  <si>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</si>
  <si>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</si>
  <si>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</si>
  <si>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</si>
  <si>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</si>
  <si>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</si>
  <si>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</si>
  <si>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</si>
  <si>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</si>
  <si>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</si>
  <si>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</si>
  <si>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</si>
  <si>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</si>
  <si>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</si>
  <si>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</si>
  <si>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</si>
  <si>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</si>
  <si>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</si>
  <si>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</si>
  <si>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</si>
  <si>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</si>
  <si>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</si>
  <si>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</si>
  <si>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</si>
  <si>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</si>
  <si>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</si>
  <si>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</si>
  <si>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</si>
  <si>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</si>
  <si>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</si>
  <si>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</si>
  <si>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</si>
  <si>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</si>
  <si>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</si>
  <si>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</si>
  <si>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</si>
  <si>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</si>
  <si>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</si>
  <si>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</si>
  <si>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</si>
  <si>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</si>
  <si>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</si>
  <si>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</si>
  <si>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</si>
  <si>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</si>
  <si>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</si>
  <si>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</si>
  <si>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</si>
  <si>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</si>
  <si>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</si>
  <si>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</si>
  <si>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</si>
  <si>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</si>
  <si>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</si>
  <si>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</si>
  <si>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</si>
  <si>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</si>
  <si>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</si>
  <si>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</si>
  <si>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</si>
  <si>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</si>
  <si>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</si>
  <si>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</si>
  <si>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</si>
  <si>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</si>
  <si>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</si>
  <si>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</si>
  <si>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</si>
  <si>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</si>
  <si>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</si>
  <si>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</si>
  <si>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</si>
  <si>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</si>
  <si>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</si>
  <si>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</si>
  <si>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</si>
  <si>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</si>
  <si>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</si>
  <si>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</si>
  <si>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</si>
  <si>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</si>
  <si>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</si>
  <si>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</si>
  <si>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</si>
  <si>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</si>
  <si>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</si>
  <si>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</si>
  <si>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</si>
  <si>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</si>
  <si>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</si>
  <si>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</si>
  <si>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</si>
  <si>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</si>
  <si>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</si>
  <si>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</si>
  <si>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</si>
  <si>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</si>
  <si>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</si>
  <si>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</si>
  <si>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</si>
  <si>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</si>
  <si>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</si>
  <si>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</si>
  <si>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</si>
  <si>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</si>
  <si>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</si>
  <si>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</si>
  <si>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</si>
  <si>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</si>
  <si>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</si>
  <si>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</si>
  <si>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</si>
  <si>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</si>
  <si>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</si>
  <si>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</si>
  <si>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</si>
  <si>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</si>
  <si>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</si>
  <si>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</si>
  <si>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</si>
  <si>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</si>
  <si>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</si>
  <si>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</si>
  <si>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</si>
  <si>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</si>
  <si>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</si>
  <si>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</si>
  <si>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</si>
  <si>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</si>
  <si>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</si>
  <si>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</si>
  <si>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</si>
  <si>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</si>
  <si>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</si>
  <si>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</si>
  <si>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</si>
  <si>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</si>
  <si>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</si>
  <si>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</si>
  <si>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</si>
  <si>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</si>
  <si>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</si>
  <si>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</si>
  <si>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</si>
  <si>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</si>
  <si>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</si>
  <si>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</si>
  <si>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</si>
  <si>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</si>
  <si>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</si>
  <si>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</si>
  <si>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</si>
  <si>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</si>
  <si>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</si>
  <si>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</si>
  <si>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</si>
  <si>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</si>
  <si>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</si>
  <si>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</si>
  <si>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</si>
  <si>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</si>
  <si>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</si>
  <si>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</si>
  <si>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</si>
  <si>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</si>
  <si>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</si>
  <si>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</si>
  <si>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</si>
  <si>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</si>
  <si>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</si>
  <si>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</si>
  <si>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</si>
  <si>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</si>
  <si>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</si>
  <si>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</si>
  <si>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</si>
  <si>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</si>
  <si>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</si>
  <si>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</si>
  <si>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</si>
  <si>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</si>
  <si>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</si>
  <si>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</si>
  <si>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</si>
  <si>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</si>
  <si>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</si>
  <si>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</si>
  <si>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</si>
  <si>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</si>
  <si>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</si>
  <si>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</si>
  <si>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</si>
  <si>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</si>
  <si>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</si>
  <si>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</si>
  <si>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</si>
  <si>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</si>
  <si>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</si>
  <si>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</si>
  <si>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</si>
  <si>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</si>
  <si>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</si>
  <si>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</si>
  <si>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</si>
  <si>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</si>
  <si>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</si>
  <si>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</si>
  <si>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</si>
  <si>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</si>
  <si>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</si>
  <si>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</si>
  <si>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</si>
  <si>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</si>
  <si>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</si>
  <si>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</si>
  <si>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</si>
  <si>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</si>
  <si>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</si>
  <si>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</si>
  <si>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</si>
  <si>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</si>
  <si>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</si>
  <si>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</si>
  <si>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</si>
  <si>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</si>
  <si>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</si>
  <si>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</si>
  <si>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</si>
  <si>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</si>
  <si>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</si>
  <si>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</si>
  <si>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</si>
  <si>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</si>
  <si>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</si>
  <si>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</si>
  <si>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</si>
  <si>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</si>
  <si>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</si>
  <si>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</si>
  <si>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</si>
  <si>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</si>
  <si>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</si>
  <si>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</si>
  <si>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</si>
  <si>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</si>
  <si>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</si>
  <si>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</si>
  <si>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</si>
  <si>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</si>
  <si>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</si>
  <si>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</si>
  <si>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</si>
  <si>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</si>
  <si>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</si>
  <si>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</si>
  <si>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</si>
  <si>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</si>
  <si>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</si>
  <si>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</si>
  <si>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</si>
  <si>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</si>
  <si>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</si>
  <si>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</si>
  <si>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</si>
  <si>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</si>
  <si>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</si>
  <si>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</si>
  <si>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</si>
  <si>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</si>
  <si>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</si>
  <si>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</si>
  <si>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</si>
  <si>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</si>
  <si>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</si>
  <si>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</si>
  <si>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</si>
  <si>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</si>
  <si>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</si>
  <si>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</si>
  <si>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</si>
  <si>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</si>
  <si>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</si>
  <si>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</si>
  <si>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</si>
  <si>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</si>
  <si>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</si>
  <si>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</si>
  <si>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</si>
  <si>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</si>
  <si>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</si>
  <si>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</si>
  <si>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</si>
  <si>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</si>
  <si>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</si>
  <si>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</si>
  <si>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</si>
  <si>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</si>
  <si>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</si>
  <si>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</si>
  <si>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</si>
  <si>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</si>
  <si>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</si>
  <si>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</si>
  <si>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</si>
  <si>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</si>
  <si>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</si>
  <si>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</si>
  <si>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</si>
  <si>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</si>
  <si>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</si>
  <si>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</si>
  <si>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</si>
  <si>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</si>
  <si>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</si>
  <si>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</si>
  <si>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</si>
  <si>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</si>
  <si>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</si>
  <si>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</si>
  <si>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</si>
  <si>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</si>
  <si>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</si>
  <si>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</si>
  <si>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</si>
  <si>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</si>
  <si>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</si>
  <si>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</si>
  <si>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</si>
  <si>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</si>
  <si>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</si>
  <si>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</si>
  <si>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</si>
  <si>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</si>
  <si>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</si>
  <si>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</si>
  <si>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</si>
  <si>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</si>
  <si>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</si>
  <si>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</si>
  <si>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</si>
  <si>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</si>
  <si>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</si>
  <si>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</si>
  <si>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</si>
  <si>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</si>
  <si>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</si>
  <si>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</si>
  <si>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</si>
  <si>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</si>
  <si>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</si>
  <si>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</si>
  <si>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</si>
  <si>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</si>
  <si>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</si>
  <si>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</si>
  <si>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</si>
  <si>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</si>
  <si>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</si>
  <si>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</si>
  <si>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</si>
  <si>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</si>
  <si>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</si>
  <si>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</si>
  <si>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</si>
  <si>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</si>
  <si>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</si>
  <si>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</si>
  <si>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</si>
  <si>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</si>
  <si>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</si>
  <si>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</si>
  <si>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</si>
  <si>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</si>
  <si>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</si>
  <si>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</si>
  <si>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</si>
  <si>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</si>
  <si>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</si>
  <si>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</si>
  <si>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</si>
  <si>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</si>
  <si>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</si>
  <si>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</si>
  <si>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</si>
  <si>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</si>
  <si>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</si>
  <si>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</si>
  <si>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</si>
  <si>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</si>
  <si>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</si>
  <si>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</si>
  <si>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</si>
  <si>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</si>
  <si>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</si>
  <si>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</si>
  <si>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</si>
  <si>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</si>
  <si>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</si>
  <si>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</si>
  <si>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</si>
  <si>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</si>
  <si>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</si>
  <si>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</si>
  <si>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</si>
  <si>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</si>
  <si>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</si>
  <si>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</si>
  <si>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</si>
  <si>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</si>
  <si>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</si>
  <si>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</si>
  <si>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</si>
  <si>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</si>
  <si>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</si>
  <si>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</si>
  <si>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</si>
  <si>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</si>
  <si>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</si>
  <si>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</si>
  <si>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</si>
  <si>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</si>
  <si>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</si>
  <si>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</si>
  <si>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</si>
  <si>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</si>
  <si>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</si>
  <si>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</si>
  <si>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</si>
  <si>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</si>
  <si>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</si>
  <si>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</si>
  <si>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</si>
  <si>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</si>
  <si>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</si>
  <si>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</si>
  <si>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</si>
  <si>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</si>
  <si>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</si>
  <si>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</si>
  <si>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</si>
  <si>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</si>
  <si>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</si>
  <si>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</si>
  <si>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</si>
  <si>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</si>
  <si>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</si>
  <si>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</si>
  <si>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</si>
  <si>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</si>
  <si>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</si>
  <si>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</si>
  <si>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</si>
  <si>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</si>
  <si>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</si>
  <si>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</si>
  <si>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</si>
  <si>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</si>
  <si>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</si>
  <si>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</si>
  <si>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</si>
  <si>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</si>
  <si>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</si>
  <si>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</si>
  <si>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</si>
  <si>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</si>
  <si>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</si>
  <si>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</si>
  <si>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</si>
  <si>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</si>
  <si>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</si>
  <si>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</si>
  <si>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</si>
  <si>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</si>
  <si>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</si>
  <si>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</si>
  <si>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</si>
  <si>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</si>
  <si>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</si>
  <si>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</si>
  <si>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</si>
  <si>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</si>
  <si>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</si>
  <si>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</si>
  <si>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</si>
  <si>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</si>
  <si>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</si>
  <si>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</si>
  <si>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</si>
  <si>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</si>
  <si>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</si>
  <si>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</si>
  <si>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</si>
  <si>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</si>
  <si>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</si>
  <si>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</si>
  <si>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</si>
  <si>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</si>
  <si>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</si>
  <si>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</si>
  <si>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</si>
  <si>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</si>
  <si>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</si>
  <si>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</si>
  <si>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</si>
  <si>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</si>
  <si>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</si>
  <si>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</si>
  <si>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</si>
  <si>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</si>
  <si>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</si>
  <si>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</si>
  <si>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</si>
  <si>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</si>
  <si>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</si>
  <si>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</si>
  <si>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</si>
  <si>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</si>
  <si>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</si>
  <si>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</si>
  <si>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</si>
  <si>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</si>
  <si>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</si>
  <si>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</si>
  <si>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</si>
  <si>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</si>
  <si>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</si>
  <si>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</si>
  <si>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</si>
  <si>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</si>
  <si>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</si>
  <si>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</si>
  <si>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</si>
  <si>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</si>
  <si>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</si>
  <si>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</si>
  <si>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</si>
  <si>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</si>
  <si>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</si>
  <si>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</si>
  <si>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</si>
  <si>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</si>
  <si>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</si>
  <si>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</si>
  <si>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</si>
  <si>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</si>
  <si>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</si>
  <si>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</si>
  <si>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</si>
  <si>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</si>
  <si>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</si>
  <si>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</si>
  <si>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</si>
  <si>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</si>
  <si>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</si>
  <si>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</si>
  <si>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</si>
  <si>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</si>
  <si>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</si>
  <si>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</si>
  <si>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</si>
  <si>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</si>
  <si>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</si>
  <si>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</si>
  <si>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</si>
  <si>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</si>
  <si>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</si>
  <si>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</si>
  <si>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</si>
  <si>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</si>
  <si>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</si>
  <si>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</si>
  <si>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</si>
  <si>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</si>
  <si>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</si>
  <si>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</si>
  <si>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</si>
  <si>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</si>
  <si>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</si>
  <si>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</si>
  <si>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</si>
  <si>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</si>
  <si>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</si>
  <si>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</si>
  <si>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</si>
  <si>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</si>
  <si>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</si>
  <si>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</si>
  <si>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</si>
  <si>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</si>
  <si>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</si>
  <si>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</si>
  <si>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</si>
  <si>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</si>
  <si>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</si>
  <si>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</si>
  <si>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</si>
  <si>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</si>
  <si>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</si>
  <si>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</si>
  <si>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</si>
  <si>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</si>
  <si>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</si>
  <si>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</si>
  <si>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</si>
  <si>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</si>
  <si>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</si>
  <si>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</si>
  <si>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</si>
  <si>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</si>
  <si>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</si>
  <si>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</si>
  <si>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</si>
  <si>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</si>
  <si>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</si>
  <si>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</si>
  <si>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</si>
  <si>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</si>
  <si>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</si>
  <si>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</si>
  <si>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</si>
  <si>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</si>
  <si>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</si>
  <si>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</si>
  <si>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</si>
  <si>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</si>
  <si>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</si>
  <si>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</si>
  <si>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</si>
  <si>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</si>
  <si>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</si>
  <si>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</si>
  <si>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</si>
  <si>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</si>
  <si>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</si>
  <si>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</si>
  <si>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</si>
  <si>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</si>
  <si>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</si>
  <si>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</si>
  <si>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</si>
  <si>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</si>
  <si>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</si>
  <si>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</si>
  <si>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</si>
  <si>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</si>
  <si>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</si>
  <si>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</si>
  <si>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</si>
  <si>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</si>
  <si>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</si>
  <si>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</si>
  <si>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</si>
  <si>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</si>
  <si>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</si>
  <si>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</si>
  <si>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</si>
  <si>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</si>
  <si>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</si>
  <si>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</si>
  <si>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</si>
  <si>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</si>
  <si>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</si>
  <si>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</si>
  <si>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</si>
  <si>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</si>
  <si>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</si>
  <si>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</si>
  <si>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</si>
  <si>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</si>
  <si>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</si>
  <si>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</si>
  <si>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</si>
  <si>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</si>
  <si>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</si>
  <si>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</si>
  <si>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</si>
  <si>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</si>
  <si>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</si>
  <si>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</si>
  <si>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</si>
  <si>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</si>
  <si>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</si>
  <si>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</si>
  <si>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</si>
  <si>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</si>
  <si>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</si>
  <si>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</si>
  <si>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</si>
  <si>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</si>
  <si>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</si>
  <si>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</si>
  <si>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</si>
  <si>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</si>
  <si>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</si>
  <si>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</si>
  <si>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</si>
  <si>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</si>
  <si>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</si>
  <si>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</si>
  <si>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</si>
  <si>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</si>
  <si>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</si>
  <si>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</si>
  <si>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</si>
  <si>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</si>
  <si>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</si>
  <si>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</si>
  <si>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</si>
  <si>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</si>
  <si>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</si>
  <si>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</si>
  <si>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</si>
  <si>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</si>
  <si>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</si>
  <si>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</si>
  <si>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</si>
  <si>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</si>
  <si>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</si>
  <si>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</si>
  <si>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</si>
  <si>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</si>
  <si>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</si>
  <si>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</si>
  <si>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</si>
  <si>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</si>
  <si>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</si>
  <si>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</si>
  <si>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</si>
  <si>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</si>
  <si>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</si>
  <si>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</si>
  <si>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</si>
  <si>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</si>
  <si>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</si>
  <si>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</si>
  <si>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</si>
  <si>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</si>
  <si>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</si>
  <si>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</si>
  <si>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</si>
  <si>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</si>
  <si>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</si>
  <si>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</si>
  <si>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</si>
  <si>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</si>
  <si>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</si>
  <si>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</si>
  <si>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</si>
  <si>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</si>
  <si>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</si>
  <si>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</si>
  <si>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</si>
  <si>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</si>
  <si>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</si>
  <si>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</si>
  <si>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</si>
  <si>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</si>
  <si>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</si>
  <si>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</si>
  <si>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</si>
  <si>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</si>
  <si>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</si>
  <si>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</si>
  <si>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</si>
  <si>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</si>
  <si>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</si>
  <si>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</si>
  <si>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</si>
  <si>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</si>
  <si>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</si>
  <si>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</si>
  <si>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</si>
  <si>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</si>
  <si>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</si>
  <si>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</si>
  <si>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</si>
  <si>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</si>
  <si>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</si>
  <si>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</si>
  <si>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</si>
  <si>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</si>
  <si>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</si>
  <si>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</si>
  <si>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</si>
  <si>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</si>
  <si>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</si>
  <si>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</si>
  <si>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</si>
  <si>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</si>
  <si>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</si>
  <si>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</si>
  <si>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</si>
  <si>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</si>
  <si>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</si>
  <si>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</si>
  <si>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</si>
  <si>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</si>
  <si>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</si>
  <si>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</si>
  <si>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</si>
  <si>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</si>
  <si>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</si>
  <si>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</si>
  <si>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</si>
  <si>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</si>
  <si>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</si>
  <si>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</si>
  <si>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</si>
  <si>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</si>
  <si>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</si>
  <si>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</si>
  <si>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</si>
  <si>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</si>
  <si>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</si>
  <si>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</si>
  <si>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</si>
  <si>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</si>
  <si>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</si>
  <si>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</si>
  <si>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</si>
  <si>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</si>
  <si>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</si>
  <si>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</si>
  <si>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</si>
  <si>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</si>
  <si>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</si>
  <si>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</si>
  <si>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</si>
  <si>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</si>
  <si>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</si>
  <si>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</si>
  <si>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</si>
  <si>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</si>
  <si>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</si>
  <si>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</si>
  <si>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</si>
  <si>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</si>
  <si>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</si>
  <si>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</si>
  <si>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</si>
  <si>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</si>
  <si>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</si>
  <si>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</si>
  <si>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</si>
  <si>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</si>
  <si>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</si>
  <si>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</si>
  <si>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</si>
  <si>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</si>
  <si>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</si>
  <si>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</si>
  <si>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</si>
  <si>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</si>
  <si>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</si>
  <si>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</si>
  <si>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</si>
  <si>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</si>
  <si>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</si>
  <si>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</si>
  <si>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</si>
  <si>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</si>
  <si>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</si>
  <si>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</si>
  <si>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</si>
  <si>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</si>
  <si>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</si>
  <si>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</si>
  <si>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</si>
  <si>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</si>
  <si>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</si>
  <si>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</si>
  <si>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</si>
  <si>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</si>
  <si>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</si>
  <si>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</si>
  <si>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</si>
  <si>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</si>
  <si>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</si>
  <si>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</si>
  <si>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</si>
  <si>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</si>
  <si>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</si>
  <si>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</si>
  <si>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</si>
  <si>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</si>
  <si>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</si>
  <si>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</si>
  <si>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</si>
  <si>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</si>
  <si>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</si>
  <si>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</si>
  <si>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</si>
  <si>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</si>
  <si>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</si>
  <si>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</si>
  <si>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</si>
  <si>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</si>
  <si>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</si>
  <si>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</si>
  <si>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</si>
  <si>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</si>
  <si>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</si>
  <si>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</si>
  <si>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</si>
  <si>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</si>
  <si>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</si>
  <si>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</si>
  <si>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</si>
  <si>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</si>
  <si>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</si>
  <si>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</si>
  <si>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</si>
  <si>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</si>
  <si>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</si>
  <si>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</si>
  <si>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</si>
  <si>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</si>
  <si>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</si>
  <si>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</si>
  <si>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</si>
  <si>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</si>
  <si>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</si>
  <si>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</si>
  <si>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</si>
  <si>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</si>
  <si>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</si>
  <si>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</si>
  <si>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</si>
  <si>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</si>
  <si>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</si>
  <si>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</si>
  <si>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</si>
  <si>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</si>
  <si>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</si>
  <si>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</si>
  <si>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</si>
  <si>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</si>
  <si>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</si>
  <si>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</si>
  <si>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</si>
  <si>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</si>
  <si>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</si>
  <si>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</si>
  <si>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</si>
  <si>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</si>
  <si>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</si>
  <si>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</si>
  <si>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</si>
  <si>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</si>
  <si>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</si>
  <si>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</si>
  <si>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</si>
  <si>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</si>
  <si>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</si>
  <si>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</si>
  <si>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</si>
  <si>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</si>
  <si>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</si>
  <si>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</si>
  <si>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</si>
  <si>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</si>
  <si>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</si>
  <si>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</si>
  <si>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</si>
  <si>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</si>
  <si>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</si>
  <si>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</si>
  <si>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</si>
  <si>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</si>
  <si>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</si>
  <si>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</si>
  <si>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</si>
  <si>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</si>
  <si>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</si>
  <si>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</si>
  <si>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</si>
  <si>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</si>
  <si>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</si>
  <si>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</si>
  <si>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</si>
  <si>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</si>
  <si>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</si>
  <si>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</si>
  <si>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</si>
  <si>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</si>
  <si>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</si>
  <si>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</si>
  <si>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</si>
  <si>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</si>
  <si>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</si>
  <si>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</si>
  <si>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</si>
  <si>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</si>
  <si>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</si>
  <si>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</si>
  <si>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</si>
  <si>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</si>
  <si>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</si>
  <si>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</si>
  <si>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</si>
  <si>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</si>
  <si>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</si>
  <si>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</si>
  <si>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</si>
  <si>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</si>
  <si>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</si>
  <si>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</si>
  <si>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</si>
  <si>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</si>
  <si>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</si>
  <si>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</si>
  <si>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</si>
  <si>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</si>
  <si>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</si>
  <si>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</si>
  <si>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</si>
  <si>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</si>
  <si>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</si>
  <si>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</si>
  <si>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</si>
  <si>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</si>
  <si>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</si>
  <si>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</si>
  <si>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</si>
  <si>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</si>
  <si>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</si>
  <si>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</si>
  <si>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</si>
  <si>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</si>
  <si>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</si>
  <si>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</si>
  <si>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</si>
  <si>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</si>
  <si>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</si>
  <si>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</si>
  <si>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</si>
  <si>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</si>
  <si>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</si>
  <si>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</si>
  <si>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</si>
  <si>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</si>
  <si>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</si>
  <si>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</si>
  <si>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</si>
  <si>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</si>
  <si>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</si>
  <si>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</si>
  <si>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</si>
  <si>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</si>
  <si>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</si>
  <si>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</si>
  <si>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</si>
  <si>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</si>
  <si>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</si>
  <si>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</si>
  <si>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</si>
  <si>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</si>
  <si>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</si>
  <si>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</si>
  <si>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</si>
  <si>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</si>
  <si>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</si>
  <si>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</si>
  <si>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</si>
  <si>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</si>
  <si>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</si>
  <si>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</si>
  <si>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</si>
  <si>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</si>
  <si>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</si>
  <si>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</si>
  <si>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</si>
  <si>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</si>
  <si>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</si>
  <si>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</si>
  <si>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</si>
  <si>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</si>
  <si>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</si>
  <si>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</si>
  <si>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</si>
  <si>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</si>
  <si>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</si>
  <si>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</si>
  <si>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</si>
  <si>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</si>
  <si>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</si>
  <si>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</si>
  <si>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</si>
  <si>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</si>
  <si>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</si>
  <si>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</si>
  <si>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</si>
  <si>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</si>
  <si>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</si>
  <si>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</si>
  <si>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</si>
  <si>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</si>
  <si>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</si>
  <si>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</si>
  <si>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</si>
  <si>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</si>
  <si>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</si>
  <si>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</si>
  <si>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</si>
  <si>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</si>
  <si>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</si>
  <si>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</si>
  <si>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</si>
  <si>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</si>
  <si>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</si>
  <si>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</si>
  <si>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</si>
  <si>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</si>
  <si>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</si>
  <si>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</si>
  <si>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</si>
  <si>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</si>
  <si>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</si>
  <si>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</si>
  <si>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</si>
  <si>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</si>
  <si>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</si>
  <si>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</si>
  <si>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</si>
  <si>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</si>
  <si>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</si>
  <si>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</si>
  <si>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</si>
  <si>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</si>
  <si>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</si>
  <si>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</si>
  <si>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</si>
  <si>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</si>
  <si>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</si>
  <si>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</si>
  <si>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</si>
  <si>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</si>
  <si>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</si>
  <si>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</si>
  <si>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</si>
  <si>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</si>
  <si>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</si>
  <si>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</si>
  <si>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</si>
  <si>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</si>
  <si>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</si>
  <si>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</si>
  <si>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</si>
  <si>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</si>
  <si>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</si>
  <si>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</si>
  <si>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</si>
  <si>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</si>
  <si>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</si>
  <si>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</si>
  <si>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</si>
  <si>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</si>
  <si>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</si>
  <si>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</si>
  <si>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</si>
  <si>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</si>
  <si>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</si>
  <si>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</si>
  <si>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</si>
  <si>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</si>
  <si>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</si>
  <si>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</si>
  <si>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</si>
  <si>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</si>
  <si>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</si>
  <si>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</si>
  <si>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</si>
  <si>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</si>
  <si>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</si>
  <si>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</si>
  <si>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</si>
  <si>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</si>
  <si>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</si>
  <si>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</si>
  <si>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</si>
  <si>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</si>
  <si>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</si>
  <si>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</si>
  <si>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</si>
  <si>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</si>
  <si>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</si>
  <si>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</si>
  <si>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</si>
  <si>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</si>
  <si>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</si>
  <si>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</si>
  <si>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</si>
  <si>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</si>
  <si>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</si>
  <si>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</si>
  <si>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</si>
  <si>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</si>
  <si>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</si>
  <si>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</si>
  <si>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</si>
  <si>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</si>
  <si>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</si>
  <si>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</si>
  <si>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</si>
  <si>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</si>
  <si>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</si>
  <si>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</si>
  <si>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</si>
  <si>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</si>
  <si>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</si>
  <si>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</si>
  <si>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</si>
  <si>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</si>
  <si>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</si>
  <si>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</si>
  <si>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</si>
  <si>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</si>
  <si>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</si>
  <si>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</si>
  <si>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</si>
  <si>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</si>
  <si>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</si>
  <si>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</si>
  <si>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</si>
  <si>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</si>
  <si>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</si>
  <si>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</si>
  <si>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</si>
  <si>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</si>
  <si>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</si>
  <si>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</si>
  <si>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</si>
  <si>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</si>
  <si>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</si>
  <si>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</si>
  <si>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</si>
  <si>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</si>
  <si>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</si>
  <si>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</si>
  <si>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</si>
  <si>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</si>
  <si>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</si>
  <si>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</si>
  <si>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</si>
  <si>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</si>
  <si>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</si>
  <si>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</si>
  <si>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</si>
  <si>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</si>
  <si>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</si>
  <si>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</si>
  <si>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</si>
  <si>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</si>
  <si>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</si>
  <si>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</si>
  <si>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</si>
  <si>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</si>
  <si>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</si>
  <si>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</si>
  <si>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</si>
  <si>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</si>
  <si>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</si>
  <si>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</si>
  <si>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</si>
  <si>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</si>
  <si>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</si>
  <si>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</si>
  <si>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</si>
  <si>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</si>
  <si>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</si>
  <si>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</si>
  <si>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</si>
  <si>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</si>
  <si>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</si>
  <si>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</si>
  <si>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</si>
  <si>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</si>
  <si>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</si>
  <si>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</si>
  <si>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</si>
  <si>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</si>
  <si>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</si>
  <si>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</si>
  <si>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</si>
  <si>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</si>
  <si>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</si>
  <si>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</si>
  <si>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</si>
  <si>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</si>
  <si>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</si>
  <si>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</si>
  <si>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</si>
  <si>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</si>
  <si>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</si>
  <si>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</si>
  <si>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</si>
  <si>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</si>
  <si>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</si>
  <si>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</si>
  <si>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</si>
  <si>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</si>
  <si>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</si>
  <si>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</si>
  <si>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</si>
  <si>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</si>
  <si>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</si>
  <si>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</si>
  <si>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</si>
  <si>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</si>
  <si>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</si>
  <si>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</si>
  <si>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</si>
  <si>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</si>
  <si>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</si>
  <si>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</si>
  <si>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</si>
  <si>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</si>
  <si>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</si>
  <si>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</si>
  <si>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</si>
  <si>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</si>
  <si>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</si>
  <si>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</si>
  <si>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</si>
  <si>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</si>
  <si>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</si>
  <si>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</si>
  <si>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</si>
  <si>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</si>
  <si>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</si>
  <si>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</si>
  <si>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</si>
  <si>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</si>
  <si>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</si>
  <si>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</si>
  <si>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</si>
  <si>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</si>
  <si>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</si>
  <si>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</si>
  <si>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</si>
  <si>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</si>
  <si>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</si>
  <si>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</si>
  <si>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</si>
  <si>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</si>
  <si>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</si>
  <si>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</si>
  <si>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</si>
  <si>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</si>
  <si>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</si>
  <si>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</si>
  <si>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</si>
  <si>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</si>
  <si>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</si>
  <si>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</si>
  <si>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</si>
  <si>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</si>
  <si>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</si>
  <si>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</si>
  <si>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</si>
  <si>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</si>
  <si>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</si>
  <si>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</si>
  <si>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</si>
  <si>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</si>
  <si>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</si>
  <si>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</si>
  <si>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</si>
  <si>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</si>
  <si>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</si>
  <si>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</si>
  <si>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</si>
  <si>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</si>
  <si>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</si>
  <si>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</si>
  <si>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</si>
  <si>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</si>
  <si>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</si>
  <si>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</si>
  <si>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</si>
  <si>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</si>
  <si>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</si>
  <si>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</si>
  <si>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</si>
  <si>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</si>
  <si>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</si>
  <si>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</si>
  <si>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</si>
  <si>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</si>
  <si>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</si>
  <si>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</si>
  <si>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</si>
  <si>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</si>
  <si>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</si>
  <si>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</si>
  <si>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</si>
  <si>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</si>
  <si>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</si>
  <si>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</si>
  <si>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</si>
  <si>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</si>
  <si>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</si>
  <si>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</si>
  <si>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</si>
  <si>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</si>
  <si>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</si>
  <si>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</si>
  <si>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</si>
  <si>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</si>
  <si>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</si>
  <si>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</si>
  <si>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</si>
  <si>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</si>
  <si>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</si>
  <si>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</si>
  <si>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</si>
  <si>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</si>
  <si>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</si>
  <si>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</si>
  <si>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</si>
  <si>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</si>
  <si>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</si>
  <si>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</si>
  <si>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</si>
  <si>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</si>
  <si>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</si>
  <si>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</si>
  <si>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</si>
  <si>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</si>
  <si>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</si>
  <si>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</si>
  <si>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</si>
  <si>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</si>
  <si>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</si>
  <si>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</si>
  <si>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</si>
  <si>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</si>
  <si>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</si>
  <si>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</si>
  <si>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</si>
  <si>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</si>
  <si>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</si>
  <si>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</si>
  <si>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</si>
  <si>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</si>
  <si>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</si>
  <si>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</si>
  <si>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</si>
  <si>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</si>
  <si>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</si>
  <si>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</si>
  <si>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</si>
  <si>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</si>
  <si>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</si>
  <si>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</si>
  <si>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</si>
  <si>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</si>
  <si>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</si>
  <si>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</si>
  <si>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</si>
  <si>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</si>
  <si>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</si>
  <si>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</si>
  <si>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</si>
  <si>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</si>
  <si>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</si>
  <si>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</si>
  <si>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</si>
  <si>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</si>
  <si>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</si>
  <si>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</si>
  <si>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</si>
  <si>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</si>
  <si>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</si>
  <si>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</si>
  <si>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</si>
  <si>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</si>
  <si>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</si>
  <si>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</si>
  <si>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</si>
  <si>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</si>
  <si>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</si>
  <si>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</si>
  <si>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</si>
  <si>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</si>
  <si>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</si>
  <si>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</si>
  <si>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</si>
  <si>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</si>
  <si>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</si>
  <si>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</si>
  <si>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</si>
  <si>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</si>
  <si>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</si>
  <si>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</si>
  <si>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</si>
  <si>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</si>
  <si>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</si>
  <si>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</si>
  <si>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</si>
  <si>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</si>
  <si>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</si>
  <si>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</si>
  <si>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</si>
  <si>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</si>
  <si>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</si>
  <si>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</si>
  <si>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</si>
  <si>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</si>
  <si>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</si>
  <si>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</si>
  <si>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</si>
  <si>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</si>
  <si>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</si>
  <si>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</si>
  <si>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</si>
  <si>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</si>
  <si>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</si>
  <si>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</si>
  <si>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</si>
  <si>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</si>
  <si>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</si>
  <si>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</si>
  <si>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</si>
  <si>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</si>
  <si>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</si>
  <si>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</si>
  <si>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</si>
  <si>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</si>
  <si>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</si>
  <si>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</si>
  <si>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</si>
  <si>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</si>
  <si>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</si>
  <si>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</si>
  <si>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</si>
  <si>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</si>
  <si>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</si>
  <si>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</si>
  <si>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</si>
  <si>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</si>
  <si>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</si>
  <si>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</si>
  <si>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</si>
  <si>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</si>
  <si>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</si>
  <si>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</si>
  <si>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</si>
  <si>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</si>
  <si>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</si>
  <si>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</si>
  <si>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</si>
  <si>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</si>
  <si>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</si>
  <si>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</si>
  <si>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</si>
  <si>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</si>
  <si>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</si>
  <si>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</si>
  <si>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</si>
  <si>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</si>
  <si>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</si>
  <si>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</si>
  <si>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</si>
  <si>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</si>
  <si>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</si>
  <si>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</si>
  <si>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</si>
  <si>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</si>
  <si>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</si>
  <si>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</si>
  <si>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</si>
  <si>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</si>
  <si>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</si>
  <si>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</si>
  <si>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</si>
  <si>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</si>
  <si>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</si>
  <si>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</si>
  <si>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</si>
  <si>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</si>
  <si>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</si>
  <si>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</si>
  <si>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</si>
  <si>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</si>
  <si>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</si>
  <si>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</si>
  <si>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</si>
  <si>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</si>
  <si>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</si>
  <si>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</si>
  <si>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</si>
  <si>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</si>
  <si>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</si>
  <si>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</si>
  <si>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</si>
  <si>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</si>
  <si>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</si>
  <si>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</si>
  <si>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</si>
  <si>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</si>
  <si>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</si>
  <si>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</si>
  <si>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</si>
  <si>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</si>
  <si>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</si>
  <si>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</si>
  <si>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</si>
  <si>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</si>
  <si>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</si>
  <si>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</si>
  <si>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</si>
  <si>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</si>
  <si>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</si>
  <si>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</si>
  <si>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</si>
  <si>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</si>
  <si>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</si>
  <si>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</si>
  <si>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</si>
  <si>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</si>
  <si>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</si>
  <si>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</si>
  <si>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</si>
  <si>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</si>
  <si>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</si>
  <si>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</si>
  <si>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</si>
  <si>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</si>
  <si>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</si>
  <si>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</si>
  <si>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</si>
  <si>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</si>
  <si>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</si>
  <si>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</si>
  <si>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</si>
  <si>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</si>
  <si>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</si>
  <si>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</si>
  <si>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</si>
  <si>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</si>
  <si>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</si>
  <si>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</si>
  <si>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</si>
  <si>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</si>
  <si>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</si>
  <si>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</si>
  <si>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</si>
  <si>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</si>
  <si>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</si>
  <si>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</si>
  <si>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</si>
  <si>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</si>
  <si>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</si>
  <si>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</si>
  <si>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</si>
  <si>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</si>
  <si>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</si>
  <si>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</si>
  <si>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</si>
  <si>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</si>
  <si>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</si>
  <si>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</si>
  <si>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</si>
  <si>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</si>
  <si>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</si>
  <si>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</si>
  <si>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</si>
  <si>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</si>
  <si>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</si>
  <si>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</si>
  <si>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</si>
  <si>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</si>
  <si>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</si>
  <si>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</si>
  <si>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</si>
  <si>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</si>
  <si>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</si>
  <si>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</si>
  <si>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</si>
  <si>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</si>
  <si>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</si>
  <si>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</si>
  <si>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</si>
  <si>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</si>
  <si>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</si>
  <si>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</si>
  <si>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</si>
  <si>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</si>
  <si>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</si>
  <si>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</si>
  <si>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</si>
  <si>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</si>
  <si>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</si>
  <si>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</si>
  <si>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</si>
  <si>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</si>
  <si>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</si>
  <si>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</si>
  <si>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</si>
  <si>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</si>
  <si>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</si>
  <si>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</si>
  <si>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</si>
  <si>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</si>
  <si>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</si>
  <si>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</si>
  <si>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</si>
  <si>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</si>
  <si>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</si>
  <si>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</si>
  <si>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</si>
  <si>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</si>
  <si>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</si>
  <si>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</si>
  <si>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</si>
  <si>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</si>
  <si>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</si>
  <si>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</si>
  <si>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</si>
  <si>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</si>
  <si>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</si>
  <si>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</si>
  <si>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</si>
  <si>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</si>
  <si>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</si>
  <si>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</si>
  <si>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</si>
  <si>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</si>
  <si>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</si>
  <si>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</si>
  <si>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</si>
  <si>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</si>
  <si>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</si>
  <si>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</si>
  <si>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</si>
  <si>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</si>
  <si>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</si>
  <si>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</si>
  <si>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</si>
  <si>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</si>
  <si>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</si>
  <si>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</si>
  <si>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</si>
  <si>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</si>
  <si>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</si>
  <si>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</si>
  <si>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</si>
  <si>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</si>
  <si>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</si>
  <si>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</si>
  <si>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</si>
  <si>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</si>
  <si>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</si>
  <si>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</si>
  <si>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</si>
  <si>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</si>
  <si>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</si>
  <si>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</si>
  <si>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</si>
  <si>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</si>
  <si>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</si>
  <si>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</si>
  <si>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</si>
  <si>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</si>
  <si>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</si>
  <si>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</si>
  <si>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</si>
  <si>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</si>
  <si>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</si>
  <si>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</si>
  <si>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</si>
  <si>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</si>
  <si>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</si>
  <si>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</si>
  <si>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</si>
  <si>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</si>
  <si>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</si>
  <si>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</si>
  <si>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</si>
  <si>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</si>
  <si>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</si>
  <si>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</si>
  <si>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</si>
  <si>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</si>
  <si>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</si>
  <si>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</si>
  <si>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</si>
  <si>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</si>
  <si>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</si>
  <si>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</si>
  <si>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</si>
  <si>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</si>
  <si>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</si>
  <si>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</si>
  <si>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</si>
  <si>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</si>
  <si>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</si>
  <si>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</si>
  <si>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</si>
  <si>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</si>
  <si>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</si>
  <si>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</si>
  <si>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</si>
  <si>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</si>
  <si>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</si>
  <si>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</si>
  <si>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</si>
  <si>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</si>
  <si>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</si>
  <si>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</si>
  <si>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</si>
  <si>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</si>
  <si>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</si>
  <si>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</si>
  <si>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</si>
  <si>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</si>
  <si>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</si>
  <si>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</si>
  <si>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</si>
  <si>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</si>
  <si>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</si>
  <si>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</si>
  <si>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</si>
  <si>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</si>
  <si>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</si>
  <si>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</si>
  <si>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</si>
  <si>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</si>
  <si>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</si>
  <si>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</si>
  <si>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</si>
  <si>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</si>
  <si>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</si>
  <si>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</si>
  <si>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</si>
  <si>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</si>
  <si>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</si>
  <si>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</si>
  <si>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</si>
  <si>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</si>
  <si>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</si>
  <si>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</si>
  <si>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</si>
  <si>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</si>
  <si>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</si>
  <si>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</si>
  <si>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</si>
  <si>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</si>
  <si>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</si>
  <si>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</si>
  <si>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</si>
  <si>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</si>
  <si>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</si>
  <si>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</si>
  <si>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</si>
  <si>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</si>
  <si>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</si>
  <si>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</si>
  <si>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</si>
  <si>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</si>
  <si>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</si>
  <si>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</si>
  <si>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</si>
  <si>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</si>
  <si>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</si>
  <si>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</si>
  <si>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</si>
  <si>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</si>
  <si>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</si>
  <si>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</si>
  <si>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</si>
  <si>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</si>
  <si>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</si>
  <si>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</si>
  <si>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</si>
  <si>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</si>
  <si>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</si>
  <si>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</si>
  <si>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</si>
  <si>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</si>
  <si>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</si>
  <si>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</si>
  <si>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</si>
  <si>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</si>
  <si>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</si>
  <si>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</si>
  <si>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</si>
  <si>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</si>
  <si>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</si>
  <si>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</si>
  <si>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</si>
  <si>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</si>
  <si>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</si>
  <si>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</si>
  <si>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</si>
  <si>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</si>
  <si>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</si>
  <si>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</si>
  <si>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</si>
  <si>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</si>
  <si>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</si>
  <si>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</si>
  <si>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</si>
  <si>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</si>
  <si>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</si>
  <si>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</si>
  <si>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</si>
  <si>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</si>
  <si>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</si>
  <si>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</si>
  <si>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</si>
  <si>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</si>
  <si>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</si>
  <si>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</si>
  <si>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</si>
  <si>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</si>
  <si>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</si>
  <si>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</si>
  <si>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</si>
  <si>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</si>
  <si>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</si>
  <si>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</si>
  <si>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</si>
  <si>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</si>
  <si>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</si>
  <si>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</si>
  <si>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</si>
  <si>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</si>
  <si>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</si>
  <si>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</si>
  <si>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</si>
  <si>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</si>
  <si>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</si>
  <si>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</si>
  <si>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</si>
  <si>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</si>
  <si>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</si>
  <si>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</si>
  <si>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</si>
  <si>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</si>
  <si>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</si>
  <si>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</si>
  <si>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</si>
  <si>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</si>
  <si>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</si>
  <si>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</si>
  <si>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</si>
  <si>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</si>
  <si>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</si>
  <si>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</si>
  <si>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</si>
  <si>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</si>
  <si>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</si>
  <si>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</si>
  <si>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</si>
  <si>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</si>
  <si>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</si>
  <si>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</si>
  <si>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</si>
  <si>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</si>
  <si>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</si>
  <si>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</si>
  <si>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</si>
  <si>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</si>
  <si>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</si>
  <si>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</si>
  <si>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</si>
  <si>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</si>
  <si>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</si>
  <si>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</si>
  <si>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</si>
  <si>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</si>
  <si>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</si>
  <si>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</si>
  <si>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</si>
  <si>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</si>
  <si>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</si>
  <si>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</si>
  <si>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</si>
  <si>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</si>
  <si>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</si>
  <si>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</si>
  <si>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</si>
  <si>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</si>
  <si>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</si>
  <si>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</si>
  <si>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</si>
  <si>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</si>
  <si>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</si>
  <si>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</si>
  <si>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</si>
  <si>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</si>
  <si>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</si>
  <si>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</si>
  <si>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</si>
  <si>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</si>
  <si>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</si>
  <si>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</si>
  <si>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</si>
  <si>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</si>
  <si>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</si>
  <si>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</si>
  <si>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</si>
  <si>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</si>
  <si>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</si>
  <si>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</si>
  <si>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</si>
  <si>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</si>
  <si>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</si>
  <si>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</si>
  <si>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</si>
  <si>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</si>
  <si>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</si>
  <si>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</si>
  <si>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</si>
  <si>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</si>
  <si>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</si>
  <si>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</si>
  <si>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</si>
  <si>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</si>
  <si>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</si>
  <si>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</si>
  <si>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</si>
  <si>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</si>
  <si>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</si>
  <si>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</si>
  <si>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</si>
  <si>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</si>
  <si>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</si>
  <si>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</si>
  <si>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</si>
  <si>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</si>
  <si>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</si>
  <si>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</si>
  <si>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</si>
  <si>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</si>
  <si>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</si>
  <si>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</si>
  <si>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</si>
  <si>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</si>
  <si>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</si>
  <si>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</si>
  <si>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</si>
  <si>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</si>
  <si>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</si>
  <si>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</si>
  <si>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</si>
  <si>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</si>
  <si>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</si>
  <si>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</si>
  <si>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</si>
  <si>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</si>
  <si>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</si>
  <si>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</si>
  <si>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</si>
  <si>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</si>
  <si>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</si>
  <si>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</si>
  <si>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</si>
  <si>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</si>
  <si>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</si>
  <si>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</si>
  <si>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</si>
  <si>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</si>
  <si>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</si>
  <si>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</si>
  <si>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</si>
  <si>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</si>
  <si>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</si>
  <si>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</si>
  <si>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</si>
  <si>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</si>
  <si>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</si>
  <si>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</si>
  <si>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</si>
  <si>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</si>
  <si>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</si>
  <si>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</si>
  <si>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</si>
  <si>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</si>
  <si>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</si>
  <si>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</si>
  <si>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</si>
  <si>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</si>
  <si>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</si>
  <si>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</si>
  <si>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</si>
  <si>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</si>
  <si>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</si>
  <si>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</si>
  <si>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</si>
  <si>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</si>
  <si>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</si>
  <si>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</si>
  <si>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</si>
  <si>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</si>
  <si>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</si>
  <si>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</si>
  <si>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</si>
  <si>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</si>
  <si>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</si>
  <si>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</si>
  <si>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</si>
  <si>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</si>
  <si>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</si>
  <si>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</si>
  <si>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</si>
  <si>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</si>
  <si>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</si>
  <si>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</si>
  <si>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</si>
  <si>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</si>
  <si>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</si>
  <si>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</si>
  <si>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</si>
  <si>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</si>
  <si>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</si>
  <si>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</si>
  <si>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</si>
  <si>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</si>
  <si>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</si>
  <si>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</si>
  <si>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</si>
  <si>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</si>
  <si>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</si>
  <si>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</si>
  <si>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</si>
  <si>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</si>
  <si>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</si>
  <si>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</si>
  <si>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</si>
  <si>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</si>
  <si>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</si>
  <si>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</si>
  <si>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</si>
  <si>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</si>
  <si>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</si>
  <si>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</si>
  <si>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</si>
  <si>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</si>
  <si>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</si>
  <si>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</si>
  <si>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</si>
  <si>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</si>
  <si>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</si>
  <si>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</si>
  <si>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</si>
  <si>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</si>
  <si>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</si>
  <si>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</si>
  <si>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</si>
  <si>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</si>
  <si>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</si>
  <si>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</si>
  <si>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</si>
  <si>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</si>
  <si>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</si>
  <si>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</si>
  <si>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</si>
  <si>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</si>
  <si>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</si>
  <si>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</si>
  <si>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</si>
  <si>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</si>
  <si>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</si>
  <si>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</si>
  <si>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</si>
  <si>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</si>
  <si>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</si>
  <si>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</si>
  <si>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</si>
  <si>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</si>
  <si>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</si>
  <si>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</si>
  <si>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</si>
  <si>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</si>
  <si>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</si>
  <si>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</si>
  <si>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</si>
  <si>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</si>
  <si>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</si>
  <si>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</si>
  <si>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</si>
  <si>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</si>
  <si>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</si>
  <si>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</si>
  <si>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</si>
  <si>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</si>
  <si>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</si>
  <si>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</si>
  <si>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</si>
  <si>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</si>
  <si>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</si>
  <si>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</si>
  <si>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</si>
  <si>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</si>
  <si>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</si>
  <si>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</si>
  <si>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</si>
  <si>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</si>
  <si>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</si>
  <si>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</si>
  <si>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</si>
  <si>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</si>
  <si>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</si>
  <si>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</si>
  <si>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</si>
  <si>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</si>
  <si>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</si>
  <si>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</si>
  <si>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</si>
  <si>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</si>
  <si>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</si>
  <si>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</si>
  <si>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</si>
  <si>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</si>
  <si>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</si>
  <si>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</si>
  <si>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</si>
  <si>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</si>
  <si>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</si>
  <si>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</si>
  <si>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</si>
  <si>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</si>
  <si>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</si>
  <si>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</si>
  <si>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</si>
  <si>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</si>
  <si>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</si>
  <si>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</si>
  <si>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</si>
  <si>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</si>
  <si>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</si>
  <si>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</si>
  <si>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</si>
  <si>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</si>
  <si>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</si>
  <si>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</si>
  <si>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</si>
  <si>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</si>
  <si>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</si>
  <si>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</si>
  <si>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</si>
  <si>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</si>
  <si>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</si>
  <si>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</si>
  <si>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</si>
  <si>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</si>
  <si>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</si>
  <si>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</si>
  <si>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</si>
  <si>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</si>
  <si>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</si>
  <si>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</si>
  <si>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</si>
  <si>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</si>
  <si>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</si>
  <si>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</si>
  <si>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</si>
  <si>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</si>
  <si>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</si>
  <si>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</si>
  <si>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</si>
  <si>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</si>
  <si>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</si>
  <si>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</si>
  <si>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</si>
  <si>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</si>
  <si>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</si>
  <si>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</si>
  <si>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</si>
  <si>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</si>
  <si>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</si>
  <si>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</si>
  <si>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</si>
  <si>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</si>
  <si>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</si>
  <si>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</si>
  <si>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</si>
  <si>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</si>
  <si>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</si>
  <si>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</si>
  <si>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</si>
  <si>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</si>
  <si>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</si>
  <si>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</si>
  <si>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</si>
  <si>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</si>
  <si>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</si>
  <si>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</si>
  <si>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</si>
  <si>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</si>
  <si>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</si>
  <si>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</si>
  <si>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</si>
  <si>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</si>
  <si>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</si>
  <si>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</si>
  <si>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</si>
  <si>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</si>
  <si>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</si>
  <si>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</si>
  <si>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</si>
  <si>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</si>
  <si>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</si>
  <si>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</si>
  <si>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</si>
  <si>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</si>
  <si>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</si>
  <si>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</si>
  <si>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</si>
  <si>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</si>
  <si>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</si>
  <si>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</si>
  <si>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</si>
  <si>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</si>
  <si>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</si>
  <si>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</si>
  <si>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</si>
  <si>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</si>
  <si>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</si>
  <si>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</si>
  <si>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</si>
  <si>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</si>
  <si>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</si>
  <si>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</si>
  <si>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</si>
  <si>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</si>
  <si>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</si>
  <si>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</si>
  <si>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</si>
  <si>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</si>
  <si>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</si>
  <si>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</si>
  <si>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</si>
  <si>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</si>
  <si>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</si>
  <si>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</si>
  <si>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</si>
  <si>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</si>
  <si>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</si>
  <si>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</si>
  <si>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</si>
  <si>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</si>
  <si>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</si>
  <si>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</si>
  <si>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</si>
  <si>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</si>
  <si>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</si>
  <si>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</si>
  <si>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</si>
  <si>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</si>
  <si>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</si>
  <si>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</si>
  <si>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</si>
  <si>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</si>
  <si>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</si>
  <si>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</si>
  <si>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</si>
  <si>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</si>
  <si>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</si>
  <si>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</si>
  <si>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</si>
  <si>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</si>
  <si>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</si>
  <si>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</si>
  <si>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</si>
  <si>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</si>
  <si>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</si>
  <si>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</si>
  <si>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</si>
  <si>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</si>
  <si>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</si>
  <si>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</si>
  <si>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</si>
  <si>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</si>
  <si>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</si>
  <si>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</si>
  <si>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</si>
  <si>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</si>
  <si>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</si>
  <si>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</si>
  <si>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</si>
  <si>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</si>
  <si>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</si>
  <si>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</si>
  <si>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</si>
  <si>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</si>
  <si>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</si>
  <si>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</si>
  <si>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</si>
  <si>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</si>
  <si>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</si>
  <si>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</si>
  <si>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</si>
  <si>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</si>
  <si>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</si>
  <si>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</si>
  <si>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</si>
  <si>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</si>
  <si>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</si>
  <si>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</si>
  <si>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</si>
  <si>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</si>
  <si>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</si>
  <si>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</si>
  <si>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</si>
  <si>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</si>
  <si>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</si>
  <si>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</si>
  <si>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</si>
  <si>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</si>
  <si>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</si>
  <si>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</si>
  <si>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</si>
  <si>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</si>
  <si>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</si>
  <si>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</si>
  <si>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</si>
  <si>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</si>
  <si>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</si>
  <si>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</si>
  <si>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</si>
  <si>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</si>
  <si>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</si>
  <si>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</si>
  <si>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</si>
  <si>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</si>
  <si>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</si>
  <si>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</si>
  <si>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</si>
  <si>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</si>
  <si>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</si>
  <si>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</si>
  <si>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</si>
  <si>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</si>
  <si>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</si>
  <si>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</si>
  <si>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</si>
  <si>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</si>
  <si>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</si>
  <si>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</si>
  <si>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</si>
  <si>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</si>
  <si>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</si>
  <si>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</si>
  <si>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</si>
  <si>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</si>
  <si>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</si>
  <si>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</si>
  <si>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</si>
  <si>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</si>
  <si>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</si>
  <si>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</si>
  <si>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</si>
  <si>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</si>
  <si>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</si>
  <si>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</si>
  <si>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</si>
  <si>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</si>
  <si>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</si>
  <si>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</si>
  <si>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</si>
  <si>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</si>
  <si>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</si>
  <si>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</si>
  <si>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</si>
  <si>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</si>
  <si>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</si>
  <si>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</si>
  <si>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</si>
  <si>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</si>
  <si>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</si>
  <si>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</si>
  <si>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</si>
  <si>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</si>
  <si>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</si>
  <si>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</si>
  <si>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</si>
  <si>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</si>
  <si>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</si>
  <si>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</si>
  <si>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</si>
  <si>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</si>
  <si>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</si>
  <si>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</si>
  <si>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</si>
  <si>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</si>
  <si>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</si>
  <si>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</si>
  <si>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</si>
  <si>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</si>
  <si>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</si>
  <si>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</si>
  <si>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</si>
  <si>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</si>
  <si>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</si>
  <si>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</si>
  <si>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</si>
  <si>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</si>
  <si>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</si>
  <si>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</si>
  <si>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</si>
  <si>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</si>
  <si>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</si>
  <si>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</si>
  <si>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</si>
  <si>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</si>
  <si>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</si>
  <si>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</si>
  <si>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</si>
  <si>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</si>
  <si>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</si>
  <si>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</si>
  <si>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</si>
  <si>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</si>
  <si>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</si>
  <si>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</si>
  <si>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</si>
  <si>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</si>
  <si>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</si>
  <si>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</si>
  <si>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</si>
  <si>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</si>
  <si>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</si>
  <si>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</si>
  <si>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</si>
  <si>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</si>
  <si>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</si>
  <si>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</si>
  <si>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</si>
  <si>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</si>
  <si>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</si>
  <si>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</si>
  <si>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</si>
  <si>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</si>
  <si>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</si>
  <si>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</si>
  <si>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</si>
  <si>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</si>
  <si>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</si>
  <si>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</si>
  <si>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</si>
  <si>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</si>
  <si>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</si>
  <si>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</si>
  <si>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</si>
  <si>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</si>
  <si>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</si>
  <si>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</si>
  <si>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</si>
  <si>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</si>
  <si>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</si>
  <si>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</si>
  <si>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</si>
  <si>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</si>
  <si>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</si>
  <si>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</si>
  <si>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</si>
  <si>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</si>
  <si>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</si>
  <si>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</si>
  <si>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</si>
  <si>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</si>
  <si>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</si>
  <si>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</si>
  <si>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</si>
  <si>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</si>
  <si>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</si>
  <si>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</si>
  <si>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</si>
  <si>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</si>
  <si>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</si>
  <si>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</si>
  <si>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</si>
  <si>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</si>
  <si>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</si>
  <si>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</si>
  <si>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</si>
  <si>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</si>
  <si>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</si>
  <si>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</si>
  <si>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</si>
  <si>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</si>
  <si>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</si>
  <si>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</si>
  <si>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</si>
  <si>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</si>
  <si>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</si>
  <si>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</si>
  <si>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</si>
  <si>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</si>
  <si>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</si>
  <si>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</si>
  <si>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</si>
  <si>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</si>
  <si>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</si>
  <si>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郑燚</t>
  </si>
  <si>
    <t>房地产抵押价值</t>
  </si>
  <si>
    <t>北京市</t>
  </si>
  <si>
    <t>企业</t>
  </si>
  <si>
    <t>是</t>
  </si>
  <si>
    <t>地上</t>
  </si>
  <si>
    <t>地下</t>
  </si>
  <si>
    <t>成新度</t>
  </si>
  <si>
    <t>竣工时间</t>
    <phoneticPr fontId="3" type="noConversion"/>
  </si>
  <si>
    <t>直线</t>
    <phoneticPr fontId="3" type="noConversion"/>
  </si>
  <si>
    <t>观察</t>
    <phoneticPr fontId="3" type="noConversion"/>
  </si>
  <si>
    <t>收益法</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</si>
  <si>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</si>
  <si>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</si>
  <si>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</si>
  <si>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</si>
  <si>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</si>
  <si>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</si>
  <si>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</si>
  <si>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</si>
  <si>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</si>
  <si>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</si>
  <si>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</si>
  <si>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</si>
  <si>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</si>
  <si>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</si>
  <si>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</si>
  <si>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</si>
  <si>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</si>
  <si>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</si>
  <si>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</si>
  <si>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</si>
  <si>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</si>
  <si>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正常</t>
  </si>
  <si>
    <t>30-40（含）</t>
  </si>
  <si>
    <t>七通</t>
  </si>
  <si>
    <t>较好</t>
  </si>
  <si>
    <t>普通</t>
  </si>
  <si>
    <t>标准层高</t>
  </si>
  <si>
    <t>普通装修</t>
  </si>
  <si>
    <t>20-30（含）</t>
  </si>
  <si>
    <t>40-50（含）</t>
  </si>
  <si>
    <t>10-20（含）</t>
  </si>
  <si>
    <t>地下面积占比</t>
  </si>
  <si>
    <t>售价</t>
  </si>
  <si>
    <t>比较法-办公</t>
  </si>
  <si>
    <t>项目模式</t>
  </si>
  <si>
    <t>总价</t>
  </si>
  <si>
    <t>收益比率</t>
  </si>
  <si>
    <t>情况3</t>
  </si>
  <si>
    <t>自行开发建设</t>
  </si>
  <si>
    <t>非个人房产</t>
  </si>
  <si>
    <t>总楼层</t>
  </si>
  <si>
    <t>合计</t>
  </si>
  <si>
    <t>朝阳区建国门外大街甲6号1幢</t>
    <phoneticPr fontId="6" type="noConversion"/>
  </si>
  <si>
    <t>中海金融中心</t>
  </si>
  <si>
    <t>丽金智地中心</t>
  </si>
  <si>
    <t>中海国际中心</t>
  </si>
  <si>
    <t>北京市西城区</t>
  </si>
  <si>
    <t>北京市海淀区</t>
  </si>
  <si>
    <t>2022预售证</t>
  </si>
  <si>
    <t>中指</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</si>
  <si>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</si>
  <si>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</si>
  <si>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</si>
  <si>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城市主干道——菜市口大街</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</si>
  <si>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</si>
  <si>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</si>
  <si>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</si>
  <si>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</si>
  <si>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</si>
  <si>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</si>
  <si>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</si>
  <si>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</si>
  <si>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</si>
  <si>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</si>
  <si>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</si>
  <si>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</si>
  <si>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</si>
  <si>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</si>
  <si>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</si>
  <si>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</si>
  <si>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</si>
  <si>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估价对象地处北京商务中心区，北京商务中心区（CBD）是首都六大高端产业功能区之一区域内高品质写字楼项目聚集，如国贸中心、银泰中心、环球金融中心等，区域办公集聚程度好</t>
    <phoneticPr fontId="24" type="noConversion"/>
  </si>
  <si>
    <t>周边1公里范围内有特8内路、348路、805快路、806路、814路、846路等多条公交线路及地铁1、10号线国贸站，公交便捷度好。综上分析，估价对象所在区位整体交通便捷度较好</t>
    <phoneticPr fontId="40" type="noConversion"/>
  </si>
  <si>
    <t>周边约1公里范围内有庆丰公园，CBD历史文化公园，中国海关博物馆等，南侧有通惠河经过，环境状况较好</t>
    <phoneticPr fontId="40"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</si>
  <si>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</si>
  <si>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40" type="noConversion"/>
  </si>
  <si>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</si>
  <si>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</si>
  <si>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</si>
  <si>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</si>
  <si>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六通</t>
  </si>
  <si>
    <t>五通</t>
  </si>
  <si>
    <t>景恒街</t>
    <phoneticPr fontId="31" type="noConversion"/>
  </si>
  <si>
    <t>项目局部</t>
  </si>
  <si>
    <t>梁津</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</si>
  <si>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</si>
  <si>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</si>
  <si>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</si>
  <si>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</si>
  <si>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</si>
  <si>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</si>
  <si>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</si>
  <si>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</si>
  <si>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</si>
  <si>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</si>
  <si>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</si>
  <si>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</si>
  <si>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</si>
  <si>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</si>
  <si>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</si>
  <si>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</si>
  <si>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</si>
  <si>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</si>
  <si>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</si>
  <si>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</si>
  <si>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</si>
  <si>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</si>
  <si>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</si>
  <si>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</si>
  <si>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</si>
  <si>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</si>
  <si>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</si>
  <si>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</si>
  <si>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</si>
  <si>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</si>
  <si>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</si>
  <si>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</si>
  <si>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</si>
  <si>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</si>
  <si>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</si>
  <si>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</si>
  <si>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</si>
  <si>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</si>
  <si>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</si>
  <si>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</si>
  <si>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</si>
  <si>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</si>
  <si>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</si>
  <si>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</si>
  <si>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</si>
  <si>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</si>
  <si>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</si>
  <si>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</si>
  <si>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</si>
  <si>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</si>
  <si>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</si>
  <si>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</si>
  <si>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</si>
  <si>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</si>
  <si>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</si>
  <si>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</si>
  <si>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</si>
  <si>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</si>
  <si>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</si>
  <si>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</si>
  <si>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</si>
  <si>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</si>
  <si>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</si>
  <si>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</si>
  <si>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</si>
  <si>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</si>
  <si>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</si>
  <si>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</si>
  <si>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</si>
  <si>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</si>
  <si>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</si>
  <si>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</si>
  <si>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</si>
  <si>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</si>
  <si>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</si>
  <si>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</si>
  <si>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</si>
  <si>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10（含）-20%</t>
  </si>
  <si>
    <t>20（含）-30%</t>
  </si>
  <si>
    <t>商业</t>
    <phoneticPr fontId="134" type="noConversion"/>
  </si>
  <si>
    <t>收益法办</t>
  </si>
  <si>
    <t>收益法办</t>
    <phoneticPr fontId="16" type="noConversion"/>
  </si>
  <si>
    <t>商业办公</t>
    <phoneticPr fontId="31" type="noConversion"/>
  </si>
  <si>
    <t>办公</t>
    <phoneticPr fontId="31" type="noConversion"/>
  </si>
  <si>
    <t>收益法（汇总）</t>
  </si>
  <si>
    <t>好</t>
  </si>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</sst>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95" fillId="0" borderId="0" xfId="10" applyAlignment="1"/>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49" fontId="222" fillId="12" borderId="4" xfId="0" applyNumberFormat="1" applyFont="1" applyFill="1" applyBorder="1" applyAlignment="1" applyProtection="1">
      <alignment horizontal="left" vertical="center"/>
      <protection locked="0"/>
    </xf>
    <xf numFmtId="49" fontId="273"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57" fillId="22" borderId="13" xfId="0" applyFont="1" applyFill="1" applyBorder="1" applyAlignment="1">
      <alignment horizontal="right" vertical="center"/>
    </xf>
    <xf numFmtId="14" fontId="95" fillId="0" borderId="0" xfId="10" applyNumberFormat="1" applyAlignment="1"/>
    <xf numFmtId="0" fontId="95" fillId="5" borderId="0" xfId="10" applyFill="1" applyAlignment="1"/>
    <xf numFmtId="176" fontId="47" fillId="0" borderId="1" xfId="0" applyNumberFormat="1"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72"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1 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8B8E29C8-09A0-49F0-BA22-445E60740F7C}"/>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6FC8AEDE-B822-46A1-B5DD-5716493FBABF}"/>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a16="http://schemas.microsoft.com/office/drawing/2014/main" id="{BD886D84-7DE0-4B6F-8775-9A2908BE13C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a16="http://schemas.microsoft.com/office/drawing/2014/main" id="{5985F19D-C4D2-4B7A-9AE2-4B08A525F073}"/>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a16="http://schemas.microsoft.com/office/drawing/2014/main" id="{015B42EB-A3D7-4E71-A2D6-CE4F164924DA}"/>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a16="http://schemas.microsoft.com/office/drawing/2014/main" id="{DA856905-7261-4ACD-821A-77551BC8FE33}"/>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ED5027B3-3950-4319-AD0B-A183171F386F}"/>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025-1-0419-&#20013;&#29615;&#19990;&#36152;&#24191;&#22330;/&#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35810;&#20215;\&#19996;&#22478;&#21306;-&#22823;&#21414;-&#21556;&#22992;\2025-1-&#22825;&#28070;&#36130;&#23500;&#20013;&#24515;-&#22320;&#19979;.xlsx" TargetMode="External"/><Relationship Id="rId1" Type="http://schemas.openxmlformats.org/officeDocument/2006/relationships/externalLinkPath" Target="2025-1-&#22825;&#28070;&#36130;&#23500;&#20013;&#24515;-&#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row r="17">
          <cell r="C17" t="str">
            <v>项目类型</v>
          </cell>
        </row>
      </sheetData>
      <sheetData sheetId="17">
        <row r="53">
          <cell r="A53" t="str">
            <v>城镇土地纳税等级分级范围</v>
          </cell>
        </row>
      </sheetData>
      <sheetData sheetId="18"/>
      <sheetData sheetId="19"/>
      <sheetData sheetId="20"/>
      <sheetData sheetId="21"/>
      <sheetData sheetId="22"/>
      <sheetData sheetId="23">
        <row r="62">
          <cell r="A62" t="str">
            <v>交易情况</v>
          </cell>
        </row>
      </sheetData>
      <sheetData sheetId="24"/>
      <sheetData sheetId="25"/>
      <sheetData sheetId="26"/>
      <sheetData sheetId="27"/>
      <sheetData sheetId="28">
        <row r="61">
          <cell r="A61" t="str">
            <v>交易情况</v>
          </cell>
        </row>
      </sheetData>
      <sheetData sheetId="29">
        <row r="61">
          <cell r="A61" t="str">
            <v>交易情况</v>
          </cell>
        </row>
      </sheetData>
      <sheetData sheetId="30">
        <row r="55">
          <cell r="A55" t="str">
            <v>交易情况</v>
          </cell>
        </row>
      </sheetData>
      <sheetData sheetId="31">
        <row r="49">
          <cell r="A49" t="str">
            <v>交易情况</v>
          </cell>
        </row>
      </sheetData>
      <sheetData sheetId="32">
        <row r="73">
          <cell r="A73" t="str">
            <v>交易情况</v>
          </cell>
        </row>
      </sheetData>
      <sheetData sheetId="33">
        <row r="70">
          <cell r="B70" t="str">
            <v>用途</v>
          </cell>
        </row>
      </sheetData>
      <sheetData sheetId="34"/>
      <sheetData sheetId="35">
        <row r="6">
          <cell r="A6" t="str">
            <v>通路</v>
          </cell>
        </row>
      </sheetData>
      <sheetData sheetId="36"/>
      <sheetData sheetId="37"/>
      <sheetData sheetId="38"/>
      <sheetData sheetId="39"/>
      <sheetData sheetId="40"/>
      <sheetData sheetId="41"/>
      <sheetData sheetId="42"/>
      <sheetData sheetId="43"/>
      <sheetData sheetId="44"/>
      <sheetData sheetId="45">
        <row r="5">
          <cell r="B5" t="str">
            <v>修正项2</v>
          </cell>
        </row>
      </sheetData>
      <sheetData sheetId="46"/>
      <sheetData sheetId="47"/>
      <sheetData sheetId="48">
        <row r="51">
          <cell r="A51" t="str">
            <v>交易情况</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基准地价修正"/>
      <sheetName val="基准地价（汇总）"/>
      <sheetName val="基准地价修正 (2)"/>
      <sheetName val="成本法"/>
      <sheetName val="比较法-办公"/>
      <sheetName val="收益法（汇总）"/>
      <sheetName val="收益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收益法仓"/>
      <sheetName val="收益法车"/>
      <sheetName val="中海金融中心"/>
      <sheetName val="丽金智地中心"/>
      <sheetName val="中海国际中心"/>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17422.27</v>
          </cell>
          <cell r="C14">
            <v>3497.08</v>
          </cell>
          <cell r="D14">
            <v>23812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北京市朝阳区建国门外大街甲6号1幢房地产抵押价值预评估</v>
      </c>
    </row>
    <row r="3" spans="1:2">
      <c r="A3" s="1116" t="s">
        <v>523</v>
      </c>
      <c r="B3" s="1117">
        <f>'预评函-封皮'!B40</f>
        <v>0</v>
      </c>
    </row>
    <row r="4" spans="1:2">
      <c r="A4" s="1116" t="s">
        <v>524</v>
      </c>
      <c r="B4" s="1117" t="str">
        <f ca="1">'预评函-封皮'!B46</f>
        <v>梁津（注册号：1119970066)、郑燚（注册号：1120070131)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受贵公司委托，我公司对北京市朝阳区建国门外大街甲6号1幢房地产抵押价值进行了预评估。</v>
      </c>
    </row>
    <row r="7" spans="1:2">
      <c r="A7" s="1116" t="s">
        <v>566</v>
      </c>
      <c r="B7" s="1117" t="str">
        <f>'预评函-1'!A7</f>
        <v>估价对象为北京市朝阳区建国门外大街甲6号1幢房地产，为所有。根据《国有土地使用证》[]，估价对象（分摊）出让国有建设用地使用权面积为3497.08平方米，建筑面积为50178.66平方米。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朝阳区建国门外大街甲6号1幢房地产,属开发建设的，该项目尚在开发建设中。根据《国有土地使用证》[]，估价对象（分摊）出让国有建设用地使用权面积为3497.08平方米，规划建筑面积为50178.66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2025年9月3日</v>
      </c>
    </row>
    <row r="13" spans="1:2">
      <c r="A13" s="1116" t="s">
        <v>529</v>
      </c>
      <c r="B13" s="1117"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321887</v>
      </c>
    </row>
    <row r="21" spans="1:2">
      <c r="A21" s="1116" t="s">
        <v>537</v>
      </c>
      <c r="B21" s="1117">
        <f ca="1">'预评函-2'!D7</f>
        <v>64148</v>
      </c>
    </row>
    <row r="22" spans="1:2">
      <c r="A22" s="1116" t="s">
        <v>538</v>
      </c>
      <c r="B22" s="1117" t="str">
        <f ca="1">'预评函-2'!D6</f>
        <v>叁拾贰亿壹仟捌佰捌拾柒万元整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321887</v>
      </c>
    </row>
    <row r="31" spans="1:2">
      <c r="A31" s="1116" t="s">
        <v>576</v>
      </c>
      <c r="B31" s="1117">
        <f ca="1">'预评函-2'!D15</f>
        <v>64148</v>
      </c>
    </row>
    <row r="32" spans="1:2">
      <c r="A32" s="1116" t="s">
        <v>543</v>
      </c>
      <c r="B32" s="1117" t="str">
        <f ca="1">'预评函-2'!D14</f>
        <v>叁拾贰亿壹仟捌佰捌拾柒万元整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122371</v>
      </c>
    </row>
    <row r="39" spans="1:2">
      <c r="A39" s="1116" t="s">
        <v>545</v>
      </c>
      <c r="B39" s="1117">
        <f ca="1">'预评函-2'!D21</f>
        <v>24387</v>
      </c>
    </row>
    <row r="40" spans="1:2">
      <c r="A40" s="1116" t="s">
        <v>546</v>
      </c>
      <c r="B40" s="1117" t="str">
        <f ca="1">'预评函-2'!D20</f>
        <v>壹拾贰亿贰仟叁佰柒拾壹万元整</v>
      </c>
    </row>
    <row r="41" spans="1:2">
      <c r="A41" s="1116" t="s">
        <v>592</v>
      </c>
      <c r="B41" s="1117" t="str">
        <f>'预评函-3'!A4</f>
        <v>北京市朝阳区建国门外大街甲6号1幢房地产</v>
      </c>
    </row>
    <row r="42" spans="1:2" ht="31.2">
      <c r="A42" s="1116" t="s">
        <v>590</v>
      </c>
      <c r="B42" s="1117" t="str">
        <f>'预评函-3'!B2</f>
        <v>建筑面积</v>
      </c>
    </row>
    <row r="43" spans="1:2">
      <c r="A43" s="1116" t="s">
        <v>591</v>
      </c>
      <c r="B43" s="1117">
        <f>'预评函-3'!B4</f>
        <v>50178.659999999996</v>
      </c>
    </row>
    <row r="44" spans="1:2" ht="31.2">
      <c r="A44" s="1116" t="s">
        <v>575</v>
      </c>
      <c r="B44" s="1117" t="str">
        <f>'预评函-3'!C2</f>
        <v>(分摊)土地面积</v>
      </c>
    </row>
    <row r="45" spans="1:2">
      <c r="A45" s="1116" t="s">
        <v>547</v>
      </c>
      <c r="B45" s="1117">
        <f>'预评函-3'!C4</f>
        <v>3497.08</v>
      </c>
    </row>
    <row r="46" spans="1:2">
      <c r="A46" s="1116" t="s">
        <v>573</v>
      </c>
      <c r="B46" s="1117" t="str">
        <f>'预评函-3'!D2</f>
        <v>出让国有建设用地使用权价值</v>
      </c>
    </row>
    <row r="47" spans="1:2">
      <c r="A47" s="1116" t="s">
        <v>548</v>
      </c>
      <c r="B47" s="1117">
        <f ca="1">'预评函-3'!D4</f>
        <v>257188</v>
      </c>
    </row>
    <row r="48" spans="1:2">
      <c r="A48" s="1116" t="s">
        <v>549</v>
      </c>
      <c r="B48" s="1117">
        <f ca="1">'预评函-3'!E4</f>
        <v>51254</v>
      </c>
    </row>
    <row r="49" spans="1:2">
      <c r="A49" s="1116" t="s">
        <v>550</v>
      </c>
      <c r="B49" s="1117" t="str">
        <f ca="1">'预评函-3'!D5</f>
        <v>贰拾伍亿柒仟壹佰捌拾捌万元整</v>
      </c>
    </row>
    <row r="50" spans="1:2">
      <c r="A50" s="1116" t="s">
        <v>574</v>
      </c>
      <c r="B50" s="1117" t="str">
        <f>'预评函-3'!F2</f>
        <v>在建建筑物价值</v>
      </c>
    </row>
    <row r="51" spans="1:2">
      <c r="A51" s="1116" t="s">
        <v>551</v>
      </c>
      <c r="B51" s="1117">
        <f ca="1">'预评函-3'!F4</f>
        <v>64699</v>
      </c>
    </row>
    <row r="52" spans="1:2">
      <c r="A52" s="1116" t="s">
        <v>552</v>
      </c>
      <c r="B52" s="1117">
        <f ca="1">'预评函-3'!G4</f>
        <v>12894</v>
      </c>
    </row>
    <row r="53" spans="1:2">
      <c r="A53" s="1116" t="s">
        <v>580</v>
      </c>
      <c r="B53" s="1117" t="str">
        <f ca="1">'预评函-3'!F5</f>
        <v>陆亿肆仟陆佰玖拾玖万元整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梁津</v>
      </c>
    </row>
    <row r="71" spans="1:2">
      <c r="A71" s="1116" t="s">
        <v>563</v>
      </c>
      <c r="B71" s="1117">
        <f ca="1">'预评函-4'!B4</f>
        <v>1119970066</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2573</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2574</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3422</v>
      </c>
      <c r="C19" s="1439"/>
    </row>
    <row r="20" spans="1:3">
      <c r="A20" s="1438" t="s">
        <v>1048</v>
      </c>
      <c r="B20" s="1441" t="s">
        <v>3587</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4" t="s">
        <v>385</v>
      </c>
      <c r="C54" s="1442" t="s">
        <v>583</v>
      </c>
    </row>
    <row r="55" spans="1:4">
      <c r="A55" s="3225"/>
      <c r="B55" s="1444" t="s">
        <v>386</v>
      </c>
      <c r="C55" s="1442" t="s">
        <v>584</v>
      </c>
    </row>
    <row r="56" spans="1:4">
      <c r="A56" s="3225"/>
      <c r="B56" s="1444" t="s">
        <v>387</v>
      </c>
      <c r="C56" s="1442" t="s">
        <v>588</v>
      </c>
    </row>
    <row r="57" spans="1:4">
      <c r="A57" s="322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2496</v>
      </c>
      <c r="B1" s="2750"/>
      <c r="C1" s="2750"/>
      <c r="D1" s="2750"/>
      <c r="E1" s="2750"/>
      <c r="F1" s="2751"/>
      <c r="I1" s="3128" t="s">
        <v>2589</v>
      </c>
      <c r="J1" s="2776"/>
      <c r="K1" s="2776"/>
      <c r="L1" s="2776"/>
      <c r="M1" s="2776"/>
      <c r="N1" s="2961"/>
      <c r="O1" s="2961"/>
      <c r="P1" s="2961"/>
      <c r="Q1" s="2961"/>
      <c r="R1" s="2961"/>
    </row>
    <row r="2" spans="1:18">
      <c r="A2" s="2753"/>
      <c r="B2" s="2754"/>
      <c r="C2" s="2754"/>
      <c r="D2" s="2754"/>
      <c r="E2" s="2754"/>
      <c r="F2" s="2755"/>
      <c r="I2" s="3226" t="s">
        <v>2576</v>
      </c>
      <c r="J2" s="3226"/>
      <c r="K2" s="3226"/>
      <c r="L2" s="3226"/>
      <c r="M2" s="3226"/>
      <c r="N2" s="3226"/>
      <c r="O2" s="3226"/>
      <c r="P2" s="3226"/>
      <c r="Q2" s="3226"/>
      <c r="R2" s="3226"/>
    </row>
    <row r="3" spans="1:18">
      <c r="A3" s="2756" t="s">
        <v>2497</v>
      </c>
      <c r="B3" s="2757">
        <f>项目基本情况!D3</f>
        <v>45903</v>
      </c>
      <c r="C3" s="2759"/>
      <c r="D3" s="2759"/>
      <c r="E3" s="2759"/>
      <c r="F3" s="2755"/>
      <c r="I3" s="2771"/>
      <c r="J3" s="2771" t="s">
        <v>2580</v>
      </c>
      <c r="K3" s="2771" t="s">
        <v>2581</v>
      </c>
      <c r="L3" s="2771" t="s">
        <v>2582</v>
      </c>
      <c r="M3" s="2771" t="s">
        <v>2583</v>
      </c>
      <c r="N3" s="3129" t="s">
        <v>2584</v>
      </c>
      <c r="O3" s="3129" t="s">
        <v>2585</v>
      </c>
      <c r="P3" s="3129" t="s">
        <v>2586</v>
      </c>
      <c r="Q3" s="3129" t="s">
        <v>2587</v>
      </c>
      <c r="R3" s="3129"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1.29</v>
      </c>
      <c r="D5" s="2761">
        <f>IF(ISERROR(ROUND(POWER(1+E5,A5-C5)*(POWER(1+E5,C5)-1)/(POWER(1+E5,A5)-1),3)),0,ROUND(POWER(1+E5,A5-C5)*(POWER(1+E5,C5)-1)/(POWER(1+E5,A5)-1),4))</f>
        <v>6.2300000000000001E-2</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11.3</v>
      </c>
      <c r="D6" s="2761">
        <f>IF(ISERROR(ROUND(POWER(1+E6,A6-C6)*(POWER(1+E6,C6)-1)/(POWER(1+E6,A6)-1),3)),0,ROUND(POWER(1+E6,A6-C6)*(POWER(1+E6,C6)-1)/(POWER(1+E6,A6)-1),4))</f>
        <v>0.41660000000000003</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31.31</v>
      </c>
      <c r="D7" s="2761">
        <f>IF(ISERROR(ROUND(POWER(1+E7,A7-C7)*(POWER(1+E7,C7)-1)/(POWER(1+E7,A7)-1),3)),0,ROUND(POWER(1+E7,A7-C7)*(POWER(1+E7,C7)-1)/(POWER(1+E7,A7)-1),4))</f>
        <v>0.75560000000000005</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4">
      <c r="A17" s="2756" t="s">
        <v>2513</v>
      </c>
      <c r="B17" s="2764">
        <v>4810</v>
      </c>
      <c r="C17" s="2758"/>
      <c r="D17" s="2754"/>
      <c r="E17" s="2754"/>
      <c r="F17" s="2755"/>
    </row>
    <row r="18" spans="1:14" ht="15" thickBot="1">
      <c r="A18" s="2766" t="s">
        <v>2512</v>
      </c>
      <c r="B18" s="2767">
        <f>ROUND(B17*F11/F12,2)</f>
        <v>5541.87</v>
      </c>
      <c r="C18" s="2767">
        <f>ROUND(F11/F12,4)</f>
        <v>1.1521999999999999</v>
      </c>
      <c r="D18" s="2768"/>
      <c r="E18" s="2768"/>
      <c r="F18" s="2769"/>
    </row>
    <row r="19" spans="1:14" ht="15" thickBot="1"/>
    <row r="20" spans="1:14" s="2802" customFormat="1" ht="15" thickTop="1">
      <c r="A20" s="2799" t="s">
        <v>2515</v>
      </c>
      <c r="B20" s="2800"/>
      <c r="C20" s="2800"/>
      <c r="D20" s="2800"/>
      <c r="E20" s="2800"/>
      <c r="F20" s="2800"/>
      <c r="G20" s="2801"/>
      <c r="I20" s="2803" t="s">
        <v>2560</v>
      </c>
      <c r="J20" s="2803" t="s">
        <v>2565</v>
      </c>
      <c r="K20" s="2803"/>
      <c r="L20" s="2803"/>
      <c r="M20" s="2803"/>
    </row>
    <row r="21" spans="1:14">
      <c r="A21" s="2770"/>
      <c r="B21" s="2771" t="s">
        <v>2516</v>
      </c>
      <c r="C21" s="2771" t="s">
        <v>2517</v>
      </c>
      <c r="D21" s="2771" t="s">
        <v>2518</v>
      </c>
      <c r="E21" s="2771" t="s">
        <v>2519</v>
      </c>
      <c r="F21" s="2771" t="s">
        <v>2520</v>
      </c>
      <c r="G21" s="2772" t="s">
        <v>2521</v>
      </c>
      <c r="I21" s="2793">
        <v>5</v>
      </c>
      <c r="J21" s="2793">
        <v>54.2</v>
      </c>
    </row>
    <row r="22" spans="1:14">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2523</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2563</v>
      </c>
      <c r="N23" s="3146" t="s">
        <v>2564</v>
      </c>
    </row>
    <row r="24" spans="1:14">
      <c r="A24" s="2770" t="s">
        <v>2524</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2562</v>
      </c>
      <c r="N24" s="3146">
        <v>10</v>
      </c>
    </row>
    <row r="25" spans="1:14">
      <c r="A25" s="2770" t="s">
        <v>2525</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2566</v>
      </c>
      <c r="N25" s="3146">
        <v>8</v>
      </c>
    </row>
    <row r="26" spans="1:14">
      <c r="A26" s="2775"/>
      <c r="B26" s="2776"/>
      <c r="C26" s="2776"/>
      <c r="D26" s="2776"/>
      <c r="E26" s="2776"/>
      <c r="F26" s="2776"/>
      <c r="G26" s="2777"/>
      <c r="I26" s="2793">
        <v>30</v>
      </c>
      <c r="J26" s="2793">
        <v>90.5</v>
      </c>
      <c r="K26" s="2793">
        <f t="shared" si="2"/>
        <v>4.2000000000000028</v>
      </c>
      <c r="L26" s="2793" t="s">
        <v>2567</v>
      </c>
      <c r="N26" s="3146">
        <v>5</v>
      </c>
    </row>
    <row r="27" spans="1:14">
      <c r="A27" s="2775" t="s">
        <v>2526</v>
      </c>
      <c r="B27" s="2776"/>
      <c r="C27" s="2776"/>
      <c r="D27" s="2776"/>
      <c r="E27" s="2776"/>
      <c r="F27" s="2776"/>
      <c r="G27" s="2777"/>
      <c r="I27" s="2793">
        <v>35</v>
      </c>
      <c r="J27" s="2793">
        <v>93.8</v>
      </c>
      <c r="K27" s="2793">
        <f t="shared" si="2"/>
        <v>3.2999999999999972</v>
      </c>
      <c r="L27" s="2793" t="s">
        <v>2568</v>
      </c>
      <c r="N27" s="3146">
        <v>3</v>
      </c>
    </row>
    <row r="28" spans="1:14">
      <c r="A28" s="2775" t="s">
        <v>2527</v>
      </c>
      <c r="B28" s="2776"/>
      <c r="C28" s="2776"/>
      <c r="D28" s="2776"/>
      <c r="E28" s="2776"/>
      <c r="F28" s="2776"/>
      <c r="G28" s="2777"/>
      <c r="I28" s="2793">
        <v>40</v>
      </c>
      <c r="J28" s="2793">
        <v>96.4</v>
      </c>
      <c r="K28" s="2793">
        <f t="shared" si="2"/>
        <v>2.6000000000000085</v>
      </c>
      <c r="L28" s="2793" t="s">
        <v>2569</v>
      </c>
      <c r="N28" s="3146">
        <v>2</v>
      </c>
    </row>
    <row r="29" spans="1:14">
      <c r="A29" s="2775" t="s">
        <v>2528</v>
      </c>
      <c r="B29" s="2776"/>
      <c r="C29" s="2776"/>
      <c r="D29" s="2776"/>
      <c r="E29" s="2776"/>
      <c r="F29" s="2776"/>
      <c r="G29" s="2777"/>
      <c r="I29" s="2793">
        <v>45</v>
      </c>
      <c r="J29" s="2793">
        <v>98.4</v>
      </c>
      <c r="K29" s="2793">
        <f t="shared" si="2"/>
        <v>2</v>
      </c>
    </row>
    <row r="30" spans="1:14">
      <c r="A30" s="2775" t="s">
        <v>2529</v>
      </c>
      <c r="B30" s="2776"/>
      <c r="C30" s="2776"/>
      <c r="D30" s="2776"/>
      <c r="E30" s="2776"/>
      <c r="F30" s="2776"/>
      <c r="G30" s="2777"/>
      <c r="I30" s="2793">
        <v>50</v>
      </c>
      <c r="J30" s="2793">
        <v>100</v>
      </c>
      <c r="K30" s="2793">
        <f t="shared" si="2"/>
        <v>1.5999999999999943</v>
      </c>
    </row>
    <row r="31" spans="1:14">
      <c r="A31" s="2775" t="s">
        <v>2530</v>
      </c>
      <c r="B31" s="2776"/>
      <c r="C31" s="2776"/>
      <c r="D31" s="2776"/>
      <c r="E31" s="2776"/>
      <c r="F31" s="2776"/>
      <c r="G31" s="2777"/>
      <c r="I31" s="2793" t="s">
        <v>2561</v>
      </c>
    </row>
    <row r="32" spans="1:14">
      <c r="A32" s="2775" t="s">
        <v>2531</v>
      </c>
      <c r="B32" s="2776"/>
      <c r="C32" s="2776"/>
      <c r="D32" s="2776"/>
      <c r="E32" s="2776"/>
      <c r="F32" s="2776"/>
      <c r="G32" s="2777"/>
    </row>
    <row r="33" spans="1:14">
      <c r="A33" s="2775" t="s">
        <v>2532</v>
      </c>
      <c r="B33" s="2776"/>
      <c r="C33" s="2776"/>
      <c r="D33" s="2776"/>
      <c r="E33" s="2776"/>
      <c r="F33" s="2776"/>
      <c r="G33" s="2777"/>
      <c r="I33" s="2793" t="s">
        <v>2560</v>
      </c>
      <c r="J33" s="2793" t="s">
        <v>2570</v>
      </c>
    </row>
    <row r="34" spans="1:14">
      <c r="A34" s="2775" t="s">
        <v>2533</v>
      </c>
      <c r="B34" s="2776"/>
      <c r="C34" s="2776"/>
      <c r="D34" s="2776"/>
      <c r="E34" s="2776"/>
      <c r="F34" s="2776"/>
      <c r="G34" s="2777"/>
      <c r="I34" s="2793">
        <v>5</v>
      </c>
      <c r="J34" s="2793">
        <v>55.1</v>
      </c>
    </row>
    <row r="35" spans="1:14">
      <c r="A35" s="2775" t="s">
        <v>2534</v>
      </c>
      <c r="B35" s="2776"/>
      <c r="C35" s="2776"/>
      <c r="D35" s="2776"/>
      <c r="E35" s="2776"/>
      <c r="F35" s="2776"/>
      <c r="G35" s="2777"/>
      <c r="I35" s="2793">
        <v>10</v>
      </c>
      <c r="J35" s="2793">
        <v>67</v>
      </c>
      <c r="K35" s="2793">
        <f>J35-J34</f>
        <v>11.899999999999999</v>
      </c>
    </row>
    <row r="36" spans="1:14">
      <c r="A36" s="2775" t="s">
        <v>2535</v>
      </c>
      <c r="B36" s="2776"/>
      <c r="C36" s="2776"/>
      <c r="D36" s="2776"/>
      <c r="E36" s="2776"/>
      <c r="F36" s="2776"/>
      <c r="G36" s="2777"/>
      <c r="I36" s="2793">
        <v>15</v>
      </c>
      <c r="J36" s="2793">
        <v>76.3</v>
      </c>
      <c r="K36" s="2793">
        <f t="shared" ref="K36:K41" si="3">J36-J35</f>
        <v>9.2999999999999972</v>
      </c>
      <c r="L36" s="2793" t="s">
        <v>2563</v>
      </c>
      <c r="N36" s="3146" t="s">
        <v>2564</v>
      </c>
    </row>
    <row r="37" spans="1:14">
      <c r="A37" s="2775" t="s">
        <v>2536</v>
      </c>
      <c r="B37" s="2776"/>
      <c r="C37" s="2776"/>
      <c r="D37" s="2776"/>
      <c r="E37" s="2776"/>
      <c r="F37" s="2776"/>
      <c r="G37" s="2777"/>
      <c r="I37" s="2793">
        <v>20</v>
      </c>
      <c r="J37" s="2793">
        <v>83.6</v>
      </c>
      <c r="K37" s="2793">
        <f t="shared" si="3"/>
        <v>7.2999999999999972</v>
      </c>
      <c r="L37" s="2793" t="s">
        <v>2562</v>
      </c>
      <c r="N37" s="3146">
        <v>10</v>
      </c>
    </row>
    <row r="38" spans="1:14">
      <c r="A38" s="2775" t="s">
        <v>2537</v>
      </c>
      <c r="B38" s="2776"/>
      <c r="C38" s="2776"/>
      <c r="D38" s="2776"/>
      <c r="E38" s="2776"/>
      <c r="F38" s="2776"/>
      <c r="G38" s="2777"/>
      <c r="I38" s="2793">
        <v>25</v>
      </c>
      <c r="J38" s="2793">
        <v>89.3</v>
      </c>
      <c r="K38" s="2793">
        <f t="shared" si="3"/>
        <v>5.7000000000000028</v>
      </c>
      <c r="L38" s="2793" t="s">
        <v>2566</v>
      </c>
      <c r="N38" s="3146">
        <v>8</v>
      </c>
    </row>
    <row r="39" spans="1:14">
      <c r="A39" s="2775"/>
      <c r="B39" s="2776"/>
      <c r="C39" s="2776"/>
      <c r="D39" s="2776"/>
      <c r="E39" s="2776"/>
      <c r="F39" s="2776"/>
      <c r="G39" s="2777"/>
      <c r="I39" s="2793">
        <v>30</v>
      </c>
      <c r="J39" s="2793">
        <v>93.8</v>
      </c>
      <c r="K39" s="2793">
        <f t="shared" si="3"/>
        <v>4.5</v>
      </c>
      <c r="L39" s="2793" t="s">
        <v>2567</v>
      </c>
      <c r="N39" s="3146">
        <v>6</v>
      </c>
    </row>
    <row r="40" spans="1:14">
      <c r="A40" s="2778" t="s">
        <v>2538</v>
      </c>
      <c r="B40" s="2779"/>
      <c r="C40" s="2779"/>
      <c r="D40" s="2779"/>
      <c r="E40" s="2779"/>
      <c r="F40" s="2779"/>
      <c r="G40" s="2780"/>
      <c r="I40" s="2793">
        <v>35</v>
      </c>
      <c r="J40" s="2793">
        <v>97.2</v>
      </c>
      <c r="K40" s="2793">
        <f t="shared" si="3"/>
        <v>3.4000000000000057</v>
      </c>
      <c r="L40" s="2793" t="s">
        <v>2568</v>
      </c>
      <c r="N40" s="3146">
        <v>3</v>
      </c>
    </row>
    <row r="41" spans="1:14">
      <c r="A41" s="2781" t="s">
        <v>2539</v>
      </c>
      <c r="B41" s="2782" t="s">
        <v>2540</v>
      </c>
      <c r="C41" s="2783" t="s">
        <v>2541</v>
      </c>
      <c r="D41" s="2783" t="s">
        <v>2542</v>
      </c>
      <c r="E41" s="2784"/>
      <c r="F41" s="2785"/>
      <c r="G41" s="2786"/>
      <c r="I41" s="2793">
        <v>40</v>
      </c>
      <c r="J41" s="2793">
        <v>100</v>
      </c>
      <c r="K41" s="2793">
        <f t="shared" si="3"/>
        <v>2.7999999999999972</v>
      </c>
    </row>
    <row r="42" spans="1:14">
      <c r="A42" s="2781" t="s">
        <v>2543</v>
      </c>
      <c r="B42" s="2782" t="s">
        <v>2544</v>
      </c>
      <c r="C42" s="2783" t="s">
        <v>2545</v>
      </c>
      <c r="D42" s="2787" t="s">
        <v>2546</v>
      </c>
      <c r="E42" s="2779" t="s">
        <v>2547</v>
      </c>
      <c r="F42" s="2779"/>
      <c r="G42" s="2780"/>
    </row>
    <row r="43" spans="1:14">
      <c r="A43" s="2781" t="s">
        <v>2548</v>
      </c>
      <c r="B43" s="2782" t="s">
        <v>2549</v>
      </c>
      <c r="C43" s="2783" t="s">
        <v>2550</v>
      </c>
      <c r="D43" s="2783" t="s">
        <v>2551</v>
      </c>
      <c r="E43" s="2784" t="s">
        <v>2552</v>
      </c>
      <c r="F43" s="2785"/>
      <c r="G43" s="2786"/>
      <c r="I43" s="2793" t="s">
        <v>2560</v>
      </c>
      <c r="J43" s="2793" t="s">
        <v>2571</v>
      </c>
    </row>
    <row r="44" spans="1:14">
      <c r="A44" s="2781" t="s">
        <v>2553</v>
      </c>
      <c r="B44" s="2782" t="s">
        <v>2554</v>
      </c>
      <c r="C44" s="2783" t="s">
        <v>2555</v>
      </c>
      <c r="D44" s="2787">
        <v>0.5</v>
      </c>
      <c r="E44" s="2784" t="s">
        <v>2556</v>
      </c>
      <c r="F44" s="2785"/>
      <c r="G44" s="2786"/>
      <c r="I44" s="2793">
        <v>30</v>
      </c>
      <c r="J44" s="2793">
        <v>81.7</v>
      </c>
    </row>
    <row r="45" spans="1:14" ht="15" thickBot="1">
      <c r="A45" s="2788" t="s">
        <v>2557</v>
      </c>
      <c r="B45" s="2789" t="s">
        <v>2544</v>
      </c>
      <c r="C45" s="2790" t="s">
        <v>2544</v>
      </c>
      <c r="D45" s="2790" t="s">
        <v>2558</v>
      </c>
      <c r="E45" s="2791" t="s">
        <v>2559</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8" t="s">
        <v>3384</v>
      </c>
      <c r="B50" s="3138" t="s">
        <v>3385</v>
      </c>
      <c r="C50" s="3138" t="s">
        <v>3386</v>
      </c>
      <c r="D50" s="3138" t="s">
        <v>3387</v>
      </c>
    </row>
    <row r="51" spans="1:4">
      <c r="A51" s="3138" t="s">
        <v>3388</v>
      </c>
      <c r="B51" s="2758">
        <f>B52+B53</f>
        <v>15000</v>
      </c>
      <c r="C51" s="3139">
        <f>D51/B51</f>
        <v>2666.6666666666665</v>
      </c>
      <c r="D51" s="2758">
        <f>D52+D53</f>
        <v>40000000</v>
      </c>
    </row>
    <row r="52" spans="1:4">
      <c r="A52" s="3140" t="s">
        <v>3389</v>
      </c>
      <c r="B52" s="3141">
        <v>10000</v>
      </c>
      <c r="C52" s="3141">
        <v>1500</v>
      </c>
      <c r="D52" s="3142">
        <f>C52*B52</f>
        <v>15000000</v>
      </c>
    </row>
    <row r="53" spans="1:4">
      <c r="A53" s="3140" t="s">
        <v>3390</v>
      </c>
      <c r="B53" s="3141">
        <v>5000</v>
      </c>
      <c r="C53" s="3141">
        <v>5000</v>
      </c>
      <c r="D53" s="3142">
        <f>C53*B53</f>
        <v>25000000</v>
      </c>
    </row>
    <row r="54" spans="1:4">
      <c r="A54" s="3138" t="s">
        <v>3391</v>
      </c>
      <c r="B54" s="2758">
        <f>B51</f>
        <v>15000</v>
      </c>
      <c r="C54" s="2764">
        <v>700</v>
      </c>
      <c r="D54" s="2758">
        <f t="shared" ref="D54:D55" si="5">C54*B54</f>
        <v>10500000</v>
      </c>
    </row>
    <row r="55" spans="1:4">
      <c r="A55" s="3138" t="s">
        <v>3392</v>
      </c>
      <c r="B55" s="2758">
        <f>B51</f>
        <v>15000</v>
      </c>
      <c r="C55" s="2764">
        <v>1500</v>
      </c>
      <c r="D55" s="2758">
        <f t="shared" si="5"/>
        <v>22500000</v>
      </c>
    </row>
    <row r="56" spans="1:4">
      <c r="A56" s="3138" t="s">
        <v>3393</v>
      </c>
      <c r="B56" s="2758">
        <f>B51</f>
        <v>15000</v>
      </c>
      <c r="C56" s="3143">
        <f>C51+C54+C55</f>
        <v>4866.6666666666661</v>
      </c>
      <c r="D56" s="2758">
        <f>D51+D54+D55</f>
        <v>73000000</v>
      </c>
    </row>
    <row r="58" spans="1:4">
      <c r="A58" s="3138" t="s">
        <v>3394</v>
      </c>
      <c r="B58" s="3144">
        <v>0.05</v>
      </c>
      <c r="C58" s="2758">
        <f>C56*(1+B58)</f>
        <v>5110</v>
      </c>
      <c r="D58" s="2758">
        <f>D56*B58</f>
        <v>3650000</v>
      </c>
    </row>
    <row r="60" spans="1:4">
      <c r="A60" s="3138" t="s">
        <v>3395</v>
      </c>
      <c r="B60" s="2764">
        <v>3500</v>
      </c>
      <c r="C60" s="2764">
        <f>C53</f>
        <v>5000</v>
      </c>
      <c r="D60" s="2758">
        <f>C60*B60</f>
        <v>17500000</v>
      </c>
    </row>
    <row r="62" spans="1:4">
      <c r="A62" s="3138" t="s">
        <v>3396</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E42" sqref="E42"/>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4" t="str">
        <f>IF(B10="北京市","北京市",C10)&amp;F10&amp;IF(结果表!G1="在建","出让国有建设用地使用权及在建建筑物",IF(结果表!G1="土地","出让国有建设用地使用权",))&amp;B9&amp;"预评估"</f>
        <v>北京市朝阳区建国门外大街甲6号1幢房地产抵押价值预评估</v>
      </c>
      <c r="C1" s="3235"/>
      <c r="D1" s="3235"/>
      <c r="E1" s="3235"/>
      <c r="F1" s="3235"/>
      <c r="G1" s="3235"/>
      <c r="H1" s="3235"/>
      <c r="I1" s="3236"/>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615"/>
      <c r="U1" s="1615"/>
      <c r="V1" s="1615"/>
      <c r="W1" s="1615"/>
      <c r="X1" s="1615"/>
      <c r="Y1" s="1615"/>
      <c r="Z1" s="1615"/>
      <c r="AA1" s="1615"/>
      <c r="AB1" s="1615"/>
    </row>
    <row r="2" spans="1:30">
      <c r="A2" s="2179" t="s">
        <v>2169</v>
      </c>
      <c r="B2" s="122"/>
      <c r="D2" s="2442"/>
      <c r="E2" s="2436"/>
      <c r="F2" s="2436"/>
      <c r="G2" s="2437"/>
      <c r="H2" s="2437"/>
      <c r="I2" s="2437"/>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北京市朝阳区建国门外大街甲6号1幢房地产</v>
      </c>
      <c r="T2" s="1615"/>
      <c r="U2" s="1615"/>
      <c r="V2" s="1615"/>
      <c r="W2" s="1615"/>
      <c r="X2" s="1615"/>
      <c r="Y2" s="1615"/>
      <c r="Z2" s="1615"/>
      <c r="AA2" s="1615"/>
      <c r="AB2" s="1615"/>
    </row>
    <row r="3" spans="1:30">
      <c r="A3" s="294" t="s">
        <v>2170</v>
      </c>
      <c r="B3" s="3167">
        <v>45800</v>
      </c>
      <c r="C3" s="2182" t="s">
        <v>2171</v>
      </c>
      <c r="D3" s="3167">
        <v>45903</v>
      </c>
      <c r="E3" s="2437"/>
      <c r="F3" s="2437"/>
      <c r="G3" s="2437"/>
      <c r="H3" s="2437"/>
      <c r="I3" s="2437"/>
      <c r="J3" s="2241"/>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3" t="s">
        <v>3505</v>
      </c>
      <c r="C4" s="2184">
        <f ca="1">SUMIF(注册房地产估价师,B4,估价师及机构信息!B3:B24)</f>
        <v>1119970066</v>
      </c>
      <c r="D4" s="2183" t="s">
        <v>3409</v>
      </c>
      <c r="E4" s="2184">
        <f ca="1">SUMIF(注册房地产估价师,D4,估价师及机构信息!B3:B24)</f>
        <v>1120070131</v>
      </c>
      <c r="F4" s="2183"/>
      <c r="G4" s="2184">
        <f>SUMIF(注册房地产估价师,F4,估价师及机构信息!B3:B24)</f>
        <v>0</v>
      </c>
      <c r="H4" s="2183"/>
      <c r="I4" s="2184">
        <f>SUMIF(注册房地产估价师,H4,估价师及机构信息!B3:B24)</f>
        <v>0</v>
      </c>
      <c r="J4" s="2241"/>
      <c r="K4" s="2185" t="str">
        <f ca="1">CONCATENATE(B4,"（注册号：",C4,")、",D4,"（注册号：",E4,")")</f>
        <v>梁津（注册号：1119970066)、郑燚（注册号：1120070131)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6" t="s">
        <v>2173</v>
      </c>
      <c r="B5" s="2187"/>
      <c r="C5" s="2188"/>
      <c r="D5" s="2189"/>
      <c r="E5" s="2437"/>
      <c r="F5" s="2437"/>
      <c r="G5" s="2437"/>
      <c r="H5" s="2437"/>
      <c r="I5" s="2437"/>
      <c r="J5" s="2241"/>
      <c r="K5" s="2185"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0" t="s">
        <v>2174</v>
      </c>
      <c r="B6" s="2191"/>
      <c r="C6" s="2192"/>
      <c r="D6" s="2193"/>
      <c r="E6" s="2436"/>
      <c r="F6" s="2437"/>
      <c r="G6" s="2437"/>
      <c r="H6" s="2437"/>
      <c r="I6" s="2437"/>
      <c r="J6" s="2241"/>
      <c r="K6" s="2396" t="str">
        <f>IF(COUNTIF(B6,"*上海银行*"),"上海银行","")</f>
        <v/>
      </c>
      <c r="L6" s="2394"/>
      <c r="M6" s="2394"/>
      <c r="N6" s="2241"/>
      <c r="O6" s="1667"/>
      <c r="P6" s="2241"/>
      <c r="Q6" s="2241"/>
      <c r="R6" s="2241"/>
    </row>
    <row r="7" spans="1:30">
      <c r="A7" s="2190" t="s">
        <v>2175</v>
      </c>
      <c r="B7" s="2194"/>
      <c r="C7" s="2192"/>
      <c r="D7" s="2193"/>
      <c r="E7" s="2436"/>
      <c r="F7" s="2437"/>
      <c r="G7" s="2437"/>
      <c r="H7" s="2437"/>
      <c r="I7" s="2437"/>
      <c r="J7" s="2241"/>
      <c r="K7" s="2397"/>
      <c r="L7" s="2394"/>
      <c r="M7" s="2394"/>
      <c r="N7" s="2241"/>
      <c r="O7" s="1667"/>
      <c r="P7" s="2241"/>
      <c r="Q7" s="2241"/>
      <c r="R7" s="2241"/>
    </row>
    <row r="8" spans="1:30">
      <c r="A8" s="2195" t="s">
        <v>2176</v>
      </c>
      <c r="B8" s="2196" t="s">
        <v>3408</v>
      </c>
      <c r="C8" s="2197"/>
      <c r="D8" s="3237" t="s">
        <v>2177</v>
      </c>
      <c r="E8" s="2198" t="s">
        <v>3410</v>
      </c>
      <c r="F8" s="2199"/>
      <c r="G8" s="2437"/>
      <c r="H8" s="2437"/>
      <c r="I8" s="2437"/>
      <c r="J8" s="2241"/>
      <c r="K8" s="2395"/>
      <c r="L8" s="2394"/>
      <c r="M8" s="2394"/>
      <c r="N8" s="2241"/>
      <c r="O8" s="1667"/>
      <c r="P8" s="2241"/>
      <c r="Q8" s="2241"/>
      <c r="R8" s="2241"/>
    </row>
    <row r="9" spans="1:30" ht="13.8" thickBot="1">
      <c r="A9" s="2200" t="s">
        <v>2178</v>
      </c>
      <c r="B9" s="2201" t="s">
        <v>3410</v>
      </c>
      <c r="C9" s="2202"/>
      <c r="D9" s="3238"/>
      <c r="E9" s="2201" t="s">
        <v>587</v>
      </c>
      <c r="F9" s="2203"/>
      <c r="G9" s="2438"/>
      <c r="H9" s="2438"/>
      <c r="I9" s="2438"/>
      <c r="J9" s="2241"/>
      <c r="K9" s="2397"/>
      <c r="L9" s="2394"/>
      <c r="M9" s="2394"/>
      <c r="N9" s="2241"/>
      <c r="O9" s="1667"/>
      <c r="P9" s="2241"/>
      <c r="Q9" s="2241"/>
      <c r="R9" s="2241"/>
    </row>
    <row r="10" spans="1:30" ht="13.8" thickTop="1">
      <c r="A10" s="2204" t="s">
        <v>2179</v>
      </c>
      <c r="B10" s="2205" t="s">
        <v>3411</v>
      </c>
      <c r="C10" s="2206"/>
      <c r="D10" s="2189"/>
      <c r="E10" s="2207" t="s">
        <v>2180</v>
      </c>
      <c r="F10" s="3173" t="s">
        <v>3463</v>
      </c>
      <c r="G10" s="2439"/>
      <c r="H10" s="2440"/>
      <c r="I10" s="2441"/>
      <c r="J10" s="2241"/>
      <c r="K10" s="2397"/>
      <c r="L10" s="2394"/>
      <c r="M10" s="2394"/>
      <c r="N10" s="2241"/>
      <c r="O10" s="1667"/>
      <c r="P10" s="2241"/>
      <c r="Q10" s="2241"/>
      <c r="R10" s="2241"/>
    </row>
    <row r="11" spans="1:30">
      <c r="A11" s="2208" t="s">
        <v>2181</v>
      </c>
      <c r="B11" s="2209" t="s">
        <v>3412</v>
      </c>
      <c r="C11" s="2210"/>
      <c r="D11" s="2211"/>
      <c r="E11" s="2179"/>
      <c r="F11" s="2179"/>
      <c r="G11" s="2179"/>
      <c r="H11" s="2179"/>
      <c r="I11" s="2179"/>
      <c r="J11" s="2795"/>
      <c r="K11" s="2394"/>
      <c r="L11" s="2394"/>
      <c r="M11" s="2394"/>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4" t="s">
        <v>2572</v>
      </c>
      <c r="J12" s="2796"/>
      <c r="K12" s="2394"/>
      <c r="L12" s="2394"/>
      <c r="M12" s="2241"/>
      <c r="N12" s="1667"/>
      <c r="O12" s="2241"/>
      <c r="P12" s="2241"/>
      <c r="Q12" s="2241"/>
      <c r="AD12" s="1615"/>
    </row>
    <row r="13" spans="1:30">
      <c r="A13" s="3115" t="s">
        <v>3328</v>
      </c>
      <c r="B13" s="2214" t="s">
        <v>2190</v>
      </c>
      <c r="C13" s="800"/>
      <c r="D13" s="800">
        <v>52839</v>
      </c>
      <c r="E13" s="800">
        <v>56491</v>
      </c>
      <c r="F13" s="800">
        <v>56491</v>
      </c>
      <c r="G13" s="800"/>
      <c r="H13" s="800"/>
      <c r="I13" s="800"/>
      <c r="J13" s="2796"/>
      <c r="K13" s="2394"/>
      <c r="L13" s="2394"/>
      <c r="M13" s="2241"/>
      <c r="N13" s="1667"/>
      <c r="O13" s="2241"/>
      <c r="P13" s="2241"/>
      <c r="Q13" s="2241"/>
      <c r="AD13" s="1615"/>
    </row>
    <row r="14" spans="1:30">
      <c r="A14" s="1015"/>
      <c r="B14" s="2214" t="s">
        <v>2191</v>
      </c>
      <c r="C14" s="2215"/>
      <c r="D14" s="2215">
        <v>40</v>
      </c>
      <c r="E14" s="2215">
        <v>50</v>
      </c>
      <c r="F14" s="2215">
        <v>50</v>
      </c>
      <c r="G14" s="2215"/>
      <c r="H14" s="2215"/>
      <c r="I14" s="2215"/>
      <c r="J14" s="2797"/>
      <c r="K14" s="2394"/>
      <c r="L14" s="2394"/>
      <c r="M14" s="2241"/>
      <c r="N14" s="1667"/>
      <c r="O14" s="2241"/>
      <c r="P14" s="2241"/>
      <c r="Q14" s="2241"/>
      <c r="AD14" s="1615"/>
    </row>
    <row r="15" spans="1:30">
      <c r="A15" s="312"/>
      <c r="B15" s="2216" t="s">
        <v>2192</v>
      </c>
      <c r="C15" s="2217" t="str">
        <f>IF(A13="出让",IF(C13="","",ROUNDDOWN(MIN((C13-$D$3)/365,C14),2)),C14)</f>
        <v/>
      </c>
      <c r="D15" s="2217">
        <f>IF(A13="出让",IF(D13="","",ROUNDDOWN(MIN((D13-$D$3)/365,D14),2)),D14)</f>
        <v>19</v>
      </c>
      <c r="E15" s="2217">
        <f>IF(A13="出让",IF(E13="","",ROUNDDOWN(MIN((E13-$D$3)/365,E14),2)),E14)</f>
        <v>29</v>
      </c>
      <c r="F15" s="2217">
        <f>IF(A13="出让",IF(F13="","",ROUNDDOWN(MIN((F13-$D$3)/365,F14),2)),F14)</f>
        <v>29</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7" t="s">
        <v>2193</v>
      </c>
      <c r="B16" s="3244"/>
      <c r="C16" s="3245"/>
      <c r="D16" s="3246"/>
      <c r="E16" s="2218" t="s">
        <v>2194</v>
      </c>
      <c r="F16" s="3247"/>
      <c r="G16" s="3248"/>
      <c r="H16" s="3248"/>
      <c r="I16" s="3249"/>
      <c r="J16" s="2241"/>
      <c r="K16" s="2398"/>
      <c r="L16" s="1667"/>
      <c r="M16" s="1667"/>
      <c r="N16" s="2241"/>
      <c r="O16" s="1667"/>
      <c r="P16" s="2241"/>
      <c r="Q16" s="2241"/>
      <c r="R16" s="2241"/>
    </row>
    <row r="17" spans="1:28">
      <c r="A17" s="305" t="s">
        <v>2195</v>
      </c>
      <c r="B17" s="294" t="s">
        <v>2196</v>
      </c>
      <c r="C17" s="8">
        <f>'数据-汇总表'!E3</f>
        <v>50178.659999999996</v>
      </c>
      <c r="D17" s="1253" t="s">
        <v>2197</v>
      </c>
      <c r="E17" s="3250" t="s">
        <v>2198</v>
      </c>
      <c r="F17" s="3251"/>
      <c r="G17" s="3251"/>
      <c r="H17" s="3251"/>
      <c r="I17" s="3252"/>
      <c r="J17" s="2241"/>
      <c r="K17" s="2399"/>
      <c r="L17" s="1667"/>
      <c r="M17" s="1667"/>
      <c r="N17" s="2241"/>
      <c r="O17" s="1667"/>
      <c r="P17" s="2241"/>
      <c r="Q17" s="2241"/>
      <c r="R17" s="2241"/>
      <c r="S17" s="2241"/>
      <c r="T17" s="2241"/>
      <c r="U17" s="2241"/>
      <c r="V17" s="2241"/>
    </row>
    <row r="18" spans="1:28" ht="24.6" thickBot="1">
      <c r="A18" s="2219" t="s">
        <v>2199</v>
      </c>
      <c r="B18" s="1024" t="s">
        <v>2200</v>
      </c>
      <c r="C18" s="2220">
        <f>'数据-汇总表'!D3</f>
        <v>3497.08</v>
      </c>
      <c r="D18" s="1026" t="s">
        <v>2201</v>
      </c>
      <c r="E18" s="3253" t="s">
        <v>2202</v>
      </c>
      <c r="F18" s="3254"/>
      <c r="G18" s="3254"/>
      <c r="H18" s="3254"/>
      <c r="I18" s="3255"/>
      <c r="J18" s="2241"/>
      <c r="K18" s="2399"/>
      <c r="L18" s="1667"/>
      <c r="M18" s="1667"/>
      <c r="N18" s="2241"/>
      <c r="O18" s="1667"/>
      <c r="P18" s="2241"/>
      <c r="Q18" s="2241"/>
      <c r="R18" s="2241"/>
      <c r="S18" s="2241"/>
      <c r="T18" s="2241"/>
      <c r="U18" s="2241"/>
      <c r="V18" s="2241"/>
    </row>
    <row r="19" spans="1:28" ht="37.200000000000003" thickTop="1" thickBot="1">
      <c r="A19" s="319" t="s">
        <v>1055</v>
      </c>
      <c r="B19" s="299"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40" t="s">
        <v>2206</v>
      </c>
      <c r="C20" s="3241"/>
      <c r="D20" s="3242" t="s">
        <v>2207</v>
      </c>
      <c r="E20" s="3243"/>
      <c r="F20" s="2425" t="s">
        <v>1056</v>
      </c>
      <c r="G20" s="2437"/>
      <c r="H20" s="2437"/>
      <c r="I20" s="2437"/>
      <c r="J20" s="2241"/>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1"/>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1"/>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21"/>
      <c r="M23" s="2394"/>
      <c r="N23" s="2241"/>
      <c r="O23" s="1667"/>
      <c r="P23" s="2241"/>
      <c r="Q23" s="2241"/>
      <c r="R23" s="2241"/>
      <c r="S23" s="2241"/>
      <c r="T23" s="2241"/>
      <c r="U23" s="2241"/>
      <c r="V23" s="2241"/>
    </row>
    <row r="24" spans="1:28">
      <c r="A24" s="2416"/>
      <c r="B24" s="2288" t="s">
        <v>1059</v>
      </c>
      <c r="C24" s="2267"/>
      <c r="D24" s="2416" t="s">
        <v>1059</v>
      </c>
      <c r="E24" s="2420"/>
      <c r="F24" s="2437"/>
      <c r="G24" s="2437"/>
      <c r="H24" s="2437"/>
      <c r="I24" s="2437"/>
      <c r="J24" s="2241"/>
      <c r="K24" s="2396"/>
      <c r="L24" s="121"/>
      <c r="M24" s="2394"/>
      <c r="N24" s="2241"/>
      <c r="O24" s="1667"/>
      <c r="P24" s="2241"/>
      <c r="Q24" s="2241"/>
      <c r="R24" s="2241"/>
      <c r="S24" s="2241"/>
      <c r="T24" s="2241"/>
      <c r="U24" s="2241"/>
      <c r="V24" s="2241"/>
    </row>
    <row r="25" spans="1:28">
      <c r="A25" s="2416"/>
      <c r="B25" s="2288" t="s">
        <v>1060</v>
      </c>
      <c r="C25" s="2267"/>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8"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8" thickTop="1">
      <c r="A27" s="3228" t="s">
        <v>2214</v>
      </c>
      <c r="B27" s="312"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28"/>
      <c r="B28" s="294"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28"/>
      <c r="B29" s="294"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29"/>
      <c r="B30" s="294" t="s">
        <v>2218</v>
      </c>
      <c r="C30" s="3230"/>
      <c r="D30" s="3231"/>
      <c r="E30" s="2437"/>
      <c r="F30" s="2437"/>
      <c r="G30" s="2437"/>
      <c r="H30" s="2437"/>
      <c r="I30" s="2437"/>
      <c r="J30" s="2241"/>
      <c r="K30" s="2397"/>
      <c r="L30" s="2394"/>
      <c r="M30" s="2394"/>
      <c r="N30" s="2241"/>
      <c r="O30" s="1667"/>
      <c r="P30" s="2241"/>
      <c r="Q30" s="2241"/>
      <c r="R30" s="2241"/>
      <c r="S30" s="2241"/>
      <c r="T30" s="2241"/>
      <c r="U30" s="2241"/>
      <c r="V30" s="2241"/>
    </row>
    <row r="31" spans="1:28">
      <c r="A31" s="3232"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33"/>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33"/>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4" t="s">
        <v>2220</v>
      </c>
      <c r="B34" s="1867"/>
      <c r="C34" s="1867"/>
      <c r="D34" s="1867"/>
      <c r="E34" s="1867"/>
      <c r="F34" s="1867"/>
      <c r="G34" s="1867"/>
      <c r="H34" s="1867"/>
      <c r="I34" s="2437"/>
      <c r="J34" s="2241"/>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1"/>
      <c r="V34" s="2241"/>
    </row>
    <row r="35" spans="1:30">
      <c r="A35" s="2232"/>
      <c r="B35" s="3227" t="s">
        <v>2229</v>
      </c>
      <c r="C35" s="3227"/>
      <c r="D35" s="3227"/>
      <c r="E35" s="3227"/>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1"/>
      <c r="V35" s="2241"/>
    </row>
    <row r="36" spans="1:30">
      <c r="A36" s="2180"/>
      <c r="B36" s="8" t="s">
        <v>2185</v>
      </c>
      <c r="C36" s="8" t="s">
        <v>2186</v>
      </c>
      <c r="D36" s="8" t="s">
        <v>2184</v>
      </c>
      <c r="E36" s="8" t="s">
        <v>2189</v>
      </c>
      <c r="F36" s="2794" t="s">
        <v>2575</v>
      </c>
      <c r="G36" s="2437"/>
      <c r="H36" s="2437"/>
      <c r="I36" s="2437"/>
      <c r="J36" s="2241"/>
      <c r="K36" s="2397"/>
      <c r="L36" s="2394"/>
      <c r="M36" s="2394"/>
      <c r="N36" s="2241"/>
      <c r="O36" s="1667"/>
      <c r="P36" s="2241"/>
      <c r="Q36" s="2241"/>
      <c r="R36" s="2241"/>
      <c r="S36" s="2241"/>
      <c r="T36" s="2241"/>
      <c r="U36" s="2241"/>
      <c r="V36" s="2241"/>
    </row>
    <row r="37" spans="1:30">
      <c r="A37" s="2410" t="s">
        <v>2230</v>
      </c>
      <c r="B37" s="2233"/>
      <c r="C37" s="2233" t="s">
        <v>144</v>
      </c>
      <c r="D37" s="2233"/>
      <c r="E37" s="2233"/>
      <c r="F37" s="2233"/>
      <c r="G37" s="2437"/>
      <c r="H37" s="2437"/>
      <c r="I37" s="2437"/>
      <c r="J37" s="2241"/>
      <c r="K37" s="2397"/>
      <c r="L37" s="2394"/>
      <c r="M37" s="2394"/>
      <c r="N37" s="2241"/>
      <c r="O37" s="1667"/>
      <c r="P37" s="2241"/>
      <c r="Q37" s="2241"/>
      <c r="R37" s="2241"/>
      <c r="S37" s="2241"/>
      <c r="T37" s="2241"/>
      <c r="U37" s="2241"/>
      <c r="V37" s="2241"/>
    </row>
    <row r="38" spans="1:30" ht="13.8" thickBot="1">
      <c r="A38" s="2411" t="s">
        <v>2231</v>
      </c>
      <c r="B38" s="2234"/>
      <c r="C38" s="2234" t="s">
        <v>137</v>
      </c>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1"/>
      <c r="K40" s="2396"/>
      <c r="L40" s="1667"/>
      <c r="M40" s="1667"/>
      <c r="N40" s="2241"/>
      <c r="O40" s="1667"/>
      <c r="P40" s="2241"/>
      <c r="Q40" s="2241"/>
      <c r="R40" s="2241"/>
      <c r="S40" s="2241"/>
      <c r="T40" s="2241"/>
      <c r="U40" s="2241"/>
      <c r="V40" s="2241"/>
    </row>
    <row r="41" spans="1:30">
      <c r="A41" s="2238" t="s">
        <v>2233</v>
      </c>
      <c r="B41" s="1624"/>
      <c r="C41" s="1278"/>
      <c r="D41" s="2179"/>
      <c r="E41" s="2179"/>
      <c r="F41" s="2179"/>
      <c r="G41" s="2179"/>
      <c r="H41" s="2179"/>
      <c r="I41" s="1463"/>
      <c r="J41" s="2241"/>
      <c r="K41" s="2397"/>
      <c r="L41" s="2394"/>
      <c r="M41" s="2394"/>
      <c r="N41" s="2241"/>
      <c r="O41" s="1667"/>
      <c r="P41" s="2241"/>
      <c r="Q41" s="2241"/>
      <c r="R41" s="2241"/>
      <c r="S41" s="2241"/>
      <c r="T41" s="2241"/>
      <c r="U41" s="2241"/>
      <c r="V41" s="2241"/>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9387.34</v>
      </c>
      <c r="B3" s="11">
        <f>IF(C3="否",G5-AT5,G5)</f>
        <v>67600.929999999993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v>3497.08</v>
      </c>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73558.569999999992</v>
      </c>
      <c r="H5" s="13">
        <f t="shared" ref="H5:AT5" si="0">SUM(H13:H656)</f>
        <v>65127.539999999994</v>
      </c>
      <c r="I5" s="13">
        <f t="shared" si="0"/>
        <v>2348.6999999999998</v>
      </c>
      <c r="J5" s="13">
        <f t="shared" si="0"/>
        <v>0</v>
      </c>
      <c r="K5" s="13">
        <f t="shared" si="0"/>
        <v>45356.57</v>
      </c>
      <c r="L5" s="13">
        <f t="shared" si="0"/>
        <v>0</v>
      </c>
      <c r="M5" s="13">
        <f t="shared" si="0"/>
        <v>14617.74</v>
      </c>
      <c r="N5" s="13">
        <f t="shared" si="0"/>
        <v>0</v>
      </c>
      <c r="O5" s="13">
        <f t="shared" si="0"/>
        <v>2312.66</v>
      </c>
      <c r="P5" s="13">
        <f t="shared" si="0"/>
        <v>0</v>
      </c>
      <c r="Q5" s="13">
        <f t="shared" si="0"/>
        <v>491.87</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2473.39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2473.39</v>
      </c>
      <c r="AO5" s="13">
        <f t="shared" si="0"/>
        <v>0</v>
      </c>
      <c r="AP5" s="13">
        <f t="shared" si="0"/>
        <v>0</v>
      </c>
      <c r="AQ5" s="13">
        <f t="shared" si="0"/>
        <v>0</v>
      </c>
      <c r="AR5" s="13">
        <f t="shared" si="0"/>
        <v>0</v>
      </c>
      <c r="AS5" s="13">
        <f t="shared" si="0"/>
        <v>0</v>
      </c>
      <c r="AT5" s="13">
        <f t="shared" si="0"/>
        <v>5957.64</v>
      </c>
      <c r="AU5" s="1255"/>
      <c r="AV5" s="12" t="s">
        <v>1071</v>
      </c>
      <c r="AW5" s="1256"/>
      <c r="AX5" s="1256"/>
      <c r="AY5" s="14" t="s">
        <v>2</v>
      </c>
      <c r="AZ5" s="15">
        <f t="shared" ref="AZ5:BT5" si="1">SUM(AZ13:AZ656)</f>
        <v>50178.659999999996</v>
      </c>
      <c r="BA5" s="15">
        <f t="shared" si="1"/>
        <v>47705.27</v>
      </c>
      <c r="BB5" s="15">
        <f t="shared" si="1"/>
        <v>2348.6999999999998</v>
      </c>
      <c r="BC5" s="15">
        <f t="shared" si="1"/>
        <v>45356.57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2473.39</v>
      </c>
      <c r="BM5" s="15">
        <f t="shared" si="1"/>
        <v>0</v>
      </c>
      <c r="BN5" s="15">
        <f t="shared" si="1"/>
        <v>0</v>
      </c>
      <c r="BO5" s="15">
        <f t="shared" si="1"/>
        <v>0</v>
      </c>
      <c r="BP5" s="15">
        <f t="shared" si="1"/>
        <v>0</v>
      </c>
      <c r="BQ5" s="15">
        <f t="shared" si="1"/>
        <v>0</v>
      </c>
      <c r="BR5" s="15">
        <f t="shared" si="1"/>
        <v>2473.39</v>
      </c>
      <c r="BS5" s="15">
        <f t="shared" si="1"/>
        <v>0</v>
      </c>
      <c r="BT5" s="16">
        <f t="shared" si="1"/>
        <v>0</v>
      </c>
    </row>
    <row r="6" spans="1:72" s="1474" customFormat="1" ht="13.2">
      <c r="A6" s="12" t="s">
        <v>1072</v>
      </c>
      <c r="B6" s="1471"/>
      <c r="C6" s="1471"/>
      <c r="D6" s="1472"/>
      <c r="E6" s="13">
        <f>H6+AC6+AT6</f>
        <v>9387.3399999999983</v>
      </c>
      <c r="F6" s="13" t="s">
        <v>0</v>
      </c>
      <c r="G6" s="13" t="s">
        <v>1</v>
      </c>
      <c r="H6" s="17">
        <f>SUMIF(I$12:AB$12,"总值",I6:AB6)</f>
        <v>9043.8799999999992</v>
      </c>
      <c r="I6" s="13">
        <f t="shared" ref="I6:AB6" si="2">ROUND($A$3*I5/$B$3,2)</f>
        <v>326.14999999999998</v>
      </c>
      <c r="J6" s="13">
        <f t="shared" si="2"/>
        <v>0</v>
      </c>
      <c r="K6" s="13">
        <f t="shared" si="2"/>
        <v>6298.4</v>
      </c>
      <c r="L6" s="13">
        <f t="shared" si="2"/>
        <v>0</v>
      </c>
      <c r="M6" s="13">
        <f t="shared" si="2"/>
        <v>2029.88</v>
      </c>
      <c r="N6" s="13">
        <f t="shared" si="2"/>
        <v>0</v>
      </c>
      <c r="O6" s="13">
        <f t="shared" si="2"/>
        <v>321.14999999999998</v>
      </c>
      <c r="P6" s="13">
        <f t="shared" si="2"/>
        <v>0</v>
      </c>
      <c r="Q6" s="13">
        <f t="shared" si="2"/>
        <v>68.3</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343.46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343.46</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3497.08</v>
      </c>
      <c r="AZ6" s="13" t="s">
        <v>2</v>
      </c>
      <c r="BA6" s="13">
        <f>ROUND($AY$6*BA5/$AZ$5,2)</f>
        <v>3324.7</v>
      </c>
      <c r="BB6" s="13">
        <f>ROUND($AY$6*BB5/$AZ$5,2)</f>
        <v>163.69</v>
      </c>
      <c r="BC6" s="13">
        <f t="shared" ref="BC6:BH6" si="4">ROUND($AY$6*BC5/$AZ$5,2)</f>
        <v>3161.02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172.38</v>
      </c>
      <c r="BM6" s="13">
        <f t="shared" si="5"/>
        <v>0</v>
      </c>
      <c r="BN6" s="13">
        <f t="shared" si="5"/>
        <v>0</v>
      </c>
      <c r="BO6" s="13">
        <f t="shared" si="5"/>
        <v>0</v>
      </c>
      <c r="BP6" s="13">
        <f t="shared" si="5"/>
        <v>0</v>
      </c>
      <c r="BQ6" s="13">
        <f t="shared" si="5"/>
        <v>0</v>
      </c>
      <c r="BR6" s="13">
        <f t="shared" si="5"/>
        <v>172.38</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3414</v>
      </c>
      <c r="J9" s="758"/>
      <c r="K9" s="1488" t="s">
        <v>3414</v>
      </c>
      <c r="L9" s="758"/>
      <c r="M9" s="1488" t="s">
        <v>3415</v>
      </c>
      <c r="N9" s="758"/>
      <c r="O9" s="1488" t="s">
        <v>3415</v>
      </c>
      <c r="P9" s="758"/>
      <c r="Q9" s="1488" t="s">
        <v>3415</v>
      </c>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88" t="s">
        <v>21</v>
      </c>
      <c r="L10" s="758"/>
      <c r="M10" s="1494" t="s">
        <v>3329</v>
      </c>
      <c r="N10" s="758"/>
      <c r="O10" s="1494" t="s">
        <v>673</v>
      </c>
      <c r="P10" s="758"/>
      <c r="Q10" s="1494" t="s">
        <v>3330</v>
      </c>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t="str">
        <f>Q9</f>
        <v>地下</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车库</v>
      </c>
      <c r="BE11" s="1484" t="str">
        <f>O10</f>
        <v>商业</v>
      </c>
      <c r="BF11" s="1484" t="str">
        <f>Q10</f>
        <v>仓储</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628"/>
      <c r="B13" s="31"/>
      <c r="C13" s="3156">
        <v>67600.929999999993</v>
      </c>
      <c r="D13" s="1510" t="s">
        <v>3413</v>
      </c>
      <c r="E13" s="13">
        <f>IF($C$3="是",ROUND($A$3*G13/$B$3,2),ROUND($A$3*(G13-AT13)/$B$3,2))</f>
        <v>6968.01</v>
      </c>
      <c r="F13" s="29"/>
      <c r="G13" s="30">
        <f>H13+AC13+AT13</f>
        <v>56136.299999999996</v>
      </c>
      <c r="H13" s="17">
        <f>SUMIF(I$12:AB$12,"总值",I13:AB13)</f>
        <v>47705.27</v>
      </c>
      <c r="I13" s="1511">
        <v>2348.6999999999998</v>
      </c>
      <c r="J13" s="1511"/>
      <c r="K13" s="1511">
        <f>37576.47+7780.1</f>
        <v>45356.57</v>
      </c>
      <c r="L13" s="1511"/>
      <c r="M13" s="1511"/>
      <c r="N13" s="1511"/>
      <c r="O13" s="1511"/>
      <c r="P13" s="1511"/>
      <c r="Q13" s="1511"/>
      <c r="R13" s="1511"/>
      <c r="S13" s="1511"/>
      <c r="T13" s="1511"/>
      <c r="U13" s="1511"/>
      <c r="V13" s="1511"/>
      <c r="W13" s="1511"/>
      <c r="X13" s="1511"/>
      <c r="Y13" s="1511"/>
      <c r="Z13" s="1511"/>
      <c r="AA13" s="1511"/>
      <c r="AB13" s="1511"/>
      <c r="AC13" s="13">
        <f>SUMIF(AD$12:AS$12,"总值",AD13:AS13)</f>
        <v>2473.39</v>
      </c>
      <c r="AD13" s="986"/>
      <c r="AE13" s="986"/>
      <c r="AF13" s="986"/>
      <c r="AG13" s="986"/>
      <c r="AH13" s="986"/>
      <c r="AI13" s="986"/>
      <c r="AJ13" s="986"/>
      <c r="AK13" s="986"/>
      <c r="AL13" s="986"/>
      <c r="AM13" s="986"/>
      <c r="AN13" s="986">
        <v>2473.39</v>
      </c>
      <c r="AO13" s="986"/>
      <c r="AP13" s="986"/>
      <c r="AQ13" s="986"/>
      <c r="AR13" s="986"/>
      <c r="AS13" s="986"/>
      <c r="AT13" s="29">
        <f>111.84+5845.8</f>
        <v>5957.64</v>
      </c>
      <c r="AU13" s="1512"/>
      <c r="AV13" s="8">
        <f t="shared" ref="AV13:AX17" si="6">A13</f>
        <v>0</v>
      </c>
      <c r="AW13" s="8">
        <f t="shared" si="6"/>
        <v>0</v>
      </c>
      <c r="AX13" s="8">
        <f t="shared" si="6"/>
        <v>67600.929999999993</v>
      </c>
      <c r="AY13" s="1257">
        <f>ROUND($AY$6*AZ13/$AZ$5,2)</f>
        <v>3497.08</v>
      </c>
      <c r="AZ13" s="13">
        <f>BA13+BL13</f>
        <v>50178.659999999996</v>
      </c>
      <c r="BA13" s="13">
        <f>SUM(BB13:BK13)</f>
        <v>47705.27</v>
      </c>
      <c r="BB13" s="13">
        <f>IF($D13="是",I13-J13,0)</f>
        <v>2348.6999999999998</v>
      </c>
      <c r="BC13" s="13">
        <f>IF($D13="是",K13-L13,0)</f>
        <v>45356.57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2473.39</v>
      </c>
      <c r="BM13" s="13">
        <f>IF($D13="是",AD13-AE13,0)</f>
        <v>0</v>
      </c>
      <c r="BN13" s="13">
        <f>IF($D13="是",AF13-AG13,0)</f>
        <v>0</v>
      </c>
      <c r="BO13" s="13">
        <f>IF($D13="是",AH13-AI13,0)</f>
        <v>0</v>
      </c>
      <c r="BP13" s="13">
        <f>IF($D13="是",AJ13-AK13,0)</f>
        <v>0</v>
      </c>
      <c r="BQ13" s="13">
        <f>IF($D13="是",AL13-AM13,0)</f>
        <v>0</v>
      </c>
      <c r="BR13" s="13">
        <f>IF($D13="是",AN13-AO13,0)</f>
        <v>2473.39</v>
      </c>
      <c r="BS13" s="13">
        <f>IF($D13="是",AP13-AQ13,0)</f>
        <v>0</v>
      </c>
      <c r="BT13" s="19">
        <f>IF($D13="是",AR13-AS13,0)</f>
        <v>0</v>
      </c>
    </row>
    <row r="14" spans="1:72" s="1465" customFormat="1">
      <c r="A14" s="628"/>
      <c r="B14" s="31"/>
      <c r="C14" s="3184">
        <f>H5-C13</f>
        <v>-2473.3899999999994</v>
      </c>
      <c r="D14" s="1510" t="s">
        <v>3439</v>
      </c>
      <c r="E14" s="13">
        <f>IF($C$3="是",ROUND($A$3*G14/$B$3,2),ROUND($A$3*(G14-AT14)/$B$3,2))</f>
        <v>2419.33</v>
      </c>
      <c r="F14" s="29"/>
      <c r="G14" s="30">
        <f>H14+AC14+AT14</f>
        <v>17422.27</v>
      </c>
      <c r="H14" s="17">
        <f>SUMIF(I$12:AB$12,"总值",I14:AB14)</f>
        <v>17422.27</v>
      </c>
      <c r="I14" s="1511"/>
      <c r="J14" s="1511"/>
      <c r="K14" s="1511"/>
      <c r="L14" s="1511"/>
      <c r="M14" s="1511">
        <v>14617.74</v>
      </c>
      <c r="N14" s="1511"/>
      <c r="O14" s="1511">
        <v>2312.66</v>
      </c>
      <c r="P14" s="1511"/>
      <c r="Q14" s="1511">
        <v>491.87</v>
      </c>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-2473.3899999999994</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8"/>
      <c r="B15" s="628"/>
      <c r="C15" s="3156"/>
      <c r="D15" s="1510" t="s">
        <v>3413</v>
      </c>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8"/>
      <c r="B16" s="628"/>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8"/>
      <c r="B17" s="628"/>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topLeftCell="B10" zoomScaleNormal="100" zoomScaleSheetLayoutView="100" workbookViewId="0">
      <selection activeCell="C21" sqref="C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5" t="s">
        <v>1131</v>
      </c>
      <c r="B2" s="3265"/>
      <c r="C2" s="3265"/>
      <c r="D2" s="745" t="s">
        <v>1107</v>
      </c>
      <c r="E2" s="1520" t="s">
        <v>1108</v>
      </c>
      <c r="F2" s="2434"/>
      <c r="G2" s="2427"/>
      <c r="H2" s="2428"/>
      <c r="I2" s="2143" t="s">
        <v>1132</v>
      </c>
      <c r="J2" s="2434"/>
      <c r="K2" s="2434"/>
      <c r="L2" s="2434"/>
      <c r="M2" s="2434"/>
      <c r="N2" s="2435"/>
      <c r="O2" s="2434"/>
      <c r="P2" s="2434"/>
    </row>
    <row r="3" spans="1:16" ht="15" thickBot="1">
      <c r="A3" s="3266" t="s">
        <v>1105</v>
      </c>
      <c r="B3" s="3266"/>
      <c r="C3" s="3266"/>
      <c r="D3" s="41">
        <f>'数据-基础表'!AY6</f>
        <v>3497.08</v>
      </c>
      <c r="E3" s="41">
        <f>'数据-基础表'!AZ5</f>
        <v>50178.659999999996</v>
      </c>
      <c r="F3" s="2434"/>
      <c r="G3" s="42"/>
      <c r="H3" s="43" t="s">
        <v>1106</v>
      </c>
      <c r="I3" s="799">
        <f>ROUND('数据-基础表'!B3/'数据-基础表'!A3,2)</f>
        <v>7.2</v>
      </c>
      <c r="J3" s="2434"/>
      <c r="K3" s="2434"/>
      <c r="L3" s="2434"/>
      <c r="M3" s="2434"/>
      <c r="N3" s="2435"/>
      <c r="O3" s="2434"/>
      <c r="P3" s="2434"/>
    </row>
    <row r="4" spans="1:16" ht="14.4">
      <c r="A4" s="3267"/>
      <c r="B4" s="3268"/>
      <c r="C4" s="3269"/>
      <c r="D4" s="1521" t="s">
        <v>1107</v>
      </c>
      <c r="E4" s="1522" t="s">
        <v>1108</v>
      </c>
      <c r="F4" s="2434"/>
      <c r="G4" s="2429" t="s">
        <v>1133</v>
      </c>
      <c r="H4" s="43" t="s">
        <v>1113</v>
      </c>
      <c r="I4" s="799">
        <f>ROUND(SUMIF('数据-基础表'!I9:AS9,"地上",'数据-基础表'!I5:AS5)/'数据-基础表'!A3,2)</f>
        <v>5.08</v>
      </c>
      <c r="J4" s="2434"/>
      <c r="K4" s="2434"/>
      <c r="L4" s="2434"/>
      <c r="M4" s="2434"/>
      <c r="N4" s="2435"/>
      <c r="O4" s="2434"/>
      <c r="P4" s="2434"/>
    </row>
    <row r="5" spans="1:16" ht="14.4">
      <c r="A5" s="42" t="s">
        <v>1109</v>
      </c>
      <c r="B5" s="3270" t="s">
        <v>1110</v>
      </c>
      <c r="C5" s="3270"/>
      <c r="D5" s="43">
        <f>ROUND($D$3*E5/$E$3,2)</f>
        <v>0</v>
      </c>
      <c r="E5" s="44">
        <f>SUMIF('数据-基础表'!$11:$11,"住宅",'数据-基础表'!$5:$5)</f>
        <v>0</v>
      </c>
      <c r="F5" s="2434"/>
      <c r="G5" s="42"/>
      <c r="H5" s="43" t="s">
        <v>1106</v>
      </c>
      <c r="I5" s="799">
        <f>ROUND(E31/D31,2)</f>
        <v>14.35</v>
      </c>
      <c r="J5" s="2434"/>
      <c r="K5" s="2434"/>
      <c r="L5" s="2434"/>
      <c r="M5" s="2434"/>
      <c r="N5" s="2434"/>
      <c r="O5" s="2434"/>
      <c r="P5" s="2434"/>
    </row>
    <row r="6" spans="1:16" ht="15" thickBot="1">
      <c r="A6" s="1524"/>
      <c r="B6" s="3270" t="s">
        <v>1111</v>
      </c>
      <c r="C6" s="3270"/>
      <c r="D6" s="43">
        <f>ROUND($D$3*E6/$E$3,2)</f>
        <v>3497.08</v>
      </c>
      <c r="E6" s="44">
        <f>E3-E5</f>
        <v>50178.659999999996</v>
      </c>
      <c r="F6" s="2434"/>
      <c r="G6" s="1526" t="s">
        <v>1112</v>
      </c>
      <c r="H6" s="45" t="s">
        <v>1113</v>
      </c>
      <c r="I6" s="2430">
        <f>ROUND(F31/D31,2)</f>
        <v>13.64</v>
      </c>
      <c r="J6" s="2434"/>
      <c r="K6" s="2434"/>
      <c r="L6" s="2434"/>
      <c r="M6" s="2434"/>
      <c r="N6" s="2434"/>
      <c r="O6" s="2434"/>
      <c r="P6" s="2434"/>
    </row>
    <row r="7" spans="1:16" ht="15" thickBot="1">
      <c r="A7" s="3262"/>
      <c r="B7" s="3263"/>
      <c r="C7" s="3264"/>
      <c r="D7" s="1521" t="s">
        <v>1107</v>
      </c>
      <c r="E7" s="1525" t="s">
        <v>1114</v>
      </c>
      <c r="F7" s="2434"/>
      <c r="G7" s="2431" t="s">
        <v>1115</v>
      </c>
      <c r="H7" s="95"/>
      <c r="I7" s="2432">
        <v>4.87</v>
      </c>
      <c r="J7" s="2434"/>
      <c r="K7" s="2434"/>
      <c r="L7" s="2434"/>
      <c r="M7" s="2434"/>
      <c r="N7" s="2434"/>
      <c r="O7" s="2434"/>
      <c r="P7" s="2434"/>
    </row>
    <row r="8" spans="1:16" ht="14.4">
      <c r="A8" s="42" t="s">
        <v>1116</v>
      </c>
      <c r="B8" s="45" t="s">
        <v>1117</v>
      </c>
      <c r="C8" s="43" t="s">
        <v>1118</v>
      </c>
      <c r="D8" s="43">
        <f t="shared" ref="D8:D15" si="0">ROUND($D$3*E8/$E$3,2)</f>
        <v>3324.7</v>
      </c>
      <c r="E8" s="46">
        <f>SUMIF('数据-基础表'!BB10:BK10,"地上",'数据-基础表'!BB5:BK5)</f>
        <v>47705.27</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3324.7</v>
      </c>
      <c r="E16" s="48">
        <f>SUM(E8:E15)</f>
        <v>47705.27</v>
      </c>
      <c r="F16" s="2434"/>
      <c r="G16" s="2434"/>
      <c r="H16" s="1528" t="s">
        <v>1135</v>
      </c>
      <c r="I16" s="1529"/>
      <c r="J16" s="1068"/>
      <c r="K16" s="3259" t="s">
        <v>1135</v>
      </c>
      <c r="L16" s="3260"/>
      <c r="M16" s="3260"/>
      <c r="N16" s="3260"/>
      <c r="O16" s="3260"/>
      <c r="P16" s="3261"/>
    </row>
    <row r="17" spans="1:19" ht="14.4">
      <c r="A17" s="1530" t="s">
        <v>1136</v>
      </c>
      <c r="B17" s="1531" t="s">
        <v>1137</v>
      </c>
      <c r="C17" s="1532" t="s">
        <v>1138</v>
      </c>
      <c r="D17" s="1533" t="s">
        <v>1126</v>
      </c>
      <c r="E17" s="1534" t="s">
        <v>1127</v>
      </c>
      <c r="F17" s="1535"/>
      <c r="G17" s="1536"/>
      <c r="H17" s="1537" t="s">
        <v>1139</v>
      </c>
      <c r="I17" s="1538" t="s">
        <v>1124</v>
      </c>
      <c r="J17" s="1068"/>
      <c r="K17" s="3256" t="s">
        <v>1140</v>
      </c>
      <c r="L17" s="3257"/>
      <c r="M17" s="3258"/>
      <c r="N17" s="3256" t="s">
        <v>1141</v>
      </c>
      <c r="O17" s="3257"/>
      <c r="P17" s="3258"/>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09" t="s">
        <v>3585</v>
      </c>
      <c r="D19" s="43">
        <f>ROUND($D$3*E19/$E$3,2)</f>
        <v>163.69</v>
      </c>
      <c r="E19" s="51">
        <f t="shared" ref="E19:E26" si="1">SUM(F19:G19)</f>
        <v>2348.6999999999998</v>
      </c>
      <c r="F19" s="2551">
        <f>'数据-基础表'!I13</f>
        <v>2348.6999999999998</v>
      </c>
      <c r="G19" s="1240">
        <v>0</v>
      </c>
      <c r="H19" s="637">
        <f>ROUND($D$3*I19/$E$3,2)</f>
        <v>8.49</v>
      </c>
      <c r="I19" s="46">
        <f t="shared" ref="I19:I26" si="2">IF($I$17="自定义",P19,M19)</f>
        <v>121.77</v>
      </c>
      <c r="J19" s="1068"/>
      <c r="K19" s="637">
        <f t="shared" ref="K19:K26" si="3">ROUND(E$28*E19/E$27,2)</f>
        <v>121.77</v>
      </c>
      <c r="L19" s="43">
        <f t="shared" ref="L19:L26" si="4">ROUND(IF(COUNTIF(C19,"*住宅*")&gt;0,E$29*E19/E$32,0),2)</f>
        <v>0</v>
      </c>
      <c r="M19" s="46">
        <f>K19+L19</f>
        <v>121.77</v>
      </c>
      <c r="N19" s="1547"/>
      <c r="O19" s="1548"/>
      <c r="P19" s="46">
        <f>N19+O19</f>
        <v>0</v>
      </c>
      <c r="R19" s="43">
        <f t="shared" ref="R19:S26" si="5">D19+H19</f>
        <v>172.18</v>
      </c>
      <c r="S19" s="51">
        <f t="shared" si="5"/>
        <v>2470.4699999999998</v>
      </c>
    </row>
    <row r="20" spans="1:19" ht="14.4">
      <c r="A20" s="1546"/>
      <c r="B20" s="45" t="s">
        <v>1153</v>
      </c>
      <c r="C20" s="3109" t="s">
        <v>2808</v>
      </c>
      <c r="D20" s="43">
        <f t="shared" ref="D20:D26" si="6">ROUND($D$3*E20/$E$3,2)</f>
        <v>3161.02</v>
      </c>
      <c r="E20" s="51">
        <f t="shared" si="1"/>
        <v>45356.57</v>
      </c>
      <c r="F20" s="2551">
        <f>'数据-基础表'!K5</f>
        <v>45356.57</v>
      </c>
      <c r="G20" s="1240">
        <v>0</v>
      </c>
      <c r="H20" s="637">
        <f t="shared" ref="H20:H26" si="7">ROUND($D$3*I20/$E$3,2)</f>
        <v>163.89</v>
      </c>
      <c r="I20" s="46">
        <f t="shared" si="2"/>
        <v>2351.62</v>
      </c>
      <c r="J20" s="1068"/>
      <c r="K20" s="637">
        <f t="shared" si="3"/>
        <v>2351.62</v>
      </c>
      <c r="L20" s="43">
        <f t="shared" si="4"/>
        <v>0</v>
      </c>
      <c r="M20" s="46">
        <f t="shared" ref="M20:M26" si="8">K20+L20</f>
        <v>2351.62</v>
      </c>
      <c r="N20" s="1547"/>
      <c r="O20" s="1548"/>
      <c r="P20" s="46">
        <f t="shared" ref="P20:P26" si="9">N20+O20</f>
        <v>0</v>
      </c>
      <c r="R20" s="43">
        <f t="shared" si="5"/>
        <v>3324.91</v>
      </c>
      <c r="S20" s="51">
        <f t="shared" si="5"/>
        <v>47708.19</v>
      </c>
    </row>
    <row r="21" spans="1:19" ht="14.4">
      <c r="A21" s="1546"/>
      <c r="B21" s="45" t="s">
        <v>1153</v>
      </c>
      <c r="C21" s="3109"/>
      <c r="D21" s="43">
        <f t="shared" si="6"/>
        <v>0</v>
      </c>
      <c r="E21" s="51">
        <f t="shared" si="1"/>
        <v>0</v>
      </c>
      <c r="F21" s="2551"/>
      <c r="G21" s="1240"/>
      <c r="H21" s="637">
        <f t="shared" si="7"/>
        <v>0</v>
      </c>
      <c r="I21" s="46">
        <f t="shared" si="2"/>
        <v>0</v>
      </c>
      <c r="J21" s="1068"/>
      <c r="K21" s="637">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28.2" thickBot="1">
      <c r="A27" s="1546"/>
      <c r="B27" s="43"/>
      <c r="C27" s="1551" t="s">
        <v>1154</v>
      </c>
      <c r="D27" s="1069">
        <f>SUM(D19:D26)</f>
        <v>3324.71</v>
      </c>
      <c r="E27" s="1070">
        <f>IF(SUM(E19:E26)='数据-基础表'!BA5,SUM(E19:E26),IF(F27="地上面积有误","面积有误","地下面积有误"))</f>
        <v>47705.27</v>
      </c>
      <c r="F27" s="1069">
        <f>IF(SUM(F19:F26)=E8,SUM(F19:F26),"地上面积有误")</f>
        <v>47705.27</v>
      </c>
      <c r="G27" s="1071">
        <f>SUM(G19:G26)</f>
        <v>0</v>
      </c>
      <c r="H27" s="1072">
        <f>SUM(H19:H26)</f>
        <v>172.38</v>
      </c>
      <c r="I27" s="1073">
        <f>SUM(I19:I26)</f>
        <v>2473.39</v>
      </c>
      <c r="J27" s="1068"/>
      <c r="K27" s="1074">
        <f>SUM(K19:K26)</f>
        <v>2473.39</v>
      </c>
      <c r="L27" s="782">
        <f>SUM(L19:L26)</f>
        <v>0</v>
      </c>
      <c r="M27" s="1075">
        <f>SUM(M19:M26)</f>
        <v>2473.39</v>
      </c>
      <c r="N27" s="1074">
        <f t="shared" ref="N27:O27" si="10">SUM(N19:N26)</f>
        <v>0</v>
      </c>
      <c r="O27" s="782">
        <f t="shared" si="10"/>
        <v>0</v>
      </c>
      <c r="P27" s="94">
        <f>SUM(P19:P26)</f>
        <v>0</v>
      </c>
      <c r="R27" s="965" t="str">
        <f>IF(SUM(R19:R26)=$D$3,SUM(R19:R26),SUM(R19:R26)&amp;"误差"&amp;ROUND(SUM(R19:R26)-$D$3,2))</f>
        <v>3497.09误差0.01</v>
      </c>
      <c r="S27" s="43">
        <f>IF(SUM(S19:S26)=$E$3,SUM(S19:S26),SUM(S19:S26)&amp;"误差"&amp;ROUND(SUM(S19:S26)-E3,2))</f>
        <v>50178.66</v>
      </c>
    </row>
    <row r="28" spans="1:19" ht="14.4">
      <c r="A28" s="1546"/>
      <c r="B28" s="45" t="s">
        <v>1155</v>
      </c>
      <c r="C28" s="54" t="s">
        <v>1156</v>
      </c>
      <c r="D28" s="43">
        <f>ROUND($D$3*E28/$E$3,2)</f>
        <v>172.38</v>
      </c>
      <c r="E28" s="51">
        <f>SUM(F28:G28)</f>
        <v>2473.39</v>
      </c>
      <c r="F28" s="54">
        <f>'数据-基础表'!BQ5+'数据-基础表'!BS5</f>
        <v>0</v>
      </c>
      <c r="G28" s="55">
        <f>'数据-基础表'!BR5+'数据-基础表'!BT5</f>
        <v>2473.39</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172.38</v>
      </c>
      <c r="E30" s="1069">
        <f>SUM(E28:E29)</f>
        <v>2473.39</v>
      </c>
      <c r="F30" s="1069">
        <f>SUM(F28:F29)</f>
        <v>0</v>
      </c>
      <c r="G30" s="1071">
        <f>SUM(G28:G29)</f>
        <v>2473.39</v>
      </c>
      <c r="H30" s="2434"/>
      <c r="I30" s="2434"/>
      <c r="J30" s="2434"/>
      <c r="K30" s="2434"/>
      <c r="L30" s="2434"/>
      <c r="M30" s="2434"/>
      <c r="N30" s="2434"/>
      <c r="O30" s="2434"/>
      <c r="P30" s="2434"/>
    </row>
    <row r="31" spans="1:19" ht="15" thickBot="1">
      <c r="A31" s="1554"/>
      <c r="B31" s="96"/>
      <c r="C31" s="782" t="s">
        <v>1158</v>
      </c>
      <c r="D31" s="643">
        <f>D27+D30</f>
        <v>3497.09</v>
      </c>
      <c r="E31" s="643">
        <f>E27+E30</f>
        <v>50178.659999999996</v>
      </c>
      <c r="F31" s="644">
        <f>F27+F30</f>
        <v>47705.27</v>
      </c>
      <c r="G31" s="645">
        <f>G27+G30</f>
        <v>2473.39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7">
      <c r="D33" s="1555"/>
    </row>
    <row r="35" spans="4:7">
      <c r="G35" s="3164">
        <f>G27/E27</f>
        <v>0</v>
      </c>
    </row>
    <row r="38" spans="4:7">
      <c r="E38" s="3170">
        <f ca="1">结果表!G19-'数据-汇总表'!E39</f>
        <v>321887</v>
      </c>
      <c r="F38" s="3171">
        <f>F31</f>
        <v>47705.27</v>
      </c>
      <c r="G38" s="3172">
        <f ca="1">E38/F38*10000</f>
        <v>67474.096677369191</v>
      </c>
    </row>
    <row r="39" spans="4:7">
      <c r="E39" s="3170">
        <f>F39*G39/10000</f>
        <v>0</v>
      </c>
      <c r="F39" s="1519">
        <f>'数据-汇总表'!G19</f>
        <v>0</v>
      </c>
      <c r="G39" s="1519">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12" sqref="AK12"/>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9.10937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8" customFormat="1" ht="15" thickBot="1">
      <c r="A2" s="1559" t="s">
        <v>1161</v>
      </c>
      <c r="B2" s="981">
        <f>项目基本情况!D3</f>
        <v>45903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3416</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商业</v>
      </c>
      <c r="B6" s="1584" t="str">
        <f>IF(A6=0,"","经营性")</f>
        <v>经营性</v>
      </c>
      <c r="C6" s="1585" t="s">
        <v>673</v>
      </c>
      <c r="D6" s="802">
        <f>SUMIF(项目基本情况!C$12:I$12,C6,项目基本情况!C$14:I$14)</f>
        <v>40</v>
      </c>
      <c r="E6" s="801">
        <f>IF(B6="","",SUMIF(项目基本情况!C$12:I$12,C6,项目基本情况!C$13:I$13))</f>
        <v>52839</v>
      </c>
      <c r="F6" s="61">
        <f>SUMIF(项目基本情况!C$12:I$12,C6,项目基本情况!C$15:I$15)</f>
        <v>19</v>
      </c>
      <c r="G6" s="62">
        <f>IF(ISERROR(ROUND(POWER(1+H6,D6-F6)*(POWER(1+H6,F6)-1)/(POWER(1+H6,D6)-1),3)),0,ROUND(POWER(1+H6,D6-F6)*(POWER(1+H6,F6)-1)/(POWER(1+H6,D6)-1),3))</f>
        <v>0.70399999999999996</v>
      </c>
      <c r="H6" s="691">
        <v>0.05</v>
      </c>
      <c r="I6" s="691">
        <v>5.5E-2</v>
      </c>
      <c r="J6" s="63">
        <v>7.0000000000000007E-2</v>
      </c>
      <c r="K6" s="967">
        <f>SUMIF('数据-汇总表'!C$19:C$33,A6,'数据-汇总表'!E$19:E$33)</f>
        <v>2348.6999999999998</v>
      </c>
      <c r="L6" s="692">
        <v>5500</v>
      </c>
      <c r="M6" s="64">
        <f t="shared" ref="M6:M14" si="0">ROUND(K6*L6/10000,0)</f>
        <v>1292</v>
      </c>
      <c r="N6" s="690">
        <v>0.95</v>
      </c>
      <c r="O6" s="64" t="str">
        <f>IF($N$5="成新度","——",ROUND(M6*N6,0))</f>
        <v>——</v>
      </c>
      <c r="P6" s="65" t="str">
        <f>IF($N$5="成新度","——",M6-O6)</f>
        <v>——</v>
      </c>
      <c r="Q6" s="693">
        <v>0.2</v>
      </c>
      <c r="R6" s="66">
        <f ca="1">SUMIF('数据-汇总表'!C$19:C$33,A6,'数据-汇总表'!R$19:R$27)</f>
        <v>172.18</v>
      </c>
      <c r="S6" s="49">
        <f>IF('数据-汇总表'!$I$17="按面积比例",SUMIF('数据-汇总表'!C$19:C$33,A6,'数据-汇总表'!K$19:K$33),SUMIF('数据-汇总表'!C$19:C$33,A6,'数据-汇总表'!N$19:N$33))</f>
        <v>121.77</v>
      </c>
      <c r="T6" s="1089">
        <f>ROUND($L$14*S6/10000,0)</f>
        <v>67</v>
      </c>
      <c r="U6" s="3120">
        <v>11</v>
      </c>
      <c r="V6" s="67">
        <v>0.02</v>
      </c>
      <c r="W6" s="67">
        <v>0.1</v>
      </c>
      <c r="X6" s="976"/>
      <c r="Y6" s="68">
        <f>N6</f>
        <v>0.95</v>
      </c>
      <c r="Z6" s="69"/>
      <c r="AA6" s="63"/>
      <c r="AB6" s="63"/>
      <c r="AC6" s="976"/>
      <c r="AD6" s="70"/>
      <c r="AE6" s="977">
        <f ca="1">IF(AN6="",0,SUMIF(INDIRECT("'"&amp;AN6&amp;"'"&amp;"!E:E"),$AE$5,INDIRECT("'"&amp;AN6&amp;"'"&amp;"!F:F")))</f>
        <v>19</v>
      </c>
      <c r="AF6" s="74"/>
      <c r="AG6" s="130">
        <f>IF(AF6="",0,AE6-AF6)</f>
        <v>0</v>
      </c>
      <c r="AH6" s="71"/>
      <c r="AI6" s="73">
        <v>365</v>
      </c>
      <c r="AJ6" s="74"/>
      <c r="AK6" s="75">
        <v>5.0000000000000001E-3</v>
      </c>
      <c r="AL6" s="76">
        <v>1E-3</v>
      </c>
      <c r="AM6" s="77">
        <v>0.01</v>
      </c>
      <c r="AN6" s="1586" t="s">
        <v>3420</v>
      </c>
      <c r="AO6" s="50">
        <f ca="1">SUMIF(INDIRECT("'"&amp;AN6&amp;"'"&amp;"!A:A"),"总价",INDIRECT("'"&amp;AN6&amp;"'"&amp;"!B:B"))</f>
        <v>9625</v>
      </c>
      <c r="AP6" s="1587">
        <f>IF(C6="住宅",K6*L6,0)</f>
        <v>0</v>
      </c>
      <c r="AQ6" s="50">
        <f>ROUND($L$14*$N$14*S6/10000,0)</f>
        <v>64</v>
      </c>
      <c r="AR6" s="50">
        <f>ROUND($L$14*(1-$N$14)*S6/10000,0)</f>
        <v>3</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56491</v>
      </c>
      <c r="F7" s="61">
        <f>SUMIF(项目基本情况!C$12:I$12,C7,项目基本情况!C$15:I$15)</f>
        <v>29</v>
      </c>
      <c r="G7" s="62">
        <f t="shared" ref="G7:G11" si="2">IF(ISERROR(ROUND(POWER(1+H7,D7-F7)*(POWER(1+H7,F7)-1)/(POWER(1+H7,D7)-1),3)),0,ROUND(POWER(1+H7,D7-F7)*(POWER(1+H7,F7)-1)/(POWER(1+H7,D7)-1),3))</f>
        <v>0.82899999999999996</v>
      </c>
      <c r="H7" s="691">
        <v>0.05</v>
      </c>
      <c r="I7" s="691">
        <v>5.5E-2</v>
      </c>
      <c r="J7" s="63">
        <v>7.0000000000000007E-2</v>
      </c>
      <c r="K7" s="967">
        <f>SUMIF('数据-汇总表'!C$19:C$33,A7,'数据-汇总表'!E$19:E$33)</f>
        <v>45356.57</v>
      </c>
      <c r="L7" s="692">
        <f>L6</f>
        <v>5500</v>
      </c>
      <c r="M7" s="64">
        <f t="shared" si="0"/>
        <v>24946</v>
      </c>
      <c r="N7" s="690">
        <f>N6</f>
        <v>0.95</v>
      </c>
      <c r="O7" s="64" t="str">
        <f t="shared" ref="O7:O14" si="3">IF($N$5="成新度","——",ROUND(M7*N7,0))</f>
        <v>——</v>
      </c>
      <c r="P7" s="65" t="str">
        <f t="shared" ref="P7:P14" si="4">IF($N$5="成新度","——",M7-O7)</f>
        <v>——</v>
      </c>
      <c r="Q7" s="693">
        <v>0.15</v>
      </c>
      <c r="R7" s="66">
        <f ca="1">SUMIF('数据-汇总表'!C$19:C$33,A7,'数据-汇总表'!R$19:R$27)</f>
        <v>3324.91</v>
      </c>
      <c r="S7" s="49">
        <f>IF('数据-汇总表'!$I$17="按面积比例",SUMIF('数据-汇总表'!C$19:C$33,A7,'数据-汇总表'!K$19:K$33),SUMIF('数据-汇总表'!C$19:C$33,A7,'数据-汇总表'!N$19:N$33))</f>
        <v>2351.62</v>
      </c>
      <c r="T7" s="1089">
        <f t="shared" ref="T7:T13" si="5">ROUND($L$14*S7/10000,0)</f>
        <v>1293</v>
      </c>
      <c r="U7" s="3120">
        <v>11</v>
      </c>
      <c r="V7" s="67">
        <v>0.02</v>
      </c>
      <c r="W7" s="67">
        <v>0.1</v>
      </c>
      <c r="X7" s="976"/>
      <c r="Y7" s="68">
        <f>Y6</f>
        <v>0.95</v>
      </c>
      <c r="Z7" s="69"/>
      <c r="AA7" s="63"/>
      <c r="AB7" s="63"/>
      <c r="AC7" s="976"/>
      <c r="AD7" s="70"/>
      <c r="AE7" s="977">
        <f t="shared" ref="AE7:AE13" ca="1" si="6">IF(AN7="",0,SUMIF(INDIRECT("'"&amp;AN7&amp;"'"&amp;"!E:E"),$AE$5,INDIRECT("'"&amp;AN7&amp;"'"&amp;"!F:F")))</f>
        <v>29</v>
      </c>
      <c r="AF7" s="74"/>
      <c r="AG7" s="130">
        <f t="shared" ref="AG7:AG13" si="7">IF(AF7="",0,AE7-AF7)</f>
        <v>0</v>
      </c>
      <c r="AH7" s="71"/>
      <c r="AI7" s="73">
        <v>365</v>
      </c>
      <c r="AJ7" s="74"/>
      <c r="AK7" s="75">
        <v>5.0000000000000001E-3</v>
      </c>
      <c r="AL7" s="76">
        <v>1E-3</v>
      </c>
      <c r="AM7" s="77">
        <v>0.01</v>
      </c>
      <c r="AN7" s="1586" t="s">
        <v>3586</v>
      </c>
      <c r="AO7" s="50">
        <f t="shared" ref="AO7:AO13" ca="1" si="8">SUMIF(INDIRECT("'"&amp;AN7&amp;"'"&amp;"!A:A"),"总价",INDIRECT("'"&amp;AN7&amp;"'"&amp;"!B:B"))</f>
        <v>238796</v>
      </c>
      <c r="AP7" s="1587">
        <f t="shared" ref="AP7:AP13" si="9">IF(C7="住宅",K7*L7,0)</f>
        <v>0</v>
      </c>
      <c r="AQ7" s="50">
        <f t="shared" ref="AQ7:AQ13" si="10">ROUND($L$14*$N$14*S7/10000,0)</f>
        <v>1229</v>
      </c>
      <c r="AR7" s="50">
        <f t="shared" ref="AR7:AR13" si="11">ROUND($L$14*(1-$N$14)*S7/10000,0)</f>
        <v>65</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91">
        <v>4.4999999999999998E-2</v>
      </c>
      <c r="I8" s="691">
        <v>0.05</v>
      </c>
      <c r="J8" s="63">
        <v>7.0000000000000007E-2</v>
      </c>
      <c r="K8" s="967">
        <f>SUMIF('数据-汇总表'!C$19:C$33,A8,'数据-汇总表'!E$19:E$33)</f>
        <v>0</v>
      </c>
      <c r="L8" s="692">
        <f>L7</f>
        <v>5500</v>
      </c>
      <c r="M8" s="64">
        <f>ROUND(K8*L8/10000,0)</f>
        <v>0</v>
      </c>
      <c r="N8" s="690">
        <f>N7</f>
        <v>0.95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89">
        <f t="shared" si="5"/>
        <v>0</v>
      </c>
      <c r="U8" s="3121"/>
      <c r="V8" s="694"/>
      <c r="W8" s="694"/>
      <c r="X8" s="976"/>
      <c r="Y8" s="68"/>
      <c r="Z8" s="69"/>
      <c r="AA8" s="63"/>
      <c r="AB8" s="63"/>
      <c r="AC8" s="976"/>
      <c r="AD8" s="70"/>
      <c r="AE8" s="977">
        <f t="shared" ca="1" si="6"/>
        <v>0</v>
      </c>
      <c r="AF8" s="74"/>
      <c r="AG8" s="130">
        <f t="shared" si="7"/>
        <v>0</v>
      </c>
      <c r="AH8" s="71"/>
      <c r="AI8" s="73"/>
      <c r="AJ8" s="74"/>
      <c r="AK8" s="75"/>
      <c r="AL8" s="76"/>
      <c r="AM8" s="77"/>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2473.39</v>
      </c>
      <c r="L14" s="79">
        <f>L6</f>
        <v>5500</v>
      </c>
      <c r="M14" s="64">
        <f t="shared" si="0"/>
        <v>1360</v>
      </c>
      <c r="N14" s="80">
        <f>N6</f>
        <v>0.95</v>
      </c>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0.82299999999999995</v>
      </c>
      <c r="H16" s="84">
        <f>ROUND(SUMPRODUCT(H6:H13,K6:K13)/SUMPRODUCT((H6:H13&gt;0)*(K6:K13)),3)</f>
        <v>0.05</v>
      </c>
      <c r="I16" s="85"/>
      <c r="J16" s="85"/>
      <c r="K16" s="86">
        <f>SUM(K6:K15)</f>
        <v>50178.659999999996</v>
      </c>
      <c r="L16" s="87">
        <f>ROUND(M16*10000/SUM(K6:K14),0)</f>
        <v>5500</v>
      </c>
      <c r="M16" s="87">
        <f>SUM(M6:M14)</f>
        <v>27598</v>
      </c>
      <c r="N16" s="88">
        <f>ROUND(SUMPRODUCT(M6:M14,N6:N14)/M16,3)</f>
        <v>0.95</v>
      </c>
      <c r="O16" s="87">
        <f>SUM(O6:O14)</f>
        <v>0</v>
      </c>
      <c r="P16" s="87">
        <f>SUM(P6:P14)</f>
        <v>0</v>
      </c>
      <c r="Q16" s="89">
        <f>ROUND(SUMPRODUCT(Q6:Q13,K6:K13)/SUMPRODUCT((Q6:Q13&gt;0)*(K6:K13)),2)</f>
        <v>0.15</v>
      </c>
      <c r="R16" s="971">
        <f ca="1">SUM(R6:R13)</f>
        <v>3497.0899999999997</v>
      </c>
      <c r="S16" s="90">
        <f>SUM(S6:S13)</f>
        <v>2473.39</v>
      </c>
      <c r="T16" s="91">
        <f>IF(SUMIF(T6:T13,"&lt;9E307")=M14,SUMIF(T6:T13,"&lt;9E307"),"有误，请检查")</f>
        <v>1360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57" t="s">
        <v>3417</v>
      </c>
      <c r="N18" s="2443">
        <v>2024</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2298</v>
      </c>
      <c r="D19" s="2446"/>
      <c r="E19" s="2434"/>
      <c r="F19" s="2434"/>
      <c r="G19" s="2434"/>
      <c r="H19" s="2434"/>
      <c r="I19" s="2434"/>
      <c r="J19" s="2434"/>
      <c r="K19" s="2444"/>
      <c r="L19" s="2444"/>
      <c r="M19" s="3157" t="s">
        <v>3418</v>
      </c>
      <c r="N19" s="2443">
        <f>ROUND(1-(1-0%)*(2025-N18)/60,2)</f>
        <v>0.98</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3</v>
      </c>
      <c r="C20" s="2555" t="s">
        <v>2296</v>
      </c>
      <c r="D20" s="2446"/>
      <c r="E20" s="2434"/>
      <c r="F20" s="2434"/>
      <c r="G20" s="2434"/>
      <c r="H20" s="2434"/>
      <c r="I20" s="2434"/>
      <c r="J20" s="2434"/>
      <c r="K20" s="2444"/>
      <c r="L20" s="2444"/>
      <c r="M20" s="3157" t="s">
        <v>3419</v>
      </c>
      <c r="N20" s="2443">
        <v>0.85</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3</v>
      </c>
      <c r="C21" s="2434"/>
      <c r="D21" s="2446"/>
      <c r="E21" s="2434"/>
      <c r="F21" s="2434"/>
      <c r="G21" s="2434"/>
      <c r="H21" s="2434"/>
      <c r="I21" s="2434"/>
      <c r="J21" s="2434"/>
      <c r="K21" s="2444"/>
      <c r="L21" s="2444"/>
      <c r="M21" s="3157" t="s">
        <v>458</v>
      </c>
      <c r="N21" s="2443">
        <f>ROUND(N20*0.7+N19*0.3,2)</f>
        <v>0.89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1">
        <v>160</v>
      </c>
      <c r="C27" s="2556"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5">
        <f>ROUND(B28*K16/10000,0)</f>
        <v>1004</v>
      </c>
      <c r="C29" s="2557"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40">
        <v>0.05</v>
      </c>
      <c r="C33" s="2558"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6">
        <v>0</v>
      </c>
      <c r="C34" s="2558"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3">
        <v>200</v>
      </c>
      <c r="C35" s="2558"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7">
        <v>0.02</v>
      </c>
      <c r="C36" s="2558"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8">
        <v>0.02</v>
      </c>
      <c r="C37" s="2558"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6">
        <v>0.02</v>
      </c>
      <c r="C38" s="2558"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2306</v>
      </c>
      <c r="B40" s="1012">
        <f ca="1">IF(A40="利息：取LPR",存贷款利率!G1,存贷款利率!G1+C40)</f>
        <v>0.03</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2">
        <v>7.0000000000000007E-2</v>
      </c>
      <c r="C44" s="2558"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10">
        <v>0.03</v>
      </c>
      <c r="C45" s="2557"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10">
        <v>0.02</v>
      </c>
      <c r="C46" s="2557"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3"/>
      <c r="C47" s="2560"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4">
        <v>0.03</v>
      </c>
      <c r="C48" s="2557"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10">
        <v>5.0000000000000001E-4</v>
      </c>
      <c r="C49" s="2557"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7">
        <f>SUMIF(A54:A63,B53,B54:B63)</f>
        <v>30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144</v>
      </c>
      <c r="C53" s="2435" t="s">
        <v>1246</v>
      </c>
      <c r="D53" s="2559"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5" customFormat="1" ht="18" thickBot="1">
      <c r="A1" s="3271" t="s">
        <v>2282</v>
      </c>
      <c r="B1" s="3272"/>
      <c r="C1" s="3272"/>
      <c r="D1" s="3272"/>
      <c r="E1" s="3272"/>
      <c r="F1" s="3272"/>
      <c r="G1" s="327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2278</v>
      </c>
      <c r="D2" s="1592"/>
      <c r="E2" s="2256"/>
      <c r="F2" s="2259"/>
      <c r="G2" s="2258" t="s">
        <v>2279</v>
      </c>
      <c r="H2" s="748"/>
      <c r="I2" s="748"/>
      <c r="J2" s="748"/>
      <c r="K2" s="748"/>
      <c r="L2" s="748"/>
      <c r="M2" s="748"/>
      <c r="N2" s="748"/>
      <c r="O2" s="748"/>
      <c r="P2" s="748"/>
      <c r="Q2" s="748"/>
    </row>
    <row r="3" spans="1:29" ht="39.6">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5" t="s">
        <v>2254</v>
      </c>
      <c r="C4" s="2265"/>
      <c r="D4" s="2262"/>
      <c r="E4" s="2266"/>
      <c r="F4" s="1278" t="s">
        <v>2255</v>
      </c>
      <c r="G4" s="2267" t="s">
        <v>2256</v>
      </c>
      <c r="H4" s="748"/>
      <c r="I4" s="748"/>
      <c r="J4" s="748"/>
      <c r="K4" s="748"/>
      <c r="L4" s="748"/>
      <c r="M4" s="748"/>
      <c r="N4" s="748"/>
      <c r="O4" s="748"/>
      <c r="P4" s="748"/>
      <c r="Q4" s="748"/>
    </row>
    <row r="5" spans="1:29" ht="84">
      <c r="A5" s="2244"/>
      <c r="B5" s="315" t="s">
        <v>2257</v>
      </c>
      <c r="C5" s="3158" t="s">
        <v>3492</v>
      </c>
      <c r="D5" s="2262"/>
      <c r="E5" s="2266"/>
      <c r="F5" s="315" t="s">
        <v>2258</v>
      </c>
      <c r="G5" s="2267" t="s">
        <v>2259</v>
      </c>
      <c r="H5" s="748"/>
      <c r="I5" s="748"/>
      <c r="J5" s="748"/>
      <c r="K5" s="748"/>
      <c r="L5" s="748"/>
      <c r="M5" s="748"/>
      <c r="N5" s="748"/>
      <c r="O5" s="748"/>
      <c r="P5" s="748"/>
      <c r="Q5" s="748"/>
    </row>
    <row r="6" spans="1:29" ht="84">
      <c r="A6" s="2244"/>
      <c r="B6" s="315" t="s">
        <v>2260</v>
      </c>
      <c r="C6" s="3159" t="s">
        <v>3493</v>
      </c>
      <c r="D6" s="2262"/>
      <c r="E6" s="2266"/>
      <c r="F6" s="315" t="s">
        <v>2261</v>
      </c>
      <c r="G6" s="2267" t="s">
        <v>2262</v>
      </c>
      <c r="H6" s="748"/>
      <c r="I6" s="748"/>
      <c r="J6" s="748"/>
      <c r="K6" s="748"/>
      <c r="L6" s="748"/>
      <c r="M6" s="748"/>
      <c r="N6" s="748"/>
      <c r="O6" s="748"/>
      <c r="P6" s="748"/>
      <c r="Q6" s="748"/>
    </row>
    <row r="7" spans="1:29" ht="108.6" thickBot="1">
      <c r="A7" s="2244"/>
      <c r="B7" s="315" t="s">
        <v>2258</v>
      </c>
      <c r="C7" s="3159" t="s">
        <v>3496</v>
      </c>
      <c r="D7" s="2241"/>
      <c r="E7" s="2268"/>
      <c r="F7" s="2269" t="s">
        <v>2263</v>
      </c>
      <c r="G7" s="2270" t="s">
        <v>2264</v>
      </c>
      <c r="H7" s="748"/>
      <c r="I7" s="748"/>
      <c r="J7" s="748"/>
      <c r="K7" s="748"/>
      <c r="L7" s="748"/>
      <c r="M7" s="748"/>
      <c r="N7" s="748"/>
      <c r="O7" s="748"/>
      <c r="P7" s="748"/>
      <c r="Q7" s="748"/>
    </row>
    <row r="8" spans="1:29" ht="24">
      <c r="A8" s="2244"/>
      <c r="B8" s="315" t="s">
        <v>2261</v>
      </c>
      <c r="C8" s="2267" t="s">
        <v>2262</v>
      </c>
      <c r="D8" s="2241"/>
      <c r="E8" s="2241"/>
      <c r="F8" s="121"/>
      <c r="G8" s="121"/>
      <c r="H8" s="748"/>
      <c r="I8" s="748"/>
      <c r="J8" s="748"/>
      <c r="K8" s="748"/>
      <c r="L8" s="748"/>
      <c r="M8" s="748"/>
      <c r="N8" s="748"/>
      <c r="O8" s="748"/>
      <c r="P8" s="748"/>
      <c r="Q8" s="748"/>
    </row>
    <row r="9" spans="1:29" ht="48">
      <c r="A9" s="2244"/>
      <c r="B9" s="315" t="s">
        <v>2265</v>
      </c>
      <c r="C9" s="3158" t="s">
        <v>3494</v>
      </c>
      <c r="D9" s="2262"/>
      <c r="E9" s="2241"/>
      <c r="F9" s="121"/>
      <c r="G9" s="121"/>
      <c r="H9" s="748"/>
      <c r="I9" s="748"/>
      <c r="J9" s="748"/>
      <c r="K9" s="748"/>
      <c r="L9" s="748"/>
      <c r="M9" s="748"/>
      <c r="N9" s="748"/>
      <c r="O9" s="748"/>
      <c r="P9" s="748"/>
      <c r="Q9" s="748"/>
    </row>
    <row r="10" spans="1:29" ht="14.4" thickBot="1">
      <c r="A10" s="2245"/>
      <c r="B10" s="2271" t="s">
        <v>2266</v>
      </c>
      <c r="C10" s="3160" t="s">
        <v>3421</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2283</v>
      </c>
      <c r="B13" s="2275"/>
      <c r="C13" s="2275"/>
      <c r="D13" s="2274"/>
      <c r="E13" s="2275"/>
      <c r="F13" s="2275"/>
      <c r="G13" s="2275"/>
    </row>
    <row r="14" spans="1:29" ht="14.4" thickBot="1">
      <c r="A14" s="2280"/>
      <c r="B14" s="2280"/>
      <c r="C14" s="2281" t="s">
        <v>2267</v>
      </c>
      <c r="D14" s="2262"/>
      <c r="E14" s="2282"/>
      <c r="F14" s="2282"/>
      <c r="G14" s="2258" t="s">
        <v>2268</v>
      </c>
    </row>
    <row r="15" spans="1:29" ht="39.6">
      <c r="A15" s="2246" t="s">
        <v>2269</v>
      </c>
      <c r="B15" s="2283" t="s">
        <v>2252</v>
      </c>
      <c r="C15" s="2284">
        <f>C3</f>
        <v>0</v>
      </c>
      <c r="D15" s="2262"/>
      <c r="E15" s="2247" t="s">
        <v>2270</v>
      </c>
      <c r="F15" s="2283" t="s">
        <v>2271</v>
      </c>
      <c r="G15" s="2285" t="str">
        <f>G3</f>
        <v>估价对象位于XX开发区，园区建设成熟度XX，产业集聚程度XX</v>
      </c>
    </row>
    <row r="16" spans="1:29" ht="39.6">
      <c r="A16" s="2248"/>
      <c r="B16" s="2286" t="s">
        <v>2254</v>
      </c>
      <c r="C16" s="2287">
        <f>C4</f>
        <v>0</v>
      </c>
      <c r="D16" s="2262"/>
      <c r="E16" s="2249"/>
      <c r="F16" s="2288" t="s">
        <v>2255</v>
      </c>
      <c r="G16" s="2289" t="str">
        <f>G4</f>
        <v>估价对象周边道路状况、公共交通通达情况、停车便捷程度，综合评价交通便捷度较好</v>
      </c>
    </row>
    <row r="17" spans="1:17" ht="92.4">
      <c r="A17" s="2248"/>
      <c r="B17" s="2286" t="s">
        <v>2257</v>
      </c>
      <c r="C17" s="2287" t="str">
        <f>C5</f>
        <v>估价对象地处北京商务中心区，北京商务中心区（CBD）是首都六大高端产业功能区之一区域内高品质写字楼项目聚集，如国贸中心、银泰中心、环球金融中心等，区域办公集聚程度好</v>
      </c>
      <c r="D17" s="2241"/>
      <c r="E17" s="2249"/>
      <c r="F17" s="2288" t="s">
        <v>2272</v>
      </c>
      <c r="G17" s="2290"/>
    </row>
    <row r="18" spans="1:17" ht="92.4">
      <c r="A18" s="2248"/>
      <c r="B18" s="2288" t="s">
        <v>2260</v>
      </c>
      <c r="C18" s="2289" t="str">
        <f>C6</f>
        <v>周边1公里范围内有特8内路、348路、805快路、806路、814路、846路等多条公交线路及地铁1、10号线国贸站，公交便捷度好。综上分析，估价对象所在区位整体交通便捷度较好</v>
      </c>
      <c r="D18" s="2241"/>
      <c r="E18" s="2249"/>
      <c r="F18" s="2288" t="s">
        <v>2263</v>
      </c>
      <c r="G18" s="2289" t="str">
        <f>G7</f>
        <v>该园区内是否有污染型企业，绿化情况，卫生条件，整体环境状况判断</v>
      </c>
    </row>
    <row r="19" spans="1:17" ht="26.4">
      <c r="A19" s="2248"/>
      <c r="B19" s="2288" t="s">
        <v>2273</v>
      </c>
      <c r="C19" s="2290"/>
      <c r="D19" s="2262"/>
      <c r="E19" s="2249"/>
      <c r="F19" s="315" t="s">
        <v>2258</v>
      </c>
      <c r="G19" s="2289" t="str">
        <f>G5</f>
        <v>估价对象所在区域公共配套设施齐备情况</v>
      </c>
    </row>
    <row r="20" spans="1:17" ht="52.8">
      <c r="A20" s="2248"/>
      <c r="B20" s="2288" t="s">
        <v>2274</v>
      </c>
      <c r="C20" s="2287" t="str">
        <f>C9</f>
        <v>周边约1公里范围内有庆丰公园，CBD历史文化公园，中国海关博物馆等，南侧有通惠河经过，环境状况较好</v>
      </c>
      <c r="D20" s="2241"/>
      <c r="E20" s="2249"/>
      <c r="F20" s="315" t="s">
        <v>2261</v>
      </c>
      <c r="G20" s="2289" t="str">
        <f>G6</f>
        <v>估价对象所在区域基础设施水平</v>
      </c>
    </row>
    <row r="21" spans="1:17" ht="118.8">
      <c r="A21" s="2248"/>
      <c r="B21" s="315" t="s">
        <v>2258</v>
      </c>
      <c r="C21" s="2289" t="str">
        <f>C7</f>
        <v>有购物场所（国贸商城）、医院（北京市第一中西医结合医院）、银行（建设银行、招商银行、民生银行等）、学校（清华大学附属小学商务中心区实验小学、北京市日坛中学）、餐饮等公共服务配套设施；综合评价环境状况较好</v>
      </c>
      <c r="D21" s="2262"/>
      <c r="E21" s="2249"/>
      <c r="F21" s="2288" t="s">
        <v>2275</v>
      </c>
      <c r="G21" s="2291"/>
    </row>
    <row r="22" spans="1:17" ht="13.5" customHeight="1">
      <c r="A22" s="2248"/>
      <c r="B22" s="315" t="s">
        <v>2261</v>
      </c>
      <c r="C22" s="2289" t="str">
        <f>C8</f>
        <v>估价对象所在区域基础设施水平</v>
      </c>
      <c r="D22" s="2262"/>
      <c r="E22" s="2249"/>
      <c r="F22" s="2288" t="s">
        <v>2266</v>
      </c>
      <c r="G22" s="2290"/>
    </row>
    <row r="23" spans="1:17" s="748" customFormat="1" ht="14.4"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8" customFormat="1" ht="14.4" thickBot="1">
      <c r="A24" s="2251"/>
      <c r="B24" s="2292" t="s">
        <v>2277</v>
      </c>
      <c r="C24" s="2294" t="str">
        <f>C10</f>
        <v>次干道-朝运街</v>
      </c>
      <c r="D24" s="1611"/>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C19" sqref="C19"/>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67600.929999999993</v>
      </c>
      <c r="C1" s="2456"/>
      <c r="D1" s="2456"/>
      <c r="E1" s="2456"/>
      <c r="F1" s="2456"/>
      <c r="G1" s="2457"/>
      <c r="H1" s="2457"/>
      <c r="I1" s="2457"/>
      <c r="J1" s="2457"/>
      <c r="K1" s="2457"/>
    </row>
    <row r="2" spans="1:11" ht="16.2">
      <c r="A2" s="2295" t="s">
        <v>653</v>
      </c>
      <c r="B2" s="2295">
        <f>SUM(C14:C23)</f>
        <v>6994.16</v>
      </c>
      <c r="C2" s="2456"/>
      <c r="D2" s="2456"/>
      <c r="E2" s="2456"/>
      <c r="F2" s="2456"/>
      <c r="G2" s="2457"/>
      <c r="H2" s="2457"/>
      <c r="I2" s="2457"/>
      <c r="J2" s="2457"/>
      <c r="K2" s="2457"/>
    </row>
    <row r="3" spans="1:11" ht="15.6">
      <c r="A3" s="2295" t="s">
        <v>662</v>
      </c>
      <c r="B3" s="2297">
        <f>项目基本情况!D3</f>
        <v>45903</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345699</v>
      </c>
      <c r="C5" s="2295">
        <f ca="1">IF(B5=D14,结果表!H102,ROUND(B5*10000/$B$1,0))</f>
        <v>51138</v>
      </c>
      <c r="D5" s="2295">
        <f ca="1">ROUND(B5*10000/$B$2,0)</f>
        <v>494268</v>
      </c>
      <c r="E5" s="2456"/>
      <c r="F5" s="2457"/>
      <c r="G5" s="2457"/>
      <c r="H5" s="2457"/>
      <c r="I5" s="2457"/>
      <c r="J5" s="2457"/>
      <c r="K5" s="2457"/>
    </row>
    <row r="6" spans="1:11" ht="15.6">
      <c r="A6" s="2295" t="s">
        <v>656</v>
      </c>
      <c r="B6" s="2295">
        <f ca="1">SUM(G14:G23)</f>
        <v>345699</v>
      </c>
      <c r="C6" s="2295">
        <f ca="1">IF(B6=G14,结果表!H108,ROUND(B6*10000/$B$1,0))</f>
        <v>51138</v>
      </c>
      <c r="D6" s="2295">
        <f ca="1">ROUND(B6*10000/$B$2,0)</f>
        <v>494268</v>
      </c>
      <c r="E6" s="2456"/>
      <c r="F6" s="2457"/>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SUM(I14:I23)</f>
        <v>0</v>
      </c>
      <c r="C8" s="2295">
        <f>ROUND(B8*10000/B14,0)</f>
        <v>0</v>
      </c>
      <c r="D8" s="2295">
        <f>ROUND(B8*10000/$B$2,0)</f>
        <v>0</v>
      </c>
      <c r="E8" s="2456"/>
      <c r="F8" s="2457"/>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3352</v>
      </c>
      <c r="D10" s="2295" t="s">
        <v>3353</v>
      </c>
      <c r="E10" s="3130"/>
      <c r="F10" s="3134" t="s">
        <v>3354</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50178.659999999996</v>
      </c>
      <c r="C14" s="2301">
        <f>结果表!C118</f>
        <v>3497.08</v>
      </c>
      <c r="D14" s="2301">
        <f ca="1">结果表!H118</f>
        <v>321887</v>
      </c>
      <c r="E14" s="2301">
        <f ca="1">ROUND(D14*10000/B14,0)</f>
        <v>64148</v>
      </c>
      <c r="F14" s="2301">
        <f ca="1">ROUND(D14*10000/C14,0)</f>
        <v>920445</v>
      </c>
      <c r="G14" s="2301">
        <f ca="1">D14</f>
        <v>321887</v>
      </c>
      <c r="H14" s="2301"/>
      <c r="I14" s="2301"/>
      <c r="J14" s="2457"/>
      <c r="K14" s="2457"/>
    </row>
    <row r="15" spans="1:11" ht="15.6">
      <c r="A15" s="2300" t="s">
        <v>649</v>
      </c>
      <c r="B15" s="2301">
        <f>[3]系统读取表!$B$14</f>
        <v>17422.27</v>
      </c>
      <c r="C15" s="2301">
        <f>[3]系统读取表!$C$14</f>
        <v>3497.08</v>
      </c>
      <c r="D15" s="2301">
        <f ca="1">[3]系统读取表!$D$14</f>
        <v>23812</v>
      </c>
      <c r="E15" s="2301">
        <f t="shared" ref="E15:E23" ca="1" si="0">ROUND(D15*10000/B15,0)</f>
        <v>13668</v>
      </c>
      <c r="F15" s="2301">
        <f t="shared" ref="F15:F23" ca="1" si="1">ROUND(D15*10000/C15,0)</f>
        <v>68091</v>
      </c>
      <c r="G15" s="1241">
        <f ca="1">D15</f>
        <v>23812</v>
      </c>
      <c r="H15" s="1241"/>
      <c r="I15" s="2302"/>
      <c r="J15" s="2457"/>
      <c r="K15" s="2457"/>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H11" sqref="H11"/>
    </sheetView>
  </sheetViews>
  <sheetFormatPr defaultColWidth="12.6640625" defaultRowHeight="21.75" customHeight="1"/>
  <cols>
    <col min="1" max="2" width="12.6640625" style="1558"/>
    <col min="3" max="4" width="12.6640625" style="1558" customWidth="1"/>
    <col min="5" max="9" width="12.6640625" style="1558"/>
    <col min="10" max="11" width="12.6640625" style="684" customWidth="1"/>
    <col min="12" max="12" width="12.6640625" style="684"/>
    <col min="13" max="13" width="14.109375" style="684" bestFit="1" customWidth="1"/>
    <col min="14" max="26" width="12.6640625" style="684"/>
    <col min="27" max="35" width="12.6640625" style="1620"/>
    <col min="36" max="16384" width="12.6640625" style="1558"/>
  </cols>
  <sheetData>
    <row r="1" spans="1:12" ht="21.75" customHeight="1" thickBot="1">
      <c r="A1" s="1518" t="s">
        <v>1262</v>
      </c>
      <c r="B1" s="646"/>
      <c r="C1" s="1617"/>
      <c r="D1" s="646"/>
      <c r="E1" s="646"/>
      <c r="F1" s="1618" t="s">
        <v>1263</v>
      </c>
      <c r="G1" s="1450" t="s">
        <v>3440</v>
      </c>
      <c r="H1" s="1618" t="str">
        <f>IF(G1="现房","——","估价对象范围")</f>
        <v>——</v>
      </c>
      <c r="I1" s="1619" t="s">
        <v>3504</v>
      </c>
    </row>
    <row r="2" spans="1:12" ht="21.75" customHeight="1" thickBot="1">
      <c r="A2" s="3307" t="str">
        <f>项目基本情况!S2</f>
        <v>北京市朝阳区建国门外大街甲6号1幢房地产</v>
      </c>
      <c r="B2" s="3308"/>
      <c r="C2" s="3308"/>
      <c r="D2" s="3308"/>
      <c r="E2" s="3308"/>
      <c r="F2" s="3308"/>
      <c r="G2" s="3308"/>
      <c r="H2" s="3308"/>
      <c r="I2" s="3309"/>
    </row>
    <row r="3" spans="1:12" ht="13.2">
      <c r="A3" s="3311" t="s">
        <v>1264</v>
      </c>
      <c r="B3" s="3312"/>
      <c r="C3" s="3312"/>
      <c r="D3" s="3312"/>
      <c r="E3" s="3312"/>
      <c r="F3" s="3312"/>
      <c r="G3" s="3312"/>
      <c r="H3" s="3312"/>
      <c r="I3" s="3312"/>
    </row>
    <row r="4" spans="1:12" ht="14.4">
      <c r="A4" s="1621" t="s">
        <v>1265</v>
      </c>
      <c r="B4" s="1622" t="s">
        <v>1266</v>
      </c>
      <c r="C4" s="1623" t="s">
        <v>3454</v>
      </c>
      <c r="D4" s="1623" t="s">
        <v>3590</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7" t="s">
        <v>1268</v>
      </c>
      <c r="B5" s="3274">
        <v>25</v>
      </c>
      <c r="C5" s="3290"/>
      <c r="D5" s="3310"/>
      <c r="E5" s="123" t="s">
        <v>1269</v>
      </c>
      <c r="F5" s="1624"/>
      <c r="G5" s="1624"/>
      <c r="H5" s="1624"/>
      <c r="I5" s="1278"/>
    </row>
    <row r="6" spans="1:12" ht="13.2">
      <c r="A6" s="3287"/>
      <c r="B6" s="3274"/>
      <c r="C6" s="3291"/>
      <c r="D6" s="3310"/>
      <c r="E6" s="123" t="s">
        <v>1270</v>
      </c>
      <c r="F6" s="1624"/>
      <c r="G6" s="1624"/>
      <c r="H6" s="1624"/>
      <c r="I6" s="1278"/>
    </row>
    <row r="7" spans="1:12" ht="13.2">
      <c r="A7" s="3287"/>
      <c r="B7" s="3274"/>
      <c r="C7" s="3292"/>
      <c r="D7" s="3310"/>
      <c r="E7" s="123" t="s">
        <v>1271</v>
      </c>
      <c r="F7" s="1624"/>
      <c r="G7" s="1624"/>
      <c r="H7" s="1624"/>
      <c r="I7" s="1278"/>
    </row>
    <row r="8" spans="1:12" ht="13.2">
      <c r="A8" s="3287" t="s">
        <v>1272</v>
      </c>
      <c r="B8" s="3274">
        <v>15</v>
      </c>
      <c r="C8" s="3290"/>
      <c r="D8" s="3310"/>
      <c r="E8" s="123" t="s">
        <v>1273</v>
      </c>
      <c r="F8" s="1624"/>
      <c r="G8" s="1624"/>
      <c r="H8" s="1624"/>
      <c r="I8" s="1278"/>
    </row>
    <row r="9" spans="1:12" ht="13.2">
      <c r="A9" s="3287"/>
      <c r="B9" s="3274"/>
      <c r="C9" s="3292"/>
      <c r="D9" s="3310"/>
      <c r="E9" s="123" t="s">
        <v>1274</v>
      </c>
      <c r="F9" s="1624"/>
      <c r="G9" s="1624"/>
      <c r="H9" s="1624"/>
      <c r="I9" s="1278"/>
    </row>
    <row r="10" spans="1:12" ht="13.2">
      <c r="A10" s="3287" t="s">
        <v>1275</v>
      </c>
      <c r="B10" s="3274">
        <v>15</v>
      </c>
      <c r="C10" s="3290"/>
      <c r="D10" s="3310"/>
      <c r="E10" s="123" t="s">
        <v>1276</v>
      </c>
      <c r="F10" s="1624"/>
      <c r="G10" s="1624"/>
      <c r="H10" s="1624"/>
      <c r="I10" s="1278"/>
    </row>
    <row r="11" spans="1:12" ht="13.2">
      <c r="A11" s="3287"/>
      <c r="B11" s="3274"/>
      <c r="C11" s="3292"/>
      <c r="D11" s="3310"/>
      <c r="E11" s="123" t="s">
        <v>1277</v>
      </c>
      <c r="F11" s="1624"/>
      <c r="G11" s="1624"/>
      <c r="H11" s="1624"/>
      <c r="I11" s="1278"/>
    </row>
    <row r="12" spans="1:12" ht="13.2">
      <c r="A12" s="3287" t="s">
        <v>1278</v>
      </c>
      <c r="B12" s="3274">
        <v>15</v>
      </c>
      <c r="C12" s="3290"/>
      <c r="D12" s="3310"/>
      <c r="E12" s="123" t="s">
        <v>1279</v>
      </c>
      <c r="F12" s="1624"/>
      <c r="G12" s="1624"/>
      <c r="H12" s="1624"/>
      <c r="I12" s="1278"/>
    </row>
    <row r="13" spans="1:12" ht="13.2">
      <c r="A13" s="3287"/>
      <c r="B13" s="3274"/>
      <c r="C13" s="3292"/>
      <c r="D13" s="3310"/>
      <c r="E13" s="123" t="s">
        <v>1280</v>
      </c>
      <c r="F13" s="1624"/>
      <c r="G13" s="1624"/>
      <c r="H13" s="1624"/>
      <c r="I13" s="1278"/>
    </row>
    <row r="14" spans="1:12" ht="13.2">
      <c r="A14" s="3287" t="s">
        <v>1281</v>
      </c>
      <c r="B14" s="3274">
        <v>30</v>
      </c>
      <c r="C14" s="3290">
        <v>6</v>
      </c>
      <c r="D14" s="3310">
        <v>4</v>
      </c>
      <c r="E14" s="123" t="s">
        <v>1282</v>
      </c>
      <c r="F14" s="1624"/>
      <c r="G14" s="1624"/>
      <c r="H14" s="1624"/>
      <c r="I14" s="1278"/>
    </row>
    <row r="15" spans="1:12" ht="13.2">
      <c r="A15" s="3287"/>
      <c r="B15" s="3274"/>
      <c r="C15" s="3291"/>
      <c r="D15" s="3310"/>
      <c r="E15" s="123" t="s">
        <v>1283</v>
      </c>
      <c r="F15" s="1624"/>
      <c r="G15" s="1624"/>
      <c r="H15" s="1624"/>
      <c r="I15" s="1278"/>
    </row>
    <row r="16" spans="1:12" ht="13.2">
      <c r="A16" s="3287"/>
      <c r="B16" s="3274"/>
      <c r="C16" s="3292"/>
      <c r="D16" s="3310"/>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297" t="s">
        <v>2131</v>
      </c>
      <c r="F18" s="3298"/>
      <c r="G18" s="3298"/>
      <c r="H18" s="3298"/>
      <c r="I18" s="3298"/>
      <c r="K18" s="294" t="s">
        <v>1289</v>
      </c>
      <c r="L18" s="294">
        <f>IF(C1="",'数据-汇总表'!E3,SUMIF(项目类型,C1,'数据-汇总表'!E17:E26)+SUMIF(项目类型,C1,'数据-汇总表'!I17:I26))</f>
        <v>50178.659999999996</v>
      </c>
      <c r="M18" s="294">
        <f>IF(C1="",'数据-汇总表'!E3,SUMIF(项目类型,C1,'数据-汇总表'!E17:E26))</f>
        <v>50178.659999999996</v>
      </c>
    </row>
    <row r="19" spans="1:36" ht="14.4">
      <c r="A19" s="1627" t="s">
        <v>1290</v>
      </c>
      <c r="B19" s="1628" t="s">
        <v>1291</v>
      </c>
      <c r="C19" s="126">
        <f ca="1">SUMIF(INDIRECT("'"&amp;C4&amp;"'"&amp;"!A:A"),结果表!B19,INDIRECT("'"&amp;C4&amp;"'"&amp;"!B:B"))</f>
        <v>370865</v>
      </c>
      <c r="D19" s="127">
        <f ca="1">SUMIF(INDIRECT("'"&amp;D4&amp;"'"&amp;"!A:A"),结果表!B19,INDIRECT("'"&amp;D4&amp;"'"&amp;"!B:B"))</f>
        <v>248421</v>
      </c>
      <c r="E19" s="1627" t="s">
        <v>1292</v>
      </c>
      <c r="F19" s="1628" t="s">
        <v>1291</v>
      </c>
      <c r="G19" s="128">
        <f ca="1">ROUND(C19*$C$18+D19*$D$18,0)</f>
        <v>321887</v>
      </c>
      <c r="H19" s="1629" t="s">
        <v>1293</v>
      </c>
      <c r="I19" s="121"/>
      <c r="K19" s="294" t="s">
        <v>1294</v>
      </c>
      <c r="L19" s="294">
        <f>IF(C1="",'数据-汇总表'!D3,SUMIF(项目类型,C1,'数据-汇总表'!D17:D26)+SUMIF(项目类型,C1,'数据-汇总表'!H17:H27))</f>
        <v>3497.08</v>
      </c>
      <c r="M19" s="294">
        <f>IF(C1="",'数据-汇总表'!D3,SUMIF(项目类型,C1,'数据-汇总表'!D17:D26))</f>
        <v>3497.08</v>
      </c>
    </row>
    <row r="20" spans="1:36" ht="14.4">
      <c r="A20" s="1630"/>
      <c r="B20" s="43" t="s">
        <v>1295</v>
      </c>
      <c r="C20" s="129">
        <f ca="1">SUMIF(INDIRECT("'"&amp;C4&amp;"'"&amp;"!A:A"),结果表!B20,INDIRECT("'"&amp;C4&amp;"'"&amp;"!B:B"))</f>
        <v>73909</v>
      </c>
      <c r="D20" s="130">
        <f ca="1">SUMIF(INDIRECT("'"&amp;D4&amp;"'"&amp;"!A:A"),结果表!B20,INDIRECT("'"&amp;D4&amp;"'"&amp;"!B:B"))</f>
        <v>49507</v>
      </c>
      <c r="E20" s="1630"/>
      <c r="F20" s="43" t="s">
        <v>1295</v>
      </c>
      <c r="G20" s="131">
        <f ca="1">ROUND(C20*$C$18+D20*$D$18,0)</f>
        <v>64148</v>
      </c>
      <c r="H20" s="757" t="s">
        <v>1296</v>
      </c>
      <c r="I20" s="121"/>
    </row>
    <row r="21" spans="1:36" ht="15" customHeight="1" thickBot="1">
      <c r="A21" s="449"/>
      <c r="B21" s="93" t="s">
        <v>1297</v>
      </c>
      <c r="C21" s="678">
        <f ca="1">ROUND(C19*10000/L19,0)</f>
        <v>1060499</v>
      </c>
      <c r="D21" s="679">
        <f ca="1">ROUND(D19*10000/L19,0)</f>
        <v>710367</v>
      </c>
      <c r="E21" s="449"/>
      <c r="F21" s="93" t="s">
        <v>1297</v>
      </c>
      <c r="G21" s="132">
        <f ca="1">ROUND(G19*10000/L19,0)</f>
        <v>920445</v>
      </c>
      <c r="H21" s="1631" t="s">
        <v>1296</v>
      </c>
      <c r="I21" s="121"/>
    </row>
    <row r="22" spans="1:36" ht="15" thickBot="1">
      <c r="A22" s="1561" t="s">
        <v>1298</v>
      </c>
      <c r="B22" s="1632"/>
      <c r="C22" s="1633"/>
      <c r="D22" s="680">
        <f ca="1">IF(C19&lt;D19,D19/C19-1,C19/D19-1)</f>
        <v>0.49288908747650151</v>
      </c>
      <c r="E22" s="121"/>
      <c r="F22" s="121"/>
      <c r="G22" s="121"/>
      <c r="H22" s="121"/>
      <c r="I22" s="121"/>
    </row>
    <row r="23" spans="1:36" ht="13.8" thickBot="1">
      <c r="A23" s="646"/>
      <c r="B23" s="646"/>
      <c r="C23" s="646"/>
      <c r="D23" s="646"/>
      <c r="E23" s="121"/>
      <c r="F23" s="121"/>
      <c r="G23" s="121"/>
      <c r="H23" s="121"/>
      <c r="I23" s="121"/>
    </row>
    <row r="24" spans="1:36" ht="14.4">
      <c r="A24" s="3281" t="s">
        <v>1299</v>
      </c>
      <c r="B24" s="1628" t="s">
        <v>1291</v>
      </c>
      <c r="C24" s="128">
        <f>IF(B30=0,0,D30)</f>
        <v>0</v>
      </c>
      <c r="D24" s="1634"/>
      <c r="E24" s="121"/>
      <c r="F24" s="121"/>
      <c r="G24" s="121"/>
      <c r="H24" s="121"/>
      <c r="I24" s="121"/>
    </row>
    <row r="25" spans="1:36" ht="14.4">
      <c r="A25" s="3282"/>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321887</v>
      </c>
      <c r="D32" s="1638" t="s">
        <v>3456</v>
      </c>
      <c r="E32" s="121"/>
      <c r="F32" s="121"/>
      <c r="G32" s="121"/>
      <c r="H32" s="121"/>
      <c r="I32" s="121"/>
    </row>
    <row r="33" spans="1:16" ht="14.4">
      <c r="A33" s="737" t="s">
        <v>1306</v>
      </c>
      <c r="B33" s="123"/>
      <c r="C33" s="1639" t="s">
        <v>3457</v>
      </c>
      <c r="D33" s="1640" t="s">
        <v>3420</v>
      </c>
      <c r="E33" s="1641" t="s">
        <v>1307</v>
      </c>
      <c r="F33" s="1642" t="str">
        <f>IF(D32="楼面单价","取值（单价）","取值（总价）")</f>
        <v>取值（总价）</v>
      </c>
      <c r="G33" s="121"/>
      <c r="H33" s="121"/>
      <c r="I33" s="121"/>
    </row>
    <row r="34" spans="1:16" ht="14.4">
      <c r="A34" s="1643"/>
      <c r="B34" s="1644" t="s">
        <v>1308</v>
      </c>
      <c r="C34" s="140">
        <f ca="1">IF(C33="自定义",F34,C32-C35)</f>
        <v>257188</v>
      </c>
      <c r="D34" s="805">
        <f ca="1">IF(C33="自定义",ROUND(C34/C32,3),IF(C33="收益比率",SUMIF(INDIRECT("'"&amp;D33&amp;"'"&amp;"!b:b"),"土地收益比率",INDIRECT("'"&amp;D33&amp;"'"&amp;"!c:c")),SUMIF(INDIRECT("'"&amp;D33&amp;"'"&amp;"!b:b"),"土地成本比率",INDIRECT("'"&amp;D33&amp;"'"&amp;"!c:c"))))</f>
        <v>0.79899999999999993</v>
      </c>
      <c r="E34" s="1645" t="s">
        <v>1309</v>
      </c>
      <c r="F34" s="1240"/>
      <c r="G34" s="121"/>
      <c r="H34" s="121"/>
      <c r="I34" s="121"/>
    </row>
    <row r="35" spans="1:16" ht="15" thickBot="1">
      <c r="A35" s="1646"/>
      <c r="B35" s="1647" t="s">
        <v>1310</v>
      </c>
      <c r="C35" s="1087">
        <f ca="1">IF(C33="自定义",F35,ROUND(C32*D35,0))</f>
        <v>64699</v>
      </c>
      <c r="D35" s="1088">
        <f ca="1">IF(C33="自定义",ROUND(C35/C32,3),IF(C33="收益比率",SUMIF(INDIRECT("'"&amp;D33&amp;"'"&amp;"!b:b"),"建筑物收益比率",INDIRECT("'"&amp;D33&amp;"'"&amp;"!c:c")),SUMIF(INDIRECT("'"&amp;D33&amp;"'"&amp;"!b:b"),"建筑物成本比率",INDIRECT("'"&amp;D33&amp;"'"&amp;"!c:c"))))</f>
        <v>0.20100000000000001</v>
      </c>
      <c r="E35" s="1648" t="s">
        <v>1311</v>
      </c>
      <c r="F35" s="146"/>
      <c r="G35" s="121"/>
      <c r="H35" s="121"/>
      <c r="I35" s="121"/>
    </row>
    <row r="36" spans="1:16" ht="15" thickBot="1">
      <c r="A36" s="3301" t="s">
        <v>1312</v>
      </c>
      <c r="B36" s="1649" t="s">
        <v>1313</v>
      </c>
      <c r="C36" s="137"/>
      <c r="D36" s="1650"/>
      <c r="E36" s="1564"/>
      <c r="F36" s="1651"/>
      <c r="G36" s="121"/>
      <c r="H36" s="121"/>
      <c r="I36" s="121"/>
    </row>
    <row r="37" spans="1:16" ht="15" thickBot="1">
      <c r="A37" s="3302"/>
      <c r="B37" s="1552" t="s">
        <v>1314</v>
      </c>
      <c r="C37" s="139"/>
      <c r="D37" s="1068"/>
      <c r="E37" s="1068"/>
      <c r="F37" s="1651"/>
      <c r="G37" s="121"/>
      <c r="H37" s="121"/>
      <c r="I37" s="121"/>
    </row>
    <row r="38" spans="1:16" ht="15" thickBot="1">
      <c r="A38" s="3303"/>
      <c r="B38" s="1652" t="s">
        <v>1315</v>
      </c>
      <c r="C38" s="641"/>
      <c r="D38" s="1653" t="s">
        <v>1316</v>
      </c>
      <c r="E38" s="1068"/>
      <c r="F38" s="1651"/>
      <c r="G38" s="121"/>
      <c r="H38" s="121"/>
      <c r="I38" s="121"/>
    </row>
    <row r="39" spans="1:16" ht="14.4">
      <c r="A39" s="1630" t="s">
        <v>1317</v>
      </c>
      <c r="B39" s="1654" t="s">
        <v>1318</v>
      </c>
      <c r="C39" s="1655" t="s">
        <v>1319</v>
      </c>
      <c r="D39" s="1655" t="s">
        <v>1320</v>
      </c>
      <c r="E39" s="1656" t="s">
        <v>1321</v>
      </c>
      <c r="F39" s="1651"/>
      <c r="G39" s="121"/>
      <c r="H39" s="121"/>
      <c r="I39" s="121"/>
    </row>
    <row r="40" spans="1:16" ht="13.8">
      <c r="A40" s="1657" t="s">
        <v>1322</v>
      </c>
      <c r="B40" s="141"/>
      <c r="C40" s="142"/>
      <c r="D40" s="142"/>
      <c r="E40" s="143"/>
      <c r="F40" s="1651"/>
      <c r="G40" s="121"/>
      <c r="H40" s="121"/>
      <c r="I40" s="121"/>
    </row>
    <row r="41" spans="1:16" ht="13.8">
      <c r="A41" s="1657" t="s">
        <v>1323</v>
      </c>
      <c r="B41" s="141"/>
      <c r="C41" s="142"/>
      <c r="D41" s="142"/>
      <c r="E41" s="143"/>
      <c r="F41" s="1651"/>
      <c r="G41" s="121"/>
      <c r="H41" s="121"/>
      <c r="I41" s="121"/>
    </row>
    <row r="42" spans="1:16" ht="14.4" thickBot="1">
      <c r="A42" s="1658"/>
      <c r="B42" s="144"/>
      <c r="C42" s="145"/>
      <c r="D42" s="145"/>
      <c r="E42" s="146"/>
      <c r="F42" s="1651"/>
      <c r="G42" s="121"/>
      <c r="H42" s="121"/>
      <c r="I42" s="121"/>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278" t="s">
        <v>1326</v>
      </c>
      <c r="B45" s="3279"/>
      <c r="C45" s="3280"/>
      <c r="D45" s="147">
        <f ca="1">ROUND(H101*F45,0)</f>
        <v>321887</v>
      </c>
      <c r="E45" s="148" t="s">
        <v>1327</v>
      </c>
      <c r="F45" s="149">
        <v>1</v>
      </c>
      <c r="G45" s="150" t="s">
        <v>1328</v>
      </c>
      <c r="H45" s="121"/>
      <c r="I45" s="121"/>
      <c r="J45" s="3356" t="s">
        <v>1329</v>
      </c>
      <c r="K45" s="3356"/>
      <c r="L45" s="3356"/>
      <c r="M45" s="3356"/>
      <c r="N45" s="3356"/>
      <c r="O45" s="3356"/>
    </row>
    <row r="46" spans="1:16" ht="14.25" customHeight="1">
      <c r="A46" s="3275" t="s">
        <v>1330</v>
      </c>
      <c r="B46" s="3276"/>
      <c r="C46" s="3276"/>
      <c r="D46" s="3276"/>
      <c r="E46" s="3276"/>
      <c r="F46" s="3276"/>
      <c r="G46" s="3277"/>
      <c r="H46" s="1665"/>
      <c r="I46" s="151"/>
      <c r="J46" s="2305">
        <v>1</v>
      </c>
      <c r="K46" s="3337" t="s">
        <v>1331</v>
      </c>
      <c r="L46" s="3337"/>
      <c r="M46" s="3357"/>
      <c r="N46" s="3357"/>
      <c r="O46" s="3357"/>
    </row>
    <row r="47" spans="1:16" ht="12" customHeight="1">
      <c r="A47" s="152" t="s">
        <v>1332</v>
      </c>
      <c r="B47" s="153"/>
      <c r="C47" s="154"/>
      <c r="D47" s="1021" t="s">
        <v>1333</v>
      </c>
      <c r="E47" s="294" t="s">
        <v>1334</v>
      </c>
      <c r="F47" s="155" t="s">
        <v>1335</v>
      </c>
      <c r="G47" s="2328" t="s">
        <v>1336</v>
      </c>
      <c r="H47" s="2329"/>
      <c r="I47" s="151"/>
      <c r="J47" s="2305">
        <v>2</v>
      </c>
      <c r="K47" s="3337" t="s">
        <v>1337</v>
      </c>
      <c r="L47" s="3337"/>
      <c r="M47" s="3358">
        <f>'数据-取费表'!B2</f>
        <v>45903</v>
      </c>
      <c r="N47" s="3358"/>
      <c r="O47" s="3358"/>
    </row>
    <row r="48" spans="1:16" ht="26.4">
      <c r="A48" s="3306" t="s">
        <v>1338</v>
      </c>
      <c r="B48" s="3289"/>
      <c r="C48" s="3289"/>
      <c r="D48" s="12">
        <f ca="1">IF(H48="情况1",0,IF(H48="情况2",D52,IF(H48="情况3",D53,IF(H48="情况4",D54))))</f>
        <v>17167</v>
      </c>
      <c r="E48" s="1253" t="str">
        <f>IF(H48="情况4","(销售额-原购置价)×税（费）率","销售额×税（费）率")</f>
        <v>销售额×税（费）率</v>
      </c>
      <c r="F48" s="2330">
        <f>IF(H48="情况1","免征",'数据-取费表'!B41)</f>
        <v>5.6000000000000001E-2</v>
      </c>
      <c r="G48" s="2331" t="s">
        <v>1339</v>
      </c>
      <c r="H48" s="2332" t="s">
        <v>3458</v>
      </c>
      <c r="I48" s="1665"/>
      <c r="J48" s="2305">
        <v>3</v>
      </c>
      <c r="K48" s="3337" t="s">
        <v>1340</v>
      </c>
      <c r="L48" s="3337"/>
      <c r="M48" s="3359">
        <f ca="1">H101</f>
        <v>321887</v>
      </c>
      <c r="N48" s="3359"/>
      <c r="O48" s="3359"/>
      <c r="P48" s="684">
        <f ca="1">M48</f>
        <v>321887</v>
      </c>
    </row>
    <row r="49" spans="1:35" ht="25.5" customHeight="1">
      <c r="A49" s="2149" t="s">
        <v>1341</v>
      </c>
      <c r="B49" s="3273" t="s">
        <v>1342</v>
      </c>
      <c r="C49" s="3273"/>
      <c r="D49" s="1475">
        <v>0</v>
      </c>
      <c r="E49" s="316" t="s">
        <v>1343</v>
      </c>
      <c r="F49" s="2229" t="s">
        <v>28</v>
      </c>
      <c r="G49" s="3343"/>
      <c r="H49" s="2131" t="s">
        <v>2134</v>
      </c>
      <c r="I49" s="2132"/>
      <c r="J49" s="2305">
        <v>4</v>
      </c>
      <c r="K49" s="3337" t="str">
        <f>IF(项目基本情况!E8="房地产抵押价值","房地产抵押价值","抵押担保权已注销时的房地产抵押价值")</f>
        <v>房地产抵押价值</v>
      </c>
      <c r="L49" s="3337"/>
      <c r="M49" s="3359">
        <f ca="1">IF(项目基本情况!E8="房地产抵押价值",H107,H109)</f>
        <v>321887</v>
      </c>
      <c r="N49" s="3359"/>
      <c r="O49" s="3359"/>
      <c r="P49" s="684">
        <f ca="1">M49</f>
        <v>321887</v>
      </c>
    </row>
    <row r="50" spans="1:35" ht="25.5" customHeight="1">
      <c r="A50" s="2333"/>
      <c r="B50" s="3273" t="s">
        <v>1344</v>
      </c>
      <c r="C50" s="3273"/>
      <c r="D50" s="2185"/>
      <c r="E50" s="323"/>
      <c r="F50" s="2229"/>
      <c r="G50" s="3344"/>
      <c r="H50" s="2133" t="s">
        <v>2135</v>
      </c>
      <c r="I50" s="2132"/>
      <c r="J50" s="3356" t="s">
        <v>1345</v>
      </c>
      <c r="K50" s="3356"/>
      <c r="L50" s="3356"/>
      <c r="M50" s="3356"/>
      <c r="N50" s="3356"/>
      <c r="O50" s="3356"/>
    </row>
    <row r="51" spans="1:35" ht="20.399999999999999" customHeight="1">
      <c r="A51" s="2334"/>
      <c r="B51" s="3273" t="s">
        <v>1346</v>
      </c>
      <c r="C51" s="3273"/>
      <c r="D51" s="1021"/>
      <c r="E51" s="319"/>
      <c r="F51" s="2229"/>
      <c r="G51" s="3345"/>
      <c r="H51" s="2133" t="s">
        <v>2136</v>
      </c>
      <c r="I51" s="2132"/>
      <c r="J51" s="2306" t="s">
        <v>1347</v>
      </c>
      <c r="K51" s="3337" t="s">
        <v>1348</v>
      </c>
      <c r="L51" s="3337"/>
      <c r="M51" s="2306" t="s">
        <v>1349</v>
      </c>
      <c r="N51" s="2306" t="s">
        <v>1350</v>
      </c>
      <c r="O51" s="2306" t="s">
        <v>1351</v>
      </c>
    </row>
    <row r="52" spans="1:35" ht="24" customHeight="1">
      <c r="A52" s="2150" t="s">
        <v>1352</v>
      </c>
      <c r="B52" s="3273" t="s">
        <v>1353</v>
      </c>
      <c r="C52" s="3273"/>
      <c r="D52" s="1021">
        <f ca="1">ROUND(D45*'数据-取费表'!B41/(1+'数据-取费表'!C42),0)</f>
        <v>17167</v>
      </c>
      <c r="E52" s="1253" t="s">
        <v>1354</v>
      </c>
      <c r="F52" s="2335">
        <f>'数据-取费表'!B41</f>
        <v>5.6000000000000001E-2</v>
      </c>
      <c r="G52" s="2336"/>
      <c r="H52" s="2326"/>
      <c r="I52" s="1666"/>
      <c r="J52" s="2305">
        <v>1</v>
      </c>
      <c r="K52" s="3338" t="s">
        <v>1355</v>
      </c>
      <c r="L52" s="3338"/>
      <c r="M52" s="2307">
        <f ca="1">D48</f>
        <v>17167</v>
      </c>
      <c r="N52" s="2305" t="str">
        <f>E48</f>
        <v>销售额×税（费）率</v>
      </c>
      <c r="O52" s="2308">
        <f>F48</f>
        <v>5.6000000000000001E-2</v>
      </c>
      <c r="P52" s="684">
        <f ca="1">M52</f>
        <v>17167</v>
      </c>
    </row>
    <row r="53" spans="1:35" ht="12" customHeight="1">
      <c r="A53" s="2150" t="s">
        <v>1356</v>
      </c>
      <c r="B53" s="3299" t="s">
        <v>2287</v>
      </c>
      <c r="C53" s="3300"/>
      <c r="D53" s="1021">
        <f ca="1">ROUND(D45*'数据-取费表'!B41/(1+'数据-取费表'!C42),0)</f>
        <v>17167</v>
      </c>
      <c r="E53" s="1253" t="s">
        <v>1354</v>
      </c>
      <c r="F53" s="2335">
        <f>'数据-取费表'!B41</f>
        <v>5.6000000000000001E-2</v>
      </c>
      <c r="G53" s="2336"/>
      <c r="H53" s="2326"/>
      <c r="I53" s="1666"/>
      <c r="J53" s="2305">
        <v>2</v>
      </c>
      <c r="K53" s="3338" t="s">
        <v>1357</v>
      </c>
      <c r="L53" s="3338"/>
      <c r="M53" s="2307">
        <f t="shared" ref="M53:O54" ca="1" si="0">D55</f>
        <v>161</v>
      </c>
      <c r="N53" s="2305" t="str">
        <f t="shared" si="0"/>
        <v>销售额×税（费）率</v>
      </c>
      <c r="O53" s="2308">
        <f t="shared" si="0"/>
        <v>5.0000000000000001E-4</v>
      </c>
      <c r="P53" s="684">
        <f ca="1">M53</f>
        <v>161</v>
      </c>
    </row>
    <row r="54" spans="1:35" ht="12" customHeight="1">
      <c r="A54" s="2150" t="s">
        <v>1358</v>
      </c>
      <c r="B54" s="3299" t="s">
        <v>2288</v>
      </c>
      <c r="C54" s="3300"/>
      <c r="D54" s="1021">
        <f ca="1">C68</f>
        <v>17167</v>
      </c>
      <c r="E54" s="319" t="s">
        <v>1359</v>
      </c>
      <c r="F54" s="2335">
        <f>'数据-取费表'!B41</f>
        <v>5.6000000000000001E-2</v>
      </c>
      <c r="G54" s="2336"/>
      <c r="H54" s="2337"/>
      <c r="I54" s="1666"/>
      <c r="J54" s="2305">
        <v>3</v>
      </c>
      <c r="K54" s="3338" t="s">
        <v>1360</v>
      </c>
      <c r="L54" s="3338"/>
      <c r="M54" s="2307">
        <f t="shared" ca="1" si="0"/>
        <v>182188</v>
      </c>
      <c r="N54" s="2305" t="str">
        <f t="shared" si="0"/>
        <v>增值额×税（费）率</v>
      </c>
      <c r="O54" s="2309" t="str">
        <f t="shared" si="0"/>
        <v>——</v>
      </c>
    </row>
    <row r="55" spans="1:35" ht="24" customHeight="1">
      <c r="A55" s="3288" t="s">
        <v>1361</v>
      </c>
      <c r="B55" s="3289"/>
      <c r="C55" s="3289"/>
      <c r="D55" s="12">
        <f ca="1">IF(H55="个人住宅",0,ROUND(D45*I55,0))</f>
        <v>161</v>
      </c>
      <c r="E55" s="1253" t="s">
        <v>1362</v>
      </c>
      <c r="F55" s="2335">
        <f>IF(H55="正常",I55,"免征")</f>
        <v>5.0000000000000001E-4</v>
      </c>
      <c r="G55" s="2336"/>
      <c r="H55" s="2332" t="s">
        <v>3442</v>
      </c>
      <c r="I55" s="157">
        <f>'数据-取费表'!B49</f>
        <v>5.0000000000000001E-4</v>
      </c>
      <c r="J55" s="2305" t="str">
        <f>IF(H59="非个人房产","",4)</f>
        <v/>
      </c>
      <c r="K55" s="3338" t="str">
        <f>IF(H59="非个人房产","——","个人所得税")</f>
        <v>——</v>
      </c>
      <c r="L55" s="3338"/>
      <c r="M55" s="2310" t="str">
        <f>D59</f>
        <v>——</v>
      </c>
      <c r="N55" s="1880" t="str">
        <f>E59</f>
        <v>——</v>
      </c>
      <c r="O55" s="2311" t="str">
        <f>F59</f>
        <v>——</v>
      </c>
    </row>
    <row r="56" spans="1:35" ht="25.2">
      <c r="A56" s="3288" t="s">
        <v>1363</v>
      </c>
      <c r="B56" s="3289"/>
      <c r="C56" s="3289"/>
      <c r="D56" s="12">
        <f ca="1">IF(H56="个人住宅",D57,D58)</f>
        <v>182188</v>
      </c>
      <c r="E56" s="1253" t="s">
        <v>1364</v>
      </c>
      <c r="F56" s="2335" t="str">
        <f>IF(H56="正常",F58,"免征")</f>
        <v>——</v>
      </c>
      <c r="G56" s="2338" t="s">
        <v>1365</v>
      </c>
      <c r="H56" s="2339" t="s">
        <v>3442</v>
      </c>
      <c r="I56" s="1667"/>
      <c r="J56" s="2305" t="str">
        <f>IF(项目基本情况!K6="上海银行",IF(J55="",4,J55+1),"")</f>
        <v/>
      </c>
      <c r="K56" s="3361" t="str">
        <f>IF(项目基本情况!K6="上海银行","其他处置费用","")</f>
        <v/>
      </c>
      <c r="L56" s="3362"/>
      <c r="M56" s="2307" t="str">
        <f>IF(项目基本情况!K6="上海银行",M69,"")</f>
        <v/>
      </c>
      <c r="N56" s="3361" t="str">
        <f>IF(项目基本情况!K6="上海银行","包含处置中涉及的律师、诉讼、拍卖、评估等费用","")</f>
        <v/>
      </c>
      <c r="O56" s="3364"/>
    </row>
    <row r="57" spans="1:35" ht="13.2">
      <c r="A57" s="2150" t="s">
        <v>1341</v>
      </c>
      <c r="B57" s="3299" t="s">
        <v>1366</v>
      </c>
      <c r="C57" s="3300"/>
      <c r="D57" s="1475">
        <v>0</v>
      </c>
      <c r="E57" s="316" t="s">
        <v>1343</v>
      </c>
      <c r="F57" s="294"/>
      <c r="G57" s="2336"/>
      <c r="H57" s="2340"/>
      <c r="I57" s="1667"/>
      <c r="J57" s="3338">
        <f>IF(AND(J55="",J56=""),4,IF(项目基本情况!K6="上海银行",结果表!J56+1,结果表!J55+1))</f>
        <v>4</v>
      </c>
      <c r="K57" s="3338" t="s">
        <v>1367</v>
      </c>
      <c r="L57" s="2312" t="s">
        <v>1368</v>
      </c>
      <c r="M57" s="2313"/>
      <c r="N57" s="2314">
        <f ca="1">SUMIF(M52:M56,"&lt;9e307")</f>
        <v>199516</v>
      </c>
      <c r="O57" s="2315"/>
      <c r="P57" s="121">
        <f ca="1">P52+P53</f>
        <v>17328</v>
      </c>
    </row>
    <row r="58" spans="1:35" ht="25.2">
      <c r="A58" s="2150" t="s">
        <v>1352</v>
      </c>
      <c r="B58" s="3299" t="s">
        <v>1369</v>
      </c>
      <c r="C58" s="3273"/>
      <c r="D58" s="12">
        <f ca="1">IF(H58="转让取得",C81,C97)</f>
        <v>182188</v>
      </c>
      <c r="E58" s="1253" t="s">
        <v>1364</v>
      </c>
      <c r="F58" s="294" t="s">
        <v>28</v>
      </c>
      <c r="G58" s="2336"/>
      <c r="H58" s="2339" t="s">
        <v>3459</v>
      </c>
      <c r="I58" s="1667"/>
      <c r="J58" s="3338"/>
      <c r="K58" s="3338"/>
      <c r="L58" s="2312" t="s">
        <v>1370</v>
      </c>
      <c r="M58" s="2316"/>
      <c r="N58" s="2317" t="str">
        <f ca="1">NUMBERSTRING(INT(N57*10000),2)&amp;"元整"</f>
        <v>壹拾玖亿玖仟伍佰壹拾陆万元整</v>
      </c>
      <c r="O58" s="2318"/>
      <c r="P58" s="3179" t="str">
        <f ca="1">NUMBERSTRING(INT(P57*10000),2)&amp;"元整"</f>
        <v>壹亿柒仟叁佰贰拾捌万元整</v>
      </c>
    </row>
    <row r="59" spans="1:35" ht="24.6" thickBot="1">
      <c r="A59" s="3341" t="s">
        <v>1371</v>
      </c>
      <c r="B59" s="3342"/>
      <c r="C59" s="3342"/>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3460</v>
      </c>
      <c r="I59" s="2134" t="s">
        <v>2137</v>
      </c>
      <c r="J59" s="3339">
        <f>J57+1</f>
        <v>5</v>
      </c>
      <c r="K59" s="3338" t="s">
        <v>1372</v>
      </c>
      <c r="L59" s="2305" t="s">
        <v>1368</v>
      </c>
      <c r="M59" s="2319"/>
      <c r="N59" s="2320">
        <f ca="1">M49-N57</f>
        <v>122371</v>
      </c>
      <c r="O59" s="2321"/>
      <c r="P59" s="684">
        <f ca="1">P49-P57</f>
        <v>304559</v>
      </c>
    </row>
    <row r="60" spans="1:35" ht="12" customHeight="1">
      <c r="A60" s="1668"/>
      <c r="B60" s="646"/>
      <c r="C60" s="646"/>
      <c r="D60" s="646"/>
      <c r="E60" s="1463"/>
      <c r="F60" s="1667"/>
      <c r="G60" s="1667"/>
      <c r="H60" s="151"/>
      <c r="I60" s="121"/>
      <c r="J60" s="3340"/>
      <c r="K60" s="3338"/>
      <c r="L60" s="2312" t="s">
        <v>1370</v>
      </c>
      <c r="M60" s="2316"/>
      <c r="N60" s="2317" t="str">
        <f ca="1">NUMBERSTRING(INT(N59*10000),2)&amp;"元整"</f>
        <v>壹拾贰亿贰仟叁佰柒拾壹万元整</v>
      </c>
      <c r="O60" s="2318"/>
      <c r="P60" s="3179" t="str">
        <f ca="1">NUMBERSTRING(INT(P59*10000),2)&amp;"元整"</f>
        <v>叁拾亿肆仟伍佰伍拾玖万元整</v>
      </c>
    </row>
    <row r="61" spans="1:35" ht="13.8" thickBot="1">
      <c r="A61" s="3286" t="s">
        <v>1373</v>
      </c>
      <c r="B61" s="3286"/>
      <c r="C61" s="3286"/>
      <c r="D61" s="3286"/>
      <c r="E61" s="3286"/>
      <c r="F61" s="1667"/>
      <c r="G61" s="1667"/>
      <c r="H61" s="151"/>
      <c r="I61" s="121"/>
      <c r="J61" s="2305">
        <f>J59+1</f>
        <v>6</v>
      </c>
      <c r="K61" s="3338" t="s">
        <v>1374</v>
      </c>
      <c r="L61" s="3338"/>
      <c r="M61" s="2322"/>
      <c r="N61" s="2323">
        <f ca="1">ROUND(N59*10000/'数据-汇总表'!E3,0)</f>
        <v>24387</v>
      </c>
      <c r="O61" s="2324"/>
      <c r="P61" s="3180">
        <f ca="1">ROUND(P59*10000/L18,0)</f>
        <v>60695</v>
      </c>
    </row>
    <row r="62" spans="1:35" ht="13.2">
      <c r="A62" s="3304" t="s">
        <v>1375</v>
      </c>
      <c r="B62" s="3305"/>
      <c r="C62" s="1862"/>
      <c r="D62" s="1862" t="s">
        <v>1376</v>
      </c>
      <c r="E62" s="158" t="s">
        <v>1377</v>
      </c>
      <c r="F62" s="1667"/>
      <c r="G62" s="1667"/>
      <c r="H62" s="151"/>
      <c r="I62" s="121"/>
    </row>
    <row r="63" spans="1:35" ht="13.2">
      <c r="A63" s="165" t="s">
        <v>330</v>
      </c>
      <c r="B63" s="159" t="s">
        <v>1378</v>
      </c>
      <c r="C63" s="2345">
        <f ca="1">ROUND((C64+C65)/(1+'数据-取费表'!C42),0)</f>
        <v>306559</v>
      </c>
      <c r="D63" s="159"/>
      <c r="E63" s="160"/>
      <c r="F63" s="1667"/>
      <c r="G63" s="1667"/>
      <c r="H63" s="151"/>
      <c r="I63" s="121"/>
      <c r="J63" s="3363" t="s">
        <v>1379</v>
      </c>
      <c r="K63" s="1242" t="s">
        <v>1380</v>
      </c>
      <c r="L63" s="1242">
        <f ca="1">IF(M49&gt;10000,M49*0.5%,IF(AND(M49&gt;1000,M49&lt;=10000),M49*1%,IF(AND(M49&gt;100,M49&lt;=1000),M49*3%,IF(AND(M49&gt;10,M49&lt;=100),M49*5%,M49*8%))))</f>
        <v>1609.4349999999999</v>
      </c>
      <c r="M63" s="294">
        <f ca="1">ROUND(L63,1)</f>
        <v>1609.4</v>
      </c>
      <c r="N63" s="2325"/>
      <c r="Z63" s="1620"/>
      <c r="AI63" s="1558"/>
    </row>
    <row r="64" spans="1:35" ht="14.25" customHeight="1">
      <c r="A64" s="161" t="s">
        <v>325</v>
      </c>
      <c r="B64" s="162" t="s">
        <v>1381</v>
      </c>
      <c r="C64" s="2346">
        <f ca="1">D45</f>
        <v>321887</v>
      </c>
      <c r="D64" s="162" t="s">
        <v>26</v>
      </c>
      <c r="E64" s="164"/>
      <c r="F64" s="1667"/>
      <c r="G64" s="1667"/>
      <c r="H64" s="151"/>
      <c r="I64" s="121"/>
      <c r="J64" s="3363"/>
      <c r="K64" s="1242" t="s">
        <v>1382</v>
      </c>
      <c r="L64" s="1242">
        <f ca="1">IF(M49&gt;2000,M49*0.5%,IF(AND(M49&gt;1000,M49&lt;=2000),M49*0.6%,IF(AND(M49&gt;500,M49&lt;=1000),M49*0.7%,IF(AND(M49&gt;200,M49&lt;=500),M49*0.8%,IF(AND(M49&gt;100,M49&lt;=200),M49*0.9%,IF(AND(M49&gt;50,M49&lt;=100),M49*1%,IF(AND(M49&gt;20,M49&lt;=50),M49*1.5%,IF(AND(M49&gt;10,M49&lt;=20),M49*2%,IF(AND(M49&gt;1,M49&lt;=10),M49*2.5%)))))))))</f>
        <v>1609.4349999999999</v>
      </c>
      <c r="M64" s="294">
        <f t="shared" ref="M64:M65" ca="1" si="1">ROUND(L64,1)</f>
        <v>1609.4</v>
      </c>
      <c r="N64" s="2326" t="s">
        <v>1383</v>
      </c>
      <c r="Z64" s="1620"/>
      <c r="AI64" s="1558"/>
    </row>
    <row r="65" spans="1:35" ht="14.25" customHeight="1">
      <c r="A65" s="161" t="s">
        <v>326</v>
      </c>
      <c r="B65" s="162" t="s">
        <v>1384</v>
      </c>
      <c r="C65" s="2347"/>
      <c r="D65" s="162"/>
      <c r="E65" s="164"/>
      <c r="F65" s="1667"/>
      <c r="G65" s="1667"/>
      <c r="H65" s="151"/>
      <c r="I65" s="121"/>
      <c r="J65" s="3363"/>
      <c r="K65" s="1242" t="s">
        <v>1385</v>
      </c>
      <c r="L65" s="1242">
        <f ca="1">IF(M49&gt;1000,M49*0.1%,IF(AND(M49&gt;500,M49&lt;=1000),M49*0.5%,IF(AND(M49&gt;50,M49&lt;=500),M49*1%,IF(AND(M49&gt;1,M49&lt;=50),M49*1.5%))))</f>
        <v>321.887</v>
      </c>
      <c r="M65" s="294">
        <f t="shared" ca="1" si="1"/>
        <v>321.89999999999998</v>
      </c>
      <c r="N65" s="2326" t="s">
        <v>1383</v>
      </c>
      <c r="Z65" s="1620"/>
      <c r="AI65" s="1558"/>
    </row>
    <row r="66" spans="1:35" ht="14.25" customHeight="1">
      <c r="A66" s="165" t="s">
        <v>327</v>
      </c>
      <c r="B66" s="166" t="s">
        <v>1386</v>
      </c>
      <c r="C66" s="2348"/>
      <c r="D66" s="166" t="s">
        <v>26</v>
      </c>
      <c r="E66" s="1248" t="s">
        <v>671</v>
      </c>
      <c r="F66" s="1667"/>
      <c r="G66" s="1667"/>
      <c r="H66" s="151"/>
      <c r="I66" s="121"/>
      <c r="J66" s="3363"/>
      <c r="K66" s="1242" t="s">
        <v>1387</v>
      </c>
      <c r="L66" s="1242">
        <f ca="1">M49*0.5%</f>
        <v>1609.4349999999999</v>
      </c>
      <c r="M66" s="294">
        <f ca="1">IF(L66&gt;0.5,0.5,ROUND(L66,0))</f>
        <v>0.5</v>
      </c>
      <c r="N66" s="2326" t="s">
        <v>1388</v>
      </c>
      <c r="Z66" s="1620"/>
      <c r="AI66" s="1558"/>
    </row>
    <row r="67" spans="1:35" ht="14.25" customHeight="1">
      <c r="A67" s="165" t="s">
        <v>328</v>
      </c>
      <c r="B67" s="166" t="s">
        <v>1389</v>
      </c>
      <c r="C67" s="2349">
        <f ca="1">C63-C66</f>
        <v>306559</v>
      </c>
      <c r="D67" s="162" t="s">
        <v>26</v>
      </c>
      <c r="E67" s="164"/>
      <c r="F67" s="1667"/>
      <c r="G67" s="1667"/>
      <c r="H67" s="151"/>
      <c r="I67" s="121"/>
      <c r="J67" s="3363"/>
      <c r="K67" s="1242" t="s">
        <v>1390</v>
      </c>
      <c r="L67" s="1242">
        <f ca="1">IF(M49&gt;=10000,(8.25+(M49-10000)*0.01%),IF(AND(M49&gt;=8000,M49&lt;10000),(7.85+(M49-8000)*0.02%),IF(AND(M49&gt;=5000,M49&lt;8000),(6.65+(M49-5000)*0.04%),IF(AND(M49&gt;=2000,M49&lt;5000),(4.25+(PM49-2000)*0.08%),IF(AND(M49&gt;=1000,M49&lt;2000),(2.75+(M49-1000)*0.15%),IF(AND(M49&gt;=100,M49&lt;1000),(0.5+(M49-100)*0.25%),IF(AND(M49&gt;0,M49&lt;100),M49*0.5%)))))))</f>
        <v>39.438699999999997</v>
      </c>
      <c r="M67" s="294">
        <f ca="1">ROUND(L67*0.9,1)</f>
        <v>35.5</v>
      </c>
      <c r="N67" s="2325"/>
      <c r="Z67" s="1620"/>
      <c r="AI67" s="1558"/>
    </row>
    <row r="68" spans="1:35" ht="14.25" customHeight="1" thickBot="1">
      <c r="A68" s="168" t="s">
        <v>329</v>
      </c>
      <c r="B68" s="169" t="s">
        <v>1391</v>
      </c>
      <c r="C68" s="2350">
        <f ca="1">IF(C67&lt;=0,0,ROUND(C67*D68,0))</f>
        <v>17167</v>
      </c>
      <c r="D68" s="2351">
        <f>'数据-取费表'!B41</f>
        <v>5.6000000000000001E-2</v>
      </c>
      <c r="E68" s="170"/>
      <c r="F68" s="1667"/>
      <c r="G68" s="1667"/>
      <c r="H68" s="151"/>
      <c r="I68" s="121"/>
      <c r="J68" s="3363"/>
      <c r="K68" s="1242" t="s">
        <v>1392</v>
      </c>
      <c r="L68" s="1242">
        <f ca="1">IF(M49&gt;10000,M49*0.5%,IF(AND(M49&gt;5000,M49&lt;=10000),M49*1%,IF(AND(M49&gt;1000,M49&lt;=5000),M49*2%,IF(AND(M49&gt;200,M49&lt;=1000),M49*3%,M49*5%))))</f>
        <v>1609.4349999999999</v>
      </c>
      <c r="M68" s="294">
        <f ca="1">ROUND(L68,1)</f>
        <v>1609.4</v>
      </c>
      <c r="N68" s="2325"/>
      <c r="Z68" s="1620"/>
      <c r="AI68" s="1558"/>
    </row>
    <row r="69" spans="1:35" ht="16.5" customHeight="1">
      <c r="A69" s="1669"/>
      <c r="B69" s="1670"/>
      <c r="C69" s="1671"/>
      <c r="D69" s="1672"/>
      <c r="E69" s="1673"/>
      <c r="F69" s="1463"/>
      <c r="G69" s="1463"/>
      <c r="H69" s="1464"/>
      <c r="I69" s="646"/>
      <c r="J69" s="3363"/>
      <c r="K69" s="1242" t="s">
        <v>1393</v>
      </c>
      <c r="L69" s="1242"/>
      <c r="M69" s="294">
        <f ca="1">ROUND(SUM(M63:M68),0)</f>
        <v>5186</v>
      </c>
      <c r="N69" s="2327">
        <f ca="1">M69/M49</f>
        <v>1.6111244007990383E-2</v>
      </c>
      <c r="Z69" s="1620"/>
      <c r="AI69" s="1558"/>
    </row>
    <row r="70" spans="1:35" s="642" customFormat="1" ht="14.4" thickBot="1">
      <c r="A70" s="3325" t="s">
        <v>1394</v>
      </c>
      <c r="B70" s="3326"/>
      <c r="C70" s="3326"/>
      <c r="D70" s="3326"/>
      <c r="E70" s="3326"/>
      <c r="F70" s="3326"/>
      <c r="G70" s="3326"/>
      <c r="H70" s="3326"/>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3.8">
      <c r="A71" s="3304" t="s">
        <v>1375</v>
      </c>
      <c r="B71" s="3305"/>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3.8">
      <c r="A72" s="165" t="s">
        <v>330</v>
      </c>
      <c r="B72" s="166" t="s">
        <v>1395</v>
      </c>
      <c r="C72" s="2349">
        <f ca="1">ROUND(D45/(1+'数据-取费表'!C42),0)</f>
        <v>306559</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3.8">
      <c r="A73" s="165" t="s">
        <v>327</v>
      </c>
      <c r="B73" s="155" t="s">
        <v>1396</v>
      </c>
      <c r="C73" s="2349">
        <f ca="1">C74+C78</f>
        <v>1839</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5">
        <v>0.05</v>
      </c>
      <c r="E76" s="3299" t="s">
        <v>1402</v>
      </c>
      <c r="F76" s="3273"/>
      <c r="G76" s="3273"/>
      <c r="H76" s="332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7">
        <f ca="1">ROUND(D45*D78/(1+'数据-取费表'!C42),0)</f>
        <v>1839</v>
      </c>
      <c r="D78" s="2358">
        <f>'数据-取费表'!B43</f>
        <v>6.000000000000001E-3</v>
      </c>
      <c r="E78" s="3283" t="s">
        <v>1406</v>
      </c>
      <c r="F78" s="3284"/>
      <c r="G78" s="3284"/>
      <c r="H78" s="329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3.8">
      <c r="A79" s="165" t="s">
        <v>334</v>
      </c>
      <c r="B79" s="166" t="s">
        <v>1407</v>
      </c>
      <c r="C79" s="2349">
        <f ca="1">C72-C73</f>
        <v>304720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9">
        <f ca="1">IF(C79&lt;=0,0,C79/C73)</f>
        <v>165.69874932028276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6" thickBot="1">
      <c r="A81" s="168" t="s">
        <v>336</v>
      </c>
      <c r="B81" s="169" t="s">
        <v>1409</v>
      </c>
      <c r="C81" s="2360">
        <f ca="1">ROUND(IF(C79&lt;=0,0,IF(C80&gt;=200%,C79*60%-C73*35%,IF(C80&gt;=100%,C79*50%-C73*15%,IF(C80&gt;=50%,C79*40%-C73*5%,IF(C80&lt;50%,C79*30%,0))))),0)</f>
        <v>182188</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4.4" thickBot="1">
      <c r="A83" s="3325" t="s">
        <v>1410</v>
      </c>
      <c r="B83" s="3326"/>
      <c r="C83" s="3326"/>
      <c r="D83" s="3326"/>
      <c r="E83" s="3326"/>
      <c r="F83" s="3326"/>
      <c r="G83" s="3326"/>
      <c r="H83" s="332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3.8">
      <c r="A84" s="3304" t="s">
        <v>1375</v>
      </c>
      <c r="B84" s="3305"/>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3.8">
      <c r="A85" s="165" t="s">
        <v>330</v>
      </c>
      <c r="B85" s="166" t="s">
        <v>1395</v>
      </c>
      <c r="C85" s="2349">
        <f ca="1">ROUND(D45/(1+'数据-取费表'!C42),0)</f>
        <v>306559</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3.8">
      <c r="A86" s="165" t="s">
        <v>327</v>
      </c>
      <c r="B86" s="155" t="s">
        <v>1396</v>
      </c>
      <c r="C86" s="2349">
        <f ca="1">IF(H88="仅含出让金",C87+C90+C91+C92+C93+C94,C87+C91+C92+C93+C94)</f>
        <v>1839</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4">
      <c r="A88" s="161" t="s">
        <v>331</v>
      </c>
      <c r="B88" s="162" t="s">
        <v>1412</v>
      </c>
      <c r="C88" s="2363"/>
      <c r="D88" s="2358"/>
      <c r="E88" s="185" t="s">
        <v>1413</v>
      </c>
      <c r="F88" s="2145"/>
      <c r="G88" s="186"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4">
      <c r="A90" s="161" t="s">
        <v>326</v>
      </c>
      <c r="B90" s="162" t="s">
        <v>1416</v>
      </c>
      <c r="C90" s="2363"/>
      <c r="D90" s="2358"/>
      <c r="E90" s="185" t="str">
        <f>IF(H88="-","土地取得成本中已包含该笔费用"," ")</f>
        <v xml:space="preserve"> </v>
      </c>
      <c r="F90" s="2145"/>
      <c r="G90" s="3365" t="s">
        <v>2129</v>
      </c>
      <c r="H90" s="3366"/>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7">
        <f>IF(H91="——",成本法!C33,I91)</f>
        <v>0</v>
      </c>
      <c r="D91" s="2358"/>
      <c r="E91" s="3283" t="s">
        <v>1419</v>
      </c>
      <c r="F91" s="3284"/>
      <c r="G91" s="328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7">
        <f>ROUND((C87+C90+C91)*D92,0)</f>
        <v>0</v>
      </c>
      <c r="D92" s="2364"/>
      <c r="E92" s="3283" t="s">
        <v>1422</v>
      </c>
      <c r="F92" s="3284"/>
      <c r="G92" s="3284"/>
      <c r="H92" s="3293"/>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7">
        <f ca="1">ROUND(D45*D93/(1+'数据-取费表'!C42),0)</f>
        <v>1839</v>
      </c>
      <c r="D93" s="2358">
        <f>'数据-取费表'!B43</f>
        <v>6.000000000000001E-3</v>
      </c>
      <c r="E93" s="3283" t="s">
        <v>1406</v>
      </c>
      <c r="F93" s="3284"/>
      <c r="G93" s="3284"/>
      <c r="H93" s="329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3">
        <f>ROUND((C87+C90+C91)*D94,0)</f>
        <v>0</v>
      </c>
      <c r="D94" s="2358">
        <v>0.2</v>
      </c>
      <c r="E94" s="3294" t="s">
        <v>1426</v>
      </c>
      <c r="F94" s="3295"/>
      <c r="G94" s="3295"/>
      <c r="H94" s="329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3.8">
      <c r="A95" s="165" t="s">
        <v>334</v>
      </c>
      <c r="B95" s="166" t="s">
        <v>1407</v>
      </c>
      <c r="C95" s="2349">
        <f ca="1">ROUND(C85-C86,0)</f>
        <v>304720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9">
        <f ca="1">IF(C95&lt;=0,0,C95/C86)</f>
        <v>165.69874932028276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6" thickBot="1">
      <c r="A97" s="168" t="s">
        <v>336</v>
      </c>
      <c r="B97" s="169" t="s">
        <v>1409</v>
      </c>
      <c r="C97" s="2360">
        <f ca="1">ROUND(IF(C95&lt;=0,0,IF(C96&gt;=200%,C95*60%-C86*35%,IF(C96&gt;=100%,C95*50%-C86*15%,IF(C96&gt;=50%,C95*40%-C86*5%,IF(C96&lt;50%,C95*30%,0))))),0)</f>
        <v>182188</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6" t="str">
        <f>C4</f>
        <v>比较法-办公</v>
      </c>
      <c r="D101" s="2367" t="str">
        <f>D4</f>
        <v>收益法（汇总）</v>
      </c>
      <c r="E101" s="3360" t="s">
        <v>1431</v>
      </c>
      <c r="F101" s="3317"/>
      <c r="G101" s="1684" t="s">
        <v>1432</v>
      </c>
      <c r="H101" s="2376">
        <f ca="1">H118</f>
        <v>321887</v>
      </c>
      <c r="I101" s="121"/>
    </row>
    <row r="102" spans="1:35" ht="18.75" customHeight="1">
      <c r="A102" s="3319" t="s">
        <v>1433</v>
      </c>
      <c r="B102" s="2365" t="s">
        <v>1432</v>
      </c>
      <c r="C102" s="2366">
        <f ca="1">IF(D32="楼面单价",ROUND(C19,0),C19)</f>
        <v>370865</v>
      </c>
      <c r="D102" s="2367">
        <f ca="1">IF(D32="楼面单价",ROUND(D19,0),D19)</f>
        <v>248421</v>
      </c>
      <c r="E102" s="3360"/>
      <c r="F102" s="3317"/>
      <c r="G102" s="1684" t="s">
        <v>1434</v>
      </c>
      <c r="H102" s="2336">
        <f ca="1">I118</f>
        <v>64148</v>
      </c>
      <c r="I102" s="121"/>
    </row>
    <row r="103" spans="1:35" ht="42.75" customHeight="1">
      <c r="A103" s="3319"/>
      <c r="B103" s="2365" t="s">
        <v>1434</v>
      </c>
      <c r="C103" s="2368">
        <f ca="1">C20</f>
        <v>73909</v>
      </c>
      <c r="D103" s="2369">
        <f ca="1">D20</f>
        <v>49507</v>
      </c>
      <c r="E103" s="3354" t="s">
        <v>1435</v>
      </c>
      <c r="F103" s="3355"/>
      <c r="G103" s="1685" t="s">
        <v>1436</v>
      </c>
      <c r="H103" s="2376">
        <f>IF(D36="正常操作",H104+H105+H106,H105+H106)</f>
        <v>0</v>
      </c>
      <c r="I103" s="121"/>
    </row>
    <row r="104" spans="1:35" ht="18.75" customHeight="1">
      <c r="A104" s="3319" t="s">
        <v>1437</v>
      </c>
      <c r="B104" s="2370" t="s">
        <v>1432</v>
      </c>
      <c r="C104" s="2371">
        <f ca="1">H118</f>
        <v>321887</v>
      </c>
      <c r="D104" s="2372"/>
      <c r="E104" s="1552" t="s">
        <v>1438</v>
      </c>
      <c r="F104" s="1545"/>
      <c r="G104" s="1685" t="s">
        <v>1436</v>
      </c>
      <c r="H104" s="2377">
        <f>IF(D36="同一抵押权人同一抵押物续贷",C36&amp;"（续贷，未扣减，详见特别提示）",C36)</f>
        <v>0</v>
      </c>
      <c r="I104" s="121"/>
    </row>
    <row r="105" spans="1:35" ht="18.75" customHeight="1" thickBot="1">
      <c r="A105" s="3320"/>
      <c r="B105" s="2373" t="s">
        <v>1434</v>
      </c>
      <c r="C105" s="2374">
        <f ca="1">I118</f>
        <v>64148</v>
      </c>
      <c r="D105" s="2375"/>
      <c r="E105" s="1552" t="s">
        <v>1439</v>
      </c>
      <c r="F105" s="1545"/>
      <c r="G105" s="1685" t="s">
        <v>1436</v>
      </c>
      <c r="H105" s="2378">
        <f>C37</f>
        <v>0</v>
      </c>
      <c r="I105" s="121"/>
    </row>
    <row r="106" spans="1:35" ht="18.75" customHeight="1">
      <c r="A106" s="646" t="s">
        <v>1440</v>
      </c>
      <c r="B106" s="646"/>
      <c r="C106" s="646"/>
      <c r="D106" s="646"/>
      <c r="E106" s="1686" t="s">
        <v>1441</v>
      </c>
      <c r="F106" s="1545"/>
      <c r="G106" s="1685" t="s">
        <v>1436</v>
      </c>
      <c r="H106" s="2378">
        <f>C38</f>
        <v>0</v>
      </c>
      <c r="I106" s="121"/>
    </row>
    <row r="107" spans="1:35" ht="18.75" customHeight="1">
      <c r="A107" s="121"/>
      <c r="B107" s="121"/>
      <c r="C107" s="121"/>
      <c r="D107" s="121"/>
      <c r="E107" s="3316" t="str">
        <f>IF(项目基本情况!E8="已注销","——","3.房地产抵押价值")</f>
        <v>3.房地产抵押价值</v>
      </c>
      <c r="F107" s="3317"/>
      <c r="G107" s="1684" t="s">
        <v>1432</v>
      </c>
      <c r="H107" s="2376">
        <f ca="1">IF(E107="——","——",H101-H103)</f>
        <v>321887</v>
      </c>
      <c r="I107" s="121"/>
    </row>
    <row r="108" spans="1:35" ht="18.75" customHeight="1">
      <c r="A108" s="121"/>
      <c r="B108" s="121"/>
      <c r="C108" s="121"/>
      <c r="D108" s="121"/>
      <c r="E108" s="3316"/>
      <c r="F108" s="3317"/>
      <c r="G108" s="1684" t="s">
        <v>1434</v>
      </c>
      <c r="H108" s="2336">
        <f ca="1">IF(H107=H101,H102,ROUND(H107*10000/'数据-汇总表'!E3,0))</f>
        <v>64148</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4" t="s">
        <v>1432</v>
      </c>
      <c r="H109" s="2379" t="str">
        <f>IF(E109="——","——",H101-H105-H106)</f>
        <v>——</v>
      </c>
      <c r="I109" s="121"/>
    </row>
    <row r="110" spans="1:35" ht="18.75" customHeight="1">
      <c r="A110" s="121"/>
      <c r="B110" s="121"/>
      <c r="C110" s="121"/>
      <c r="D110" s="121"/>
      <c r="E110" s="3316"/>
      <c r="F110" s="3317"/>
      <c r="G110" s="1684" t="s">
        <v>1434</v>
      </c>
      <c r="H110" s="2336"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4.抵押净值</v>
      </c>
      <c r="F111" s="3318"/>
      <c r="G111" s="1684" t="s">
        <v>1432</v>
      </c>
      <c r="H111" s="2376">
        <f ca="1">IF(E111="——","——",N59)</f>
        <v>122371</v>
      </c>
      <c r="I111" s="121"/>
    </row>
    <row r="112" spans="1:35" ht="18.75" customHeight="1" thickBot="1">
      <c r="A112" s="121"/>
      <c r="B112" s="121"/>
      <c r="C112" s="121"/>
      <c r="D112" s="121"/>
      <c r="E112" s="3349"/>
      <c r="F112" s="3350"/>
      <c r="G112" s="1687" t="s">
        <v>1434</v>
      </c>
      <c r="H112" s="2380">
        <f ca="1">IF(E111="——","——",N61)</f>
        <v>24387</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68"/>
      <c r="F114" s="1668"/>
      <c r="G114" s="1668"/>
      <c r="H114" s="1668"/>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47" t="s">
        <v>1449</v>
      </c>
      <c r="E117" s="2147" t="s">
        <v>1450</v>
      </c>
      <c r="F117" s="2147" t="s">
        <v>1449</v>
      </c>
      <c r="G117" s="2147" t="s">
        <v>1451</v>
      </c>
      <c r="H117" s="2147" t="s">
        <v>1449</v>
      </c>
      <c r="I117" s="2147" t="s">
        <v>1451</v>
      </c>
    </row>
    <row r="118" spans="1:27" ht="24.75" customHeight="1">
      <c r="A118" s="2381" t="str">
        <f>项目基本情况!S2</f>
        <v>北京市朝阳区建国门外大街甲6号1幢房地产</v>
      </c>
      <c r="B118" s="2147">
        <f>M18</f>
        <v>50178.659999999996</v>
      </c>
      <c r="C118" s="2147">
        <f>M19</f>
        <v>3497.08</v>
      </c>
      <c r="D118" s="2147">
        <f ca="1">ROUND(IF(D32="总价",C34,E118*B118/10000),0)</f>
        <v>257188</v>
      </c>
      <c r="E118" s="2147">
        <f ca="1">ROUND(IF(C33="自定义",IF(D32="楼面单价",C34,D118*10000/B118),I118-G118),0)</f>
        <v>51254</v>
      </c>
      <c r="F118" s="2147">
        <f ca="1">ROUND(IF(D32="总价",C35,G118*B118/10000),0)</f>
        <v>64699</v>
      </c>
      <c r="G118" s="2147">
        <f ca="1">ROUND(IF(D32="楼面单价",C35,F118*10000/B118),0)</f>
        <v>12894</v>
      </c>
      <c r="H118" s="2147">
        <f ca="1">ROUND(IF(D32="总价",C32,I118*B118/10000),0)</f>
        <v>321887</v>
      </c>
      <c r="I118" s="2147">
        <f ca="1">ROUND(IF(D32="楼面单价",C32,H118*10000/B118),0)</f>
        <v>64148</v>
      </c>
    </row>
    <row r="119" spans="1:27" ht="18.75" customHeight="1">
      <c r="A119" s="3287" t="s">
        <v>1452</v>
      </c>
      <c r="B119" s="3287"/>
      <c r="C119" s="3287"/>
      <c r="D119" s="3327" t="str">
        <f ca="1">NUMBERSTRING(INT(D118*10000),2)&amp;"元整"</f>
        <v>贰拾伍亿柒仟壹佰捌拾捌万元整</v>
      </c>
      <c r="E119" s="3329"/>
      <c r="F119" s="3327" t="str">
        <f ca="1">NUMBERSTRING(INT(F118*10000),2)&amp;"元整"</f>
        <v>陆亿肆仟陆佰玖拾玖万元整</v>
      </c>
      <c r="G119" s="3329"/>
      <c r="H119" s="3327" t="str">
        <f ca="1">NUMBERSTRING(INT(H118*10000),2)&amp;"元整"</f>
        <v>叁拾贰亿壹仟捌佰捌拾柒万元整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321887</v>
      </c>
      <c r="E122" s="3352"/>
      <c r="F122" s="3352"/>
      <c r="G122" s="3352"/>
      <c r="H122" s="3352"/>
      <c r="I122" s="3353"/>
      <c r="AA122" s="684"/>
    </row>
    <row r="123" spans="1:27" ht="18.75" customHeight="1">
      <c r="A123" s="3287" t="s">
        <v>1452</v>
      </c>
      <c r="B123" s="3287"/>
      <c r="C123" s="3287"/>
      <c r="D123" s="3327" t="str">
        <f ca="1">NUMBERSTRING(INT(D122*10000),2)&amp;"元整"</f>
        <v>叁拾贰亿壹仟捌佰捌拾柒万元整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抵押净值</v>
      </c>
      <c r="B126" s="3318"/>
      <c r="C126" s="3318"/>
      <c r="D126" s="3351">
        <f ca="1">H111</f>
        <v>122371</v>
      </c>
      <c r="E126" s="3352"/>
      <c r="F126" s="3352"/>
      <c r="G126" s="3352"/>
      <c r="H126" s="3352"/>
      <c r="I126" s="3353"/>
      <c r="AA126" s="684"/>
    </row>
    <row r="127" spans="1:27" ht="18.75" customHeight="1">
      <c r="A127" s="3287" t="s">
        <v>1452</v>
      </c>
      <c r="B127" s="3287"/>
      <c r="C127" s="3287"/>
      <c r="D127" s="3327" t="str">
        <f ca="1">NUMBERSTRING(INT(D126*10000),2)&amp;"元整"</f>
        <v>壹拾贰亿贰仟叁佰柒拾壹万元整</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c r="C1" s="1714" t="s">
        <v>1563</v>
      </c>
      <c r="D1" s="190"/>
      <c r="E1" s="190"/>
      <c r="F1" s="190"/>
      <c r="G1" s="1059">
        <f>MATCH(B1,'数据-取费表'!A6:A16,0)+5</f>
        <v>8</v>
      </c>
      <c r="H1" s="995" t="str">
        <f>IF(ISERROR(FIND("住宅",B1)),"非住宅","住宅")</f>
        <v>非住宅</v>
      </c>
    </row>
    <row r="2" spans="1:8" s="192" customFormat="1" ht="18" customHeight="1">
      <c r="A2" s="193" t="s">
        <v>1462</v>
      </c>
      <c r="B2" s="3116">
        <f ca="1">ROUND(IF(D2="——",C52/10000,C52/10000-E2),4)</f>
        <v>41080.324099999998</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8187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10035732</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10035732</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10035732</v>
      </c>
      <c r="D10" s="792">
        <f ca="1">IF(B1="",'数据-汇总表'!E6,IF(INDIRECT("'数据-取费表'!c"&amp;$G$1)="住宅",INDIRECT("'数据-取费表'!s"&amp;$G$1),INDIRECT("'数据-取费表'!k"&amp;$G$1)+INDIRECT("'数据-取费表'!s"&amp;$G$1)))</f>
        <v>50178.659999999996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10035732</v>
      </c>
      <c r="D19" s="204">
        <f ca="1">D9+D10</f>
        <v>50178.659999999996</v>
      </c>
      <c r="E19" s="203">
        <f>'数据-取费表'!B31</f>
        <v>200</v>
      </c>
      <c r="F19" s="223"/>
      <c r="G19" s="1711"/>
    </row>
    <row r="20" spans="1:7" s="206" customFormat="1" ht="13.5" customHeight="1">
      <c r="A20" s="247" t="s">
        <v>1574</v>
      </c>
      <c r="B20" s="202" t="s">
        <v>1575</v>
      </c>
      <c r="C20" s="224">
        <f ca="1">ROUND((C5+C19)*F20,0)</f>
        <v>401429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1879365</v>
      </c>
      <c r="D22" s="227">
        <f ca="1">C26</f>
        <v>8.9999999999999998E-4</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930583</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930583</v>
      </c>
      <c r="D24" s="230"/>
      <c r="E24" s="230"/>
      <c r="F24" s="231"/>
      <c r="G24" s="232" t="s">
        <v>1586</v>
      </c>
    </row>
    <row r="25" spans="1:7" s="206" customFormat="1" ht="24">
      <c r="A25" s="731" t="s">
        <v>1476</v>
      </c>
      <c r="B25" s="207" t="s">
        <v>1587</v>
      </c>
      <c r="C25" s="230">
        <f ca="1">ROUND(IF('数据-取费表'!B22&lt;=1,C20*F22*'数据-取费表'!B22/2,C20*(POWER((1+F22),'数据-取费表'!B22/2)-1)),0)</f>
        <v>18199</v>
      </c>
      <c r="D25" s="230"/>
      <c r="E25" s="233"/>
      <c r="F25" s="231"/>
      <c r="G25" s="234" t="s">
        <v>1588</v>
      </c>
    </row>
    <row r="26" spans="1:7" s="206" customFormat="1">
      <c r="A26" s="731"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3070934</v>
      </c>
      <c r="D27" s="227">
        <f ca="1">C29</f>
        <v>3.0000000000000001E-3</v>
      </c>
      <c r="E27" s="228" t="s">
        <v>1514</v>
      </c>
      <c r="F27" s="238">
        <f ca="1">IF(B1="",'数据-取费表'!Q16,INDIRECT("'数据-取费表'!q"&amp;$G$1))</f>
        <v>0.15</v>
      </c>
      <c r="G27" s="239" t="s">
        <v>1515</v>
      </c>
    </row>
    <row r="28" spans="1:7" s="206" customFormat="1" ht="13.5" customHeight="1">
      <c r="A28" s="731" t="s">
        <v>346</v>
      </c>
      <c r="B28" s="240" t="s">
        <v>1516</v>
      </c>
      <c r="C28" s="241">
        <f ca="1">ROUND((C5+C19+C20)*F27,0)</f>
        <v>3070934</v>
      </c>
      <c r="D28" s="227"/>
      <c r="E28" s="228"/>
      <c r="F28" s="238"/>
      <c r="G28" s="239"/>
    </row>
    <row r="29" spans="1:7" s="206" customFormat="1" ht="13.5" customHeight="1">
      <c r="A29" s="731"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27550056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305337147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275982630</v>
      </c>
      <c r="D34" s="209"/>
      <c r="E34" s="212"/>
      <c r="F34" s="249"/>
      <c r="G34" s="211"/>
    </row>
    <row r="35" spans="1:7" ht="13.5" customHeight="1">
      <c r="A35" s="731" t="s">
        <v>351</v>
      </c>
      <c r="B35" s="207" t="s">
        <v>1527</v>
      </c>
      <c r="C35" s="212">
        <f ca="1">ROUND(C34*F35,0)</f>
        <v>13799132</v>
      </c>
      <c r="D35" s="212"/>
      <c r="E35" s="212"/>
      <c r="F35" s="251">
        <f>'数据-取费表'!B33</f>
        <v>0.05</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10035732</v>
      </c>
      <c r="D37" s="209">
        <f ca="1">D19</f>
        <v>50178.659999999996</v>
      </c>
      <c r="E37" s="241">
        <f>'数据-取费表'!B35</f>
        <v>200</v>
      </c>
      <c r="F37" s="251"/>
      <c r="G37" s="253"/>
    </row>
    <row r="38" spans="1:7" ht="13.5" customHeight="1">
      <c r="A38" s="731" t="s">
        <v>354</v>
      </c>
      <c r="B38" s="207" t="s">
        <v>1533</v>
      </c>
      <c r="C38" s="212">
        <f ca="1">ROUND(C34*F38,0)</f>
        <v>5519653</v>
      </c>
      <c r="D38" s="212"/>
      <c r="E38" s="212"/>
      <c r="F38" s="251">
        <f>'数据-取费表'!B36</f>
        <v>0.02</v>
      </c>
      <c r="G38" s="211" t="s">
        <v>1528</v>
      </c>
    </row>
    <row r="39" spans="1:7" s="206" customFormat="1" ht="13.5" customHeight="1">
      <c r="A39" s="247" t="s">
        <v>1534</v>
      </c>
      <c r="B39" s="202" t="s">
        <v>1535</v>
      </c>
      <c r="C39" s="224">
        <f ca="1">ROUND(C33*F20,0)</f>
        <v>6106743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14119567</v>
      </c>
      <c r="D41" s="227">
        <f ca="1">C44</f>
        <v>8.9999999999999998E-4</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13842713</v>
      </c>
      <c r="D42" s="230"/>
      <c r="E42" s="230"/>
      <c r="F42" s="231"/>
      <c r="G42" s="3367" t="s">
        <v>1591</v>
      </c>
    </row>
    <row r="43" spans="1:7" ht="13.5" customHeight="1">
      <c r="A43" s="731" t="s">
        <v>347</v>
      </c>
      <c r="B43" s="207" t="s">
        <v>1545</v>
      </c>
      <c r="C43" s="230">
        <f ca="1">ROUND(IF('数据-取费表'!B22&lt;=1,C39*F22*'数据-取费表'!B20/2,C39*(POWER((1+F22),'数据-取费表'!B20/2)-1)),0)</f>
        <v>276854</v>
      </c>
      <c r="D43" s="230"/>
      <c r="E43" s="230"/>
      <c r="F43" s="231"/>
      <c r="G43" s="3368"/>
    </row>
    <row r="44" spans="1:7" ht="13.5" customHeight="1">
      <c r="A44" s="731" t="s">
        <v>348</v>
      </c>
      <c r="B44" s="207" t="s">
        <v>1546</v>
      </c>
      <c r="C44" s="230">
        <f ca="1">ROUND(IF('数据-取费表'!B22&lt;=1,C40*F22*'数据-取费表'!B20/2,C40*(POWER((1+F22),'数据-取费表'!B20/2)-1)),4)</f>
        <v>8.9999999999999998E-4</v>
      </c>
      <c r="D44" s="230"/>
      <c r="E44" s="230"/>
      <c r="F44" s="231"/>
      <c r="G44" s="3369"/>
    </row>
    <row r="45" spans="1:7" s="206" customFormat="1" ht="13.5" customHeight="1">
      <c r="A45" s="247" t="s">
        <v>1547</v>
      </c>
      <c r="B45" s="236" t="s">
        <v>1513</v>
      </c>
      <c r="C45" s="237">
        <f ca="1">C46</f>
        <v>46716584</v>
      </c>
      <c r="D45" s="227">
        <f ca="1">C47</f>
        <v>3.0000000000000001E-3</v>
      </c>
      <c r="E45" s="228" t="s">
        <v>1539</v>
      </c>
      <c r="F45" s="238">
        <f ca="1">F27</f>
        <v>0.15</v>
      </c>
      <c r="G45" s="239" t="s">
        <v>1548</v>
      </c>
    </row>
    <row r="46" spans="1:7" s="206" customFormat="1" ht="13.5" customHeight="1">
      <c r="A46" s="731" t="s">
        <v>346</v>
      </c>
      <c r="B46" s="240" t="s">
        <v>1549</v>
      </c>
      <c r="C46" s="241">
        <f ca="1">ROUND((C33+C39)*F27,0)</f>
        <v>46716584</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403424405</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383253185</v>
      </c>
      <c r="D51" s="224"/>
      <c r="E51" s="224"/>
      <c r="F51" s="256"/>
      <c r="G51" s="226" t="s">
        <v>1560</v>
      </c>
    </row>
    <row r="52" spans="1:7" s="200" customFormat="1" ht="16.8" thickBot="1">
      <c r="A52" s="257" t="s">
        <v>1561</v>
      </c>
      <c r="B52" s="258"/>
      <c r="C52" s="259">
        <f ca="1">C31+C51</f>
        <v>410803241</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85" t="str">
        <f>项目基本情况!B1</f>
        <v>北京市朝阳区建国门外大街甲6号1幢房地产抵押价值预评估</v>
      </c>
      <c r="C37" s="3185"/>
      <c r="D37" s="3185"/>
      <c r="E37" s="3185"/>
      <c r="F37" s="3185"/>
      <c r="G37" s="3185"/>
      <c r="H37" s="3185"/>
      <c r="I37" s="3185"/>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梁津（注册号：1119970066)、郑燚（注册号：1120070131)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2" customWidth="1"/>
    <col min="3" max="3" width="10.33203125" style="771" customWidth="1"/>
    <col min="4" max="4" width="9.88671875" style="732" customWidth="1"/>
    <col min="5" max="5" width="9.44140625" style="687"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61"/>
      <c r="F1" s="2561"/>
      <c r="G1" s="2443"/>
      <c r="H1" s="2561"/>
      <c r="I1" s="2561"/>
      <c r="J1" s="2561"/>
      <c r="K1" s="2562">
        <f>MATCH(C1,'数据-取费表'!A6:A16,0)+5</f>
        <v>8</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50178.659999999996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50178.659999999996</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1004</v>
      </c>
      <c r="D20" s="793">
        <f ca="1">IF(C1="",'数据-汇总表'!E6,IF(INDIRECT("'数据-取费表'!c"&amp;$K$1)="住宅",INDIRECT("'数据-取费表'!s"&amp;$K$1),INDIRECT("'数据-取费表'!k"&amp;$K$1)+INDIRECT("'数据-取费表'!s"&amp;$K$1)))</f>
        <v>50178.659999999996</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0.15</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V132"/>
  <sheetViews>
    <sheetView view="pageBreakPreview" topLeftCell="A34" zoomScale="85" zoomScaleNormal="70" zoomScaleSheetLayoutView="85" workbookViewId="0">
      <selection activeCell="E19" sqref="E19"/>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8.77734375" style="347" customWidth="1"/>
    <col min="10" max="10" width="12.21875" style="347" customWidth="1"/>
    <col min="11" max="11" width="12.21875" style="430" customWidth="1"/>
    <col min="12" max="12" width="12.21875" style="431" customWidth="1"/>
    <col min="13" max="15" width="12.21875" style="347" customWidth="1"/>
    <col min="16" max="16" width="7.886718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1810</v>
      </c>
      <c r="C1" s="1138" t="s">
        <v>1662</v>
      </c>
      <c r="D1" s="1139"/>
      <c r="E1" s="3125" t="s">
        <v>3455</v>
      </c>
      <c r="F1" s="1732" t="s">
        <v>3453</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370865</v>
      </c>
      <c r="C2" s="1734" t="s">
        <v>43</v>
      </c>
      <c r="D2" s="1049">
        <f ca="1">IF(E1="项目模式",SUMIF(INDIRECT("'"&amp;F2&amp;"'"&amp;"!A:A"),"承租人权益价值",INDIRECT("'"&amp;F2&amp;"'"&amp;"!c:c")),SUMIF(INDIRECT("'"&amp;F2&amp;"'"&amp;"!A:A"),"承租人权益价值（单套）",INDIRECT("'"&amp;F2&amp;"'"&amp;"!c:c")))</f>
        <v>0</v>
      </c>
      <c r="E2" s="1735" t="s">
        <v>1463</v>
      </c>
      <c r="F2" s="1736" t="s">
        <v>3441</v>
      </c>
      <c r="G2" s="852"/>
      <c r="H2" s="852"/>
      <c r="I2" s="852"/>
      <c r="J2" s="852"/>
      <c r="K2" s="852"/>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73909</v>
      </c>
      <c r="C3" s="344" t="s">
        <v>1768</v>
      </c>
      <c r="D3" s="3181">
        <f>IF(D1="",'数据-汇总表'!E3,SUMIF('数据-汇总表'!$C19:$C33,D1,'数据-汇总表'!$E19:$E33))</f>
        <v>50178.659999999996</v>
      </c>
      <c r="E3" s="1802"/>
      <c r="F3" s="853"/>
      <c r="G3" s="852"/>
      <c r="H3" s="852"/>
      <c r="I3" s="852"/>
      <c r="J3" s="852"/>
      <c r="K3" s="854"/>
      <c r="L3" s="2497"/>
      <c r="M3" s="2498"/>
      <c r="N3" s="2498"/>
      <c r="O3" s="2498"/>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0"/>
      <c r="M4" s="2481"/>
      <c r="N4" s="2481"/>
      <c r="O4" s="2481"/>
      <c r="P4" s="3392" t="s">
        <v>1775</v>
      </c>
      <c r="Q4" s="3393"/>
      <c r="R4" s="3398" t="s">
        <v>1771</v>
      </c>
      <c r="S4" s="3399"/>
      <c r="T4" s="3398" t="s">
        <v>1772</v>
      </c>
      <c r="U4" s="3399"/>
      <c r="V4" s="3404" t="s">
        <v>1773</v>
      </c>
      <c r="W4" s="3404"/>
      <c r="X4" s="1806"/>
      <c r="Y4" s="3398" t="s">
        <v>1775</v>
      </c>
      <c r="Z4" s="3399"/>
      <c r="AA4" s="3415" t="s">
        <v>1771</v>
      </c>
      <c r="AB4" s="3415" t="s">
        <v>1772</v>
      </c>
      <c r="AC4" s="3385" t="s">
        <v>1773</v>
      </c>
    </row>
    <row r="5" spans="1:29">
      <c r="A5" s="348"/>
      <c r="B5" s="349"/>
      <c r="C5" s="3407" t="s">
        <v>1673</v>
      </c>
      <c r="D5" s="3408"/>
      <c r="E5" s="3418" t="s">
        <v>3464</v>
      </c>
      <c r="F5" s="3419"/>
      <c r="G5" s="3407" t="s">
        <v>3465</v>
      </c>
      <c r="H5" s="3408"/>
      <c r="I5" s="3407" t="s">
        <v>3466</v>
      </c>
      <c r="J5" s="3408"/>
      <c r="K5" s="537"/>
      <c r="L5" s="2480"/>
      <c r="M5" s="2481"/>
      <c r="N5" s="2481"/>
      <c r="O5" s="2481"/>
      <c r="P5" s="3394"/>
      <c r="Q5" s="3395"/>
      <c r="R5" s="3400"/>
      <c r="S5" s="3401"/>
      <c r="T5" s="3400"/>
      <c r="U5" s="3401"/>
      <c r="V5" s="3372"/>
      <c r="W5" s="3372"/>
      <c r="X5" s="1262"/>
      <c r="Y5" s="3400"/>
      <c r="Z5" s="3401"/>
      <c r="AA5" s="3416"/>
      <c r="AB5" s="3416"/>
      <c r="AC5" s="3386"/>
    </row>
    <row r="6" spans="1:29" ht="15" thickBot="1">
      <c r="A6" s="350"/>
      <c r="B6" s="351"/>
      <c r="C6" s="3405" t="s">
        <v>1677</v>
      </c>
      <c r="D6" s="3406"/>
      <c r="E6" s="3413" t="s">
        <v>3467</v>
      </c>
      <c r="F6" s="3414"/>
      <c r="G6" s="3405" t="s">
        <v>3468</v>
      </c>
      <c r="H6" s="3406"/>
      <c r="I6" s="3405" t="s">
        <v>3467</v>
      </c>
      <c r="J6" s="3406"/>
      <c r="K6" s="537" t="s">
        <v>1678</v>
      </c>
      <c r="L6" s="2480"/>
      <c r="M6" s="2481"/>
      <c r="N6" s="2481"/>
      <c r="O6" s="2481"/>
      <c r="P6" s="3396"/>
      <c r="Q6" s="3397"/>
      <c r="R6" s="3400"/>
      <c r="S6" s="3401"/>
      <c r="T6" s="3402"/>
      <c r="U6" s="3403"/>
      <c r="V6" s="3372"/>
      <c r="W6" s="3372"/>
      <c r="X6" s="1262"/>
      <c r="Y6" s="3402"/>
      <c r="Z6" s="3403"/>
      <c r="AA6" s="3417"/>
      <c r="AB6" s="3417"/>
      <c r="AC6" s="3387"/>
    </row>
    <row r="7" spans="1:29" s="102" customFormat="1" ht="15" thickBot="1">
      <c r="A7" s="352" t="s">
        <v>1679</v>
      </c>
      <c r="B7" s="353"/>
      <c r="C7" s="354">
        <f>'数据-取费表'!B2</f>
        <v>45903</v>
      </c>
      <c r="D7" s="355">
        <v>100</v>
      </c>
      <c r="E7" s="356">
        <v>45657.333831018499</v>
      </c>
      <c r="F7" s="357">
        <f>SUMIF(59:59,YEAR(E7)&amp;"-"&amp;MONTH(E7),60:60)</f>
        <v>100</v>
      </c>
      <c r="G7" s="356">
        <v>45393.333831018499</v>
      </c>
      <c r="H7" s="355">
        <f>SUMIF(59:59,YEAR(G7)&amp;"-"&amp;MONTH(G7),60:60)</f>
        <v>100</v>
      </c>
      <c r="I7" s="356">
        <v>45657.333831018499</v>
      </c>
      <c r="J7" s="355">
        <f>SUMIF(59:59,YEAR(I7)&amp;"-"&amp;MONTH(I7),60:60)</f>
        <v>100</v>
      </c>
      <c r="K7" s="38"/>
      <c r="L7" s="2482"/>
      <c r="M7" s="2435"/>
      <c r="N7" s="2435"/>
      <c r="O7" s="2435"/>
      <c r="P7" s="3409" t="s">
        <v>1680</v>
      </c>
      <c r="Q7" s="3412"/>
      <c r="R7" s="664" t="s">
        <v>14</v>
      </c>
      <c r="S7" s="665">
        <f t="shared" ref="S7:S15" si="0">F7</f>
        <v>100</v>
      </c>
      <c r="T7" s="664" t="s">
        <v>14</v>
      </c>
      <c r="U7" s="665">
        <f t="shared" ref="U7:U15" si="1">H7</f>
        <v>100</v>
      </c>
      <c r="V7" s="664" t="s">
        <v>14</v>
      </c>
      <c r="W7" s="665">
        <f t="shared" ref="W7:W15" si="2">J7</f>
        <v>100</v>
      </c>
      <c r="X7" s="666"/>
      <c r="Y7" s="3411" t="s">
        <v>1680</v>
      </c>
      <c r="Z7" s="3410"/>
      <c r="AA7" s="50">
        <f>D7/F7</f>
        <v>1</v>
      </c>
      <c r="AB7" s="50">
        <f>D7/H7</f>
        <v>1</v>
      </c>
      <c r="AC7" s="799">
        <f>D7/J7</f>
        <v>1</v>
      </c>
    </row>
    <row r="8" spans="1:29" s="102" customFormat="1" ht="15" thickBot="1">
      <c r="A8" s="352" t="s">
        <v>1681</v>
      </c>
      <c r="B8" s="353"/>
      <c r="C8" s="358" t="s">
        <v>3442</v>
      </c>
      <c r="D8" s="355">
        <v>100</v>
      </c>
      <c r="E8" s="358" t="s">
        <v>3442</v>
      </c>
      <c r="F8" s="357">
        <f>SUMIF(62:62,E8,63:63)-SUMIF(62:62,C8,63:63)+100</f>
        <v>100</v>
      </c>
      <c r="G8" s="358" t="s">
        <v>3442</v>
      </c>
      <c r="H8" s="355">
        <f>SUMIF(62:62,G8,63:63)-SUMIF(62:62,C8,63:63)+100</f>
        <v>100</v>
      </c>
      <c r="I8" s="358" t="s">
        <v>3442</v>
      </c>
      <c r="J8" s="355">
        <f>SUMIF(62:62,I8,63:63)-SUMIF(62:62,C8,63:63)+100</f>
        <v>100</v>
      </c>
      <c r="K8" s="38"/>
      <c r="L8" s="2482"/>
      <c r="M8" s="2435"/>
      <c r="N8" s="2435"/>
      <c r="O8" s="2435"/>
      <c r="P8" s="3409" t="s">
        <v>1683</v>
      </c>
      <c r="Q8" s="3410"/>
      <c r="R8" s="664" t="s">
        <v>14</v>
      </c>
      <c r="S8" s="665">
        <f t="shared" si="0"/>
        <v>100</v>
      </c>
      <c r="T8" s="664" t="s">
        <v>14</v>
      </c>
      <c r="U8" s="665">
        <f t="shared" si="1"/>
        <v>100</v>
      </c>
      <c r="V8" s="664" t="s">
        <v>14</v>
      </c>
      <c r="W8" s="665">
        <f t="shared" si="2"/>
        <v>100</v>
      </c>
      <c r="X8" s="666"/>
      <c r="Y8" s="3411" t="s">
        <v>1683</v>
      </c>
      <c r="Z8" s="3410"/>
      <c r="AA8" s="50">
        <f t="shared" ref="AA8:AA47" si="3">D8/F8</f>
        <v>1</v>
      </c>
      <c r="AB8" s="50">
        <f t="shared" ref="AB8:AB47" si="4">D8/H8</f>
        <v>1</v>
      </c>
      <c r="AC8" s="799">
        <f t="shared" ref="AC8:AC47" si="5">D8/J8</f>
        <v>1</v>
      </c>
    </row>
    <row r="9" spans="1:29" s="102" customFormat="1" ht="14.4">
      <c r="A9" s="359" t="s">
        <v>1684</v>
      </c>
      <c r="B9" s="60" t="s">
        <v>1685</v>
      </c>
      <c r="C9" s="3168" t="s">
        <v>3588</v>
      </c>
      <c r="D9" s="59">
        <v>100</v>
      </c>
      <c r="E9" s="362" t="s">
        <v>21</v>
      </c>
      <c r="F9" s="59">
        <f>SUMIF(64:64,E9,65:65)-SUMIF(64:64,C9,65:65)+100</f>
        <v>98</v>
      </c>
      <c r="G9" s="361" t="s">
        <v>21</v>
      </c>
      <c r="H9" s="59">
        <f>SUMIF(64:64,G9,65:65)-SUMIF(64:64,C9,65:65)+100</f>
        <v>98</v>
      </c>
      <c r="I9" s="361" t="s">
        <v>21</v>
      </c>
      <c r="J9" s="59">
        <f>SUMIF(64:64,I9,65:65)-SUMIF(64:64,C9,65:65)+100</f>
        <v>98</v>
      </c>
      <c r="K9" s="38"/>
      <c r="L9" s="2482"/>
      <c r="M9" s="2435"/>
      <c r="N9" s="2435"/>
      <c r="O9" s="2435"/>
      <c r="P9" s="3370" t="s">
        <v>1686</v>
      </c>
      <c r="Q9" s="530" t="str">
        <f t="shared" ref="Q9:Q15" si="6">B9</f>
        <v>用途</v>
      </c>
      <c r="R9" s="664" t="s">
        <v>14</v>
      </c>
      <c r="S9" s="665">
        <f t="shared" si="0"/>
        <v>98</v>
      </c>
      <c r="T9" s="664" t="s">
        <v>14</v>
      </c>
      <c r="U9" s="665">
        <f t="shared" si="1"/>
        <v>98</v>
      </c>
      <c r="V9" s="664" t="s">
        <v>14</v>
      </c>
      <c r="W9" s="665">
        <f t="shared" si="2"/>
        <v>98</v>
      </c>
      <c r="X9" s="666"/>
      <c r="Y9" s="3274" t="s">
        <v>1687</v>
      </c>
      <c r="Z9" s="50" t="str">
        <f t="shared" ref="Z9:Z15" si="7">Q9</f>
        <v>用途</v>
      </c>
      <c r="AA9" s="50">
        <f t="shared" si="3"/>
        <v>1.0204081632653061</v>
      </c>
      <c r="AB9" s="50">
        <f t="shared" si="4"/>
        <v>1.0204081632653061</v>
      </c>
      <c r="AC9" s="799">
        <f t="shared" si="5"/>
        <v>1.0204081632653061</v>
      </c>
    </row>
    <row r="10" spans="1:29" s="366" customFormat="1" ht="28.8">
      <c r="A10" s="363"/>
      <c r="B10" s="364" t="s">
        <v>1688</v>
      </c>
      <c r="C10" s="3126" t="s">
        <v>3449</v>
      </c>
      <c r="D10" s="119">
        <v>100</v>
      </c>
      <c r="E10" s="3126" t="s">
        <v>3449</v>
      </c>
      <c r="F10" s="119">
        <f>SUMIF(66:66,E10,67:67)-SUMIF(66:66,C10,67:67)+100</f>
        <v>100</v>
      </c>
      <c r="G10" s="3126" t="s">
        <v>3449</v>
      </c>
      <c r="H10" s="119">
        <f>SUMIF(66:66,G10,67:67)-SUMIF(66:66,C10,67:67)+100</f>
        <v>100</v>
      </c>
      <c r="I10" s="3126" t="s">
        <v>3449</v>
      </c>
      <c r="J10" s="119">
        <f>SUMIF(66:66,I10,67:67)-SUMIF(66:66,C10,67:67)+100</f>
        <v>100</v>
      </c>
      <c r="K10" s="38"/>
      <c r="L10" s="2483"/>
      <c r="M10" s="2484"/>
      <c r="N10" s="2484"/>
      <c r="O10" s="2484"/>
      <c r="P10" s="337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370"/>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799">
        <f t="shared" si="5"/>
        <v>1</v>
      </c>
    </row>
    <row r="12" spans="1:29" s="102" customFormat="1" ht="15">
      <c r="A12" s="370"/>
      <c r="B12" s="447">
        <v>111</v>
      </c>
      <c r="C12" s="371"/>
      <c r="D12" s="372">
        <v>100</v>
      </c>
      <c r="E12" s="371" t="s">
        <v>3469</v>
      </c>
      <c r="F12" s="119">
        <f>SUMIF(71:71,E12,72:72)-SUMIF(71:71,C12,72:72)+100</f>
        <v>100</v>
      </c>
      <c r="G12" s="1807"/>
      <c r="H12" s="119">
        <f>SUMIF(71:71,G12,72:72)-SUMIF(71:71,C12,72:72)+100</f>
        <v>100</v>
      </c>
      <c r="I12" s="371"/>
      <c r="J12" s="119">
        <f>SUMIF(71:71,I12,72:72)-SUMIF(71:71,C12,72:72)+100</f>
        <v>100</v>
      </c>
      <c r="K12" s="539"/>
      <c r="L12" s="2482"/>
      <c r="M12" s="2435"/>
      <c r="N12" s="2435"/>
      <c r="O12" s="2435"/>
      <c r="P12" s="337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799">
        <f>D12/J12</f>
        <v>1</v>
      </c>
    </row>
    <row r="13" spans="1:29" ht="15">
      <c r="A13" s="367"/>
      <c r="B13" s="447">
        <v>111</v>
      </c>
      <c r="C13" s="373"/>
      <c r="D13" s="374">
        <v>100</v>
      </c>
      <c r="E13" s="371" t="s">
        <v>3470</v>
      </c>
      <c r="F13" s="119">
        <f>SUMIF(73:73,E13,74:74)-SUMIF(73:73,C13,74:74)+100</f>
        <v>100</v>
      </c>
      <c r="G13" s="1807"/>
      <c r="H13" s="374">
        <f>SUMIF(73:73,G13,74:74)-SUMIF(73:73,C13,74:74)+100</f>
        <v>100</v>
      </c>
      <c r="I13" s="371"/>
      <c r="J13" s="374">
        <f>SUMIF(73:73,I13,74:74)-SUMIF(73:73,C13,74:74)+100</f>
        <v>100</v>
      </c>
      <c r="K13" s="539"/>
      <c r="L13" s="2486"/>
      <c r="M13" s="2481"/>
      <c r="N13" s="2481"/>
      <c r="O13" s="2481"/>
      <c r="P13" s="337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799">
        <f t="shared" si="5"/>
        <v>1</v>
      </c>
    </row>
    <row r="14" spans="1:29" ht="15.6"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6"/>
      <c r="M14" s="2481"/>
      <c r="N14" s="2481"/>
      <c r="O14" s="2481"/>
      <c r="P14" s="337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799">
        <f t="shared" si="5"/>
        <v>1</v>
      </c>
    </row>
    <row r="15" spans="1:29" ht="124.2">
      <c r="A15" s="379" t="s">
        <v>1690</v>
      </c>
      <c r="B15" s="554" t="s">
        <v>1811</v>
      </c>
      <c r="C15" s="1808" t="str">
        <f>估价对象房地状况!C5</f>
        <v>估价对象地处北京商务中心区，北京商务中心区（CBD）是首都六大高端产业功能区之一区域内高品质写字楼项目聚集，如国贸中心、银泰中心、环球金融中心等，区域办公集聚程度好</v>
      </c>
      <c r="D15" s="380">
        <v>100</v>
      </c>
      <c r="E15" s="383" t="s">
        <v>3471</v>
      </c>
      <c r="F15" s="380">
        <f>SUMIF(77:77,E16,78:78)-SUMIF(77:77,C16,78:78)+100</f>
        <v>105</v>
      </c>
      <c r="G15" s="381" t="s">
        <v>3480</v>
      </c>
      <c r="H15" s="380">
        <f>SUMIF(77:77,G16,78:78)-SUMIF(77:77,C16,78:78)+100</f>
        <v>105</v>
      </c>
      <c r="I15" s="381" t="s">
        <v>3486</v>
      </c>
      <c r="J15" s="380">
        <f>SUMIF(77:77,I16,78:78)-SUMIF(77:77,C16,78:78)+100</f>
        <v>105</v>
      </c>
      <c r="K15" s="540">
        <v>5</v>
      </c>
      <c r="L15" s="2486"/>
      <c r="M15" s="2481"/>
      <c r="N15" s="2481"/>
      <c r="O15" s="2481"/>
      <c r="P15" s="3376" t="s">
        <v>1691</v>
      </c>
      <c r="Q15" s="1260" t="str">
        <f t="shared" si="6"/>
        <v>办公集聚程度</v>
      </c>
      <c r="R15" s="667" t="s">
        <v>14</v>
      </c>
      <c r="S15" s="668">
        <f t="shared" si="0"/>
        <v>105</v>
      </c>
      <c r="T15" s="667" t="s">
        <v>14</v>
      </c>
      <c r="U15" s="668">
        <f t="shared" si="1"/>
        <v>105</v>
      </c>
      <c r="V15" s="667" t="s">
        <v>14</v>
      </c>
      <c r="W15" s="668">
        <f t="shared" si="2"/>
        <v>105</v>
      </c>
      <c r="X15" s="1262"/>
      <c r="Y15" s="3378" t="s">
        <v>1691</v>
      </c>
      <c r="Z15" s="1261" t="str">
        <f t="shared" si="7"/>
        <v>办公集聚程度</v>
      </c>
      <c r="AA15" s="1261">
        <f t="shared" si="3"/>
        <v>0.95238095238095233</v>
      </c>
      <c r="AB15" s="1261">
        <f t="shared" si="4"/>
        <v>0.95238095238095233</v>
      </c>
      <c r="AC15" s="1809">
        <f t="shared" si="5"/>
        <v>0.95238095238095233</v>
      </c>
    </row>
    <row r="16" spans="1:29" ht="15">
      <c r="A16" s="367"/>
      <c r="B16" s="555"/>
      <c r="C16" s="1755" t="s">
        <v>3445</v>
      </c>
      <c r="D16" s="387"/>
      <c r="E16" s="386" t="s">
        <v>3591</v>
      </c>
      <c r="F16" s="387"/>
      <c r="G16" s="386" t="s">
        <v>3591</v>
      </c>
      <c r="H16" s="389"/>
      <c r="I16" s="386" t="s">
        <v>3591</v>
      </c>
      <c r="J16" s="387"/>
      <c r="K16" s="541"/>
      <c r="L16" s="2486"/>
      <c r="M16" s="2481"/>
      <c r="N16" s="2481"/>
      <c r="O16" s="2481"/>
      <c r="P16" s="3377"/>
      <c r="Q16" s="1260"/>
      <c r="R16" s="667"/>
      <c r="S16" s="668"/>
      <c r="T16" s="667"/>
      <c r="U16" s="668"/>
      <c r="V16" s="667"/>
      <c r="W16" s="668"/>
      <c r="X16" s="1262"/>
      <c r="Y16" s="3379"/>
      <c r="Z16" s="1261"/>
      <c r="AA16" s="1261">
        <v>1</v>
      </c>
      <c r="AB16" s="1261">
        <v>1</v>
      </c>
      <c r="AC16" s="1809">
        <v>1</v>
      </c>
    </row>
    <row r="17" spans="1:29" ht="138">
      <c r="A17" s="367"/>
      <c r="B17" s="556" t="s">
        <v>1259</v>
      </c>
      <c r="C17" s="1810" t="str">
        <f>估价对象房地状况!C6</f>
        <v>周边1公里范围内有特8内路、348路、805快路、806路、814路、846路等多条公交线路及地铁1、10号线国贸站，公交便捷度好。综上分析，估价对象所在区位整体交通便捷度较好</v>
      </c>
      <c r="D17" s="389">
        <v>100</v>
      </c>
      <c r="E17" s="393" t="s">
        <v>3472</v>
      </c>
      <c r="F17" s="389">
        <f>SUMIF(79:79,E18,80:80)-SUMIF(79:79,C18,80:80)+100</f>
        <v>103</v>
      </c>
      <c r="G17" s="391" t="s">
        <v>3481</v>
      </c>
      <c r="H17" s="394">
        <f>SUMIF(79:79,G18,80:80)-SUMIF(79:79,C18,80:80)+100</f>
        <v>103</v>
      </c>
      <c r="I17" s="391" t="s">
        <v>3487</v>
      </c>
      <c r="J17" s="394">
        <f>SUMIF(79:79,I18,80:80)-SUMIF(79:79,C18,80:80)+100</f>
        <v>103</v>
      </c>
      <c r="K17" s="540">
        <v>3</v>
      </c>
      <c r="L17" s="2486"/>
      <c r="M17" s="2481"/>
      <c r="N17" s="2481"/>
      <c r="O17" s="2481"/>
      <c r="P17" s="3377"/>
      <c r="Q17" s="1260" t="str">
        <f>B17</f>
        <v>交通便捷度</v>
      </c>
      <c r="R17" s="667" t="s">
        <v>14</v>
      </c>
      <c r="S17" s="668">
        <f>F17</f>
        <v>103</v>
      </c>
      <c r="T17" s="667" t="s">
        <v>14</v>
      </c>
      <c r="U17" s="668">
        <f>H17</f>
        <v>103</v>
      </c>
      <c r="V17" s="667" t="s">
        <v>14</v>
      </c>
      <c r="W17" s="668">
        <f>J17</f>
        <v>103</v>
      </c>
      <c r="X17" s="1262"/>
      <c r="Y17" s="3379"/>
      <c r="Z17" s="1261" t="str">
        <f>Q17</f>
        <v>交通便捷度</v>
      </c>
      <c r="AA17" s="1261">
        <f t="shared" si="3"/>
        <v>0.970873786407767</v>
      </c>
      <c r="AB17" s="1261">
        <f t="shared" si="4"/>
        <v>0.970873786407767</v>
      </c>
      <c r="AC17" s="1809">
        <f t="shared" si="5"/>
        <v>0.970873786407767</v>
      </c>
    </row>
    <row r="18" spans="1:29" ht="15">
      <c r="A18" s="367"/>
      <c r="B18" s="401"/>
      <c r="C18" s="1811" t="s">
        <v>3592</v>
      </c>
      <c r="D18" s="389"/>
      <c r="E18" s="1753" t="s">
        <v>3445</v>
      </c>
      <c r="F18" s="389"/>
      <c r="G18" s="1754" t="s">
        <v>3445</v>
      </c>
      <c r="H18" s="387"/>
      <c r="I18" s="1754" t="s">
        <v>3445</v>
      </c>
      <c r="J18" s="387"/>
      <c r="K18" s="541"/>
      <c r="L18" s="2486"/>
      <c r="M18" s="2481"/>
      <c r="N18" s="2481"/>
      <c r="O18" s="2481"/>
      <c r="P18" s="3377"/>
      <c r="Q18" s="1260"/>
      <c r="R18" s="667"/>
      <c r="S18" s="668"/>
      <c r="T18" s="667"/>
      <c r="U18" s="668"/>
      <c r="V18" s="667"/>
      <c r="W18" s="668"/>
      <c r="X18" s="1262"/>
      <c r="Y18" s="3379"/>
      <c r="Z18" s="1261"/>
      <c r="AA18" s="1261">
        <v>1</v>
      </c>
      <c r="AB18" s="1261">
        <v>1</v>
      </c>
      <c r="AC18" s="1809">
        <v>1</v>
      </c>
    </row>
    <row r="19" spans="1:29" ht="262.2">
      <c r="A19" s="367"/>
      <c r="B19" s="556" t="s">
        <v>1812</v>
      </c>
      <c r="C19" s="181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t="s">
        <v>3473</v>
      </c>
      <c r="F19" s="394">
        <f>SUMIF(81:81,E20,82:82)-SUMIF(81:81,C20,82:82)+100</f>
        <v>100</v>
      </c>
      <c r="G19" s="396" t="s">
        <v>3482</v>
      </c>
      <c r="H19" s="389">
        <f>SUMIF(81:81,G20,82:82)-SUMIF(81:81,C20,82:82)+100</f>
        <v>100</v>
      </c>
      <c r="I19" s="396" t="s">
        <v>3488</v>
      </c>
      <c r="J19" s="389">
        <f>SUMIF(81:81,I20,82:82)-SUMIF(81:81,C20,82:82)+100</f>
        <v>100</v>
      </c>
      <c r="K19" s="540">
        <v>3</v>
      </c>
      <c r="L19" s="2486"/>
      <c r="M19" s="2481"/>
      <c r="N19" s="2481"/>
      <c r="O19" s="2481"/>
      <c r="P19" s="3377"/>
      <c r="Q19" s="1260" t="str">
        <f>B19</f>
        <v>公共配套设施</v>
      </c>
      <c r="R19" s="667" t="s">
        <v>14</v>
      </c>
      <c r="S19" s="668">
        <f>F19</f>
        <v>100</v>
      </c>
      <c r="T19" s="667" t="s">
        <v>14</v>
      </c>
      <c r="U19" s="668">
        <f>H19</f>
        <v>100</v>
      </c>
      <c r="V19" s="667" t="s">
        <v>14</v>
      </c>
      <c r="W19" s="668">
        <f>J19</f>
        <v>100</v>
      </c>
      <c r="X19" s="1262"/>
      <c r="Y19" s="3379"/>
      <c r="Z19" s="1261" t="str">
        <f>Q19</f>
        <v>公共配套设施</v>
      </c>
      <c r="AA19" s="1261">
        <f t="shared" si="3"/>
        <v>1</v>
      </c>
      <c r="AB19" s="1261">
        <f t="shared" si="4"/>
        <v>1</v>
      </c>
      <c r="AC19" s="1809">
        <f t="shared" si="5"/>
        <v>1</v>
      </c>
    </row>
    <row r="20" spans="1:29" ht="15">
      <c r="A20" s="367"/>
      <c r="B20" s="401"/>
      <c r="C20" s="1755" t="s">
        <v>3445</v>
      </c>
      <c r="D20" s="387"/>
      <c r="E20" s="1748" t="s">
        <v>3445</v>
      </c>
      <c r="F20" s="387"/>
      <c r="G20" s="1749" t="s">
        <v>3445</v>
      </c>
      <c r="H20" s="387"/>
      <c r="I20" s="1749" t="s">
        <v>3445</v>
      </c>
      <c r="J20" s="387"/>
      <c r="K20" s="541"/>
      <c r="L20" s="2486"/>
      <c r="M20" s="2481"/>
      <c r="N20" s="2481"/>
      <c r="O20" s="2481"/>
      <c r="P20" s="3377"/>
      <c r="Q20" s="1260"/>
      <c r="R20" s="667"/>
      <c r="S20" s="668"/>
      <c r="T20" s="667"/>
      <c r="U20" s="668"/>
      <c r="V20" s="667"/>
      <c r="W20" s="668"/>
      <c r="X20" s="1262"/>
      <c r="Y20" s="3379"/>
      <c r="Z20" s="1261"/>
      <c r="AA20" s="1261">
        <v>1</v>
      </c>
      <c r="AB20" s="1261">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6"/>
      <c r="M21" s="2481"/>
      <c r="N21" s="2481"/>
      <c r="O21" s="2481"/>
      <c r="P21" s="3377"/>
      <c r="Q21" s="1260" t="str">
        <f>B21</f>
        <v>基础设施水平</v>
      </c>
      <c r="R21" s="667" t="s">
        <v>14</v>
      </c>
      <c r="S21" s="668">
        <f>F21</f>
        <v>100</v>
      </c>
      <c r="T21" s="667" t="s">
        <v>14</v>
      </c>
      <c r="U21" s="668">
        <f>H21</f>
        <v>100</v>
      </c>
      <c r="V21" s="667" t="s">
        <v>14</v>
      </c>
      <c r="W21" s="668">
        <f>J21</f>
        <v>100</v>
      </c>
      <c r="X21" s="1262"/>
      <c r="Y21" s="3379"/>
      <c r="Z21" s="1261" t="str">
        <f>Q21</f>
        <v>基础设施水平</v>
      </c>
      <c r="AA21" s="1261">
        <f t="shared" ref="AA21" si="8">D21/F21</f>
        <v>1</v>
      </c>
      <c r="AB21" s="1261">
        <f t="shared" ref="AB21" si="9">D21/H21</f>
        <v>1</v>
      </c>
      <c r="AC21" s="1809">
        <f t="shared" ref="AC21" si="10">D21/J21</f>
        <v>1</v>
      </c>
    </row>
    <row r="22" spans="1:29" ht="15">
      <c r="A22" s="367"/>
      <c r="B22" s="557"/>
      <c r="C22" s="1811" t="s">
        <v>3444</v>
      </c>
      <c r="D22" s="387"/>
      <c r="E22" s="386" t="s">
        <v>3444</v>
      </c>
      <c r="F22" s="387"/>
      <c r="G22" s="1755" t="s">
        <v>3444</v>
      </c>
      <c r="H22" s="387"/>
      <c r="I22" s="1755" t="s">
        <v>3444</v>
      </c>
      <c r="J22" s="387"/>
      <c r="K22" s="1061"/>
      <c r="L22" s="2486"/>
      <c r="M22" s="2481"/>
      <c r="N22" s="2481"/>
      <c r="O22" s="2481"/>
      <c r="P22" s="3377"/>
      <c r="Q22" s="1260"/>
      <c r="R22" s="667"/>
      <c r="S22" s="668"/>
      <c r="T22" s="667"/>
      <c r="U22" s="668"/>
      <c r="V22" s="667"/>
      <c r="W22" s="668"/>
      <c r="X22" s="1262"/>
      <c r="Y22" s="3379"/>
      <c r="Z22" s="1261"/>
      <c r="AA22" s="1261">
        <v>1</v>
      </c>
      <c r="AB22" s="1261">
        <v>1</v>
      </c>
      <c r="AC22" s="1809">
        <v>1</v>
      </c>
    </row>
    <row r="23" spans="1:29" ht="179.4">
      <c r="A23" s="367"/>
      <c r="B23" s="556" t="s">
        <v>1814</v>
      </c>
      <c r="C23" s="1810" t="str">
        <f>估价对象房地状况!C9</f>
        <v>周边约1公里范围内有庆丰公园，CBD历史文化公园，中国海关博物馆等，南侧有通惠河经过，环境状况较好</v>
      </c>
      <c r="D23" s="389">
        <v>100</v>
      </c>
      <c r="E23" s="3174" t="s">
        <v>3495</v>
      </c>
      <c r="F23" s="389">
        <f>SUMIF(85:85,E24,86:86)-SUMIF(85:85,C24,86:86)+100</f>
        <v>100</v>
      </c>
      <c r="G23" s="391" t="s">
        <v>3483</v>
      </c>
      <c r="H23" s="389">
        <f>SUMIF(85:85,G24,86:86)-SUMIF(85:85,C24,86:86)+100</f>
        <v>100</v>
      </c>
      <c r="I23" s="391" t="s">
        <v>3489</v>
      </c>
      <c r="J23" s="389">
        <f>SUMIF(85:85,I24,86:86)-SUMIF(85:85,C24,86:86)+100</f>
        <v>100</v>
      </c>
      <c r="K23" s="540">
        <v>3</v>
      </c>
      <c r="L23" s="2486"/>
      <c r="M23" s="2481"/>
      <c r="N23" s="2481"/>
      <c r="O23" s="2481"/>
      <c r="P23" s="3377"/>
      <c r="Q23" s="1260" t="str">
        <f>B23</f>
        <v>环境质量</v>
      </c>
      <c r="R23" s="667" t="s">
        <v>14</v>
      </c>
      <c r="S23" s="668">
        <f>F23</f>
        <v>100</v>
      </c>
      <c r="T23" s="667" t="s">
        <v>14</v>
      </c>
      <c r="U23" s="668">
        <f>H23</f>
        <v>100</v>
      </c>
      <c r="V23" s="667" t="s">
        <v>14</v>
      </c>
      <c r="W23" s="668">
        <f>J23</f>
        <v>100</v>
      </c>
      <c r="X23" s="1262"/>
      <c r="Y23" s="3379"/>
      <c r="Z23" s="1261" t="str">
        <f>Q23</f>
        <v>环境质量</v>
      </c>
      <c r="AA23" s="1261">
        <f t="shared" si="3"/>
        <v>1</v>
      </c>
      <c r="AB23" s="1261">
        <f t="shared" si="4"/>
        <v>1</v>
      </c>
      <c r="AC23" s="1809">
        <f t="shared" si="5"/>
        <v>1</v>
      </c>
    </row>
    <row r="24" spans="1:29" ht="15">
      <c r="A24" s="367"/>
      <c r="B24" s="557"/>
      <c r="C24" s="1755" t="s">
        <v>3445</v>
      </c>
      <c r="D24" s="387"/>
      <c r="E24" s="1748" t="s">
        <v>3445</v>
      </c>
      <c r="F24" s="387"/>
      <c r="G24" s="1748" t="s">
        <v>3445</v>
      </c>
      <c r="H24" s="387"/>
      <c r="I24" s="1748" t="s">
        <v>3445</v>
      </c>
      <c r="J24" s="387"/>
      <c r="K24" s="541"/>
      <c r="L24" s="2486"/>
      <c r="M24" s="2481"/>
      <c r="N24" s="2481"/>
      <c r="O24" s="2481"/>
      <c r="P24" s="3377"/>
      <c r="Q24" s="1260"/>
      <c r="R24" s="667"/>
      <c r="S24" s="668"/>
      <c r="T24" s="667"/>
      <c r="U24" s="668"/>
      <c r="V24" s="667"/>
      <c r="W24" s="668"/>
      <c r="X24" s="1262"/>
      <c r="Y24" s="3379"/>
      <c r="Z24" s="1261"/>
      <c r="AA24" s="1261">
        <v>1</v>
      </c>
      <c r="AB24" s="1261">
        <v>1</v>
      </c>
      <c r="AC24" s="1809">
        <v>1</v>
      </c>
    </row>
    <row r="25" spans="1:29" ht="28.8">
      <c r="A25" s="348"/>
      <c r="B25" s="556" t="s">
        <v>1815</v>
      </c>
      <c r="C25" s="3178" t="s">
        <v>3503</v>
      </c>
      <c r="D25" s="374">
        <v>100</v>
      </c>
      <c r="E25" s="373" t="s">
        <v>3474</v>
      </c>
      <c r="F25" s="374">
        <f>SUMIF(87:87,E26,88:88)-SUMIF(87:87,C26,88:88)+100</f>
        <v>104</v>
      </c>
      <c r="G25" s="1759" t="s">
        <v>3484</v>
      </c>
      <c r="H25" s="374">
        <f>SUMIF(87:87,G26,88:88)-SUMIF(87:87,C26,88:88)+100</f>
        <v>102</v>
      </c>
      <c r="I25" s="373" t="s">
        <v>3490</v>
      </c>
      <c r="J25" s="374">
        <f>SUMIF(87:87,I26,88:88)-SUMIF(87:87,C26,88:88)+100</f>
        <v>106</v>
      </c>
      <c r="K25" s="540">
        <v>2</v>
      </c>
      <c r="L25" s="2486"/>
      <c r="M25" s="2481"/>
      <c r="N25" s="2481"/>
      <c r="O25" s="2481"/>
      <c r="P25" s="3377"/>
      <c r="Q25" s="1260" t="str">
        <f>B25</f>
        <v>毗邻道路的类型与等级</v>
      </c>
      <c r="R25" s="667" t="s">
        <v>14</v>
      </c>
      <c r="S25" s="668">
        <f>F25</f>
        <v>104</v>
      </c>
      <c r="T25" s="667" t="s">
        <v>14</v>
      </c>
      <c r="U25" s="668">
        <f>H25</f>
        <v>102</v>
      </c>
      <c r="V25" s="667" t="s">
        <v>14</v>
      </c>
      <c r="W25" s="668">
        <f>J25</f>
        <v>106</v>
      </c>
      <c r="X25" s="1262"/>
      <c r="Y25" s="3379"/>
      <c r="Z25" s="1261" t="str">
        <f>Q25</f>
        <v>毗邻道路的类型与等级</v>
      </c>
      <c r="AA25" s="1261">
        <f t="shared" si="3"/>
        <v>0.96153846153846156</v>
      </c>
      <c r="AB25" s="1261">
        <f t="shared" si="4"/>
        <v>0.98039215686274506</v>
      </c>
      <c r="AC25" s="1809">
        <f t="shared" si="5"/>
        <v>0.94339622641509435</v>
      </c>
    </row>
    <row r="26" spans="1:29" ht="15">
      <c r="A26" s="348"/>
      <c r="B26" s="401"/>
      <c r="C26" s="558" t="s">
        <v>3498</v>
      </c>
      <c r="D26" s="374"/>
      <c r="E26" s="542" t="s">
        <v>3475</v>
      </c>
      <c r="F26" s="374"/>
      <c r="G26" s="558" t="s">
        <v>3485</v>
      </c>
      <c r="H26" s="374"/>
      <c r="I26" s="542" t="s">
        <v>3491</v>
      </c>
      <c r="J26" s="374"/>
      <c r="K26" s="541"/>
      <c r="L26" s="2486"/>
      <c r="M26" s="2481"/>
      <c r="N26" s="2481"/>
      <c r="O26" s="2481"/>
      <c r="P26" s="3377"/>
      <c r="Q26" s="1260"/>
      <c r="R26" s="667"/>
      <c r="S26" s="668"/>
      <c r="T26" s="667"/>
      <c r="U26" s="668"/>
      <c r="V26" s="667"/>
      <c r="W26" s="668"/>
      <c r="X26" s="1262"/>
      <c r="Y26" s="3379"/>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6"/>
      <c r="M27" s="2481"/>
      <c r="N27" s="2481"/>
      <c r="O27" s="2481"/>
      <c r="P27" s="3377"/>
      <c r="Q27" s="1260" t="str">
        <f t="shared" ref="Q27:Q47" si="11">B27</f>
        <v>楼层</v>
      </c>
      <c r="R27" s="667" t="s">
        <v>14</v>
      </c>
      <c r="S27" s="668">
        <f>F27</f>
        <v>100</v>
      </c>
      <c r="T27" s="667" t="s">
        <v>14</v>
      </c>
      <c r="U27" s="668">
        <f>H27</f>
        <v>100</v>
      </c>
      <c r="V27" s="667" t="s">
        <v>14</v>
      </c>
      <c r="W27" s="668">
        <f>J27</f>
        <v>100</v>
      </c>
      <c r="X27" s="1262"/>
      <c r="Y27" s="3379"/>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2"/>
      <c r="M28" s="2435"/>
      <c r="N28" s="2435"/>
      <c r="O28" s="2435"/>
      <c r="P28" s="3377"/>
      <c r="Q28" s="530" t="str">
        <f t="shared" si="11"/>
        <v>朝向</v>
      </c>
      <c r="R28" s="664" t="s">
        <v>14</v>
      </c>
      <c r="S28" s="665">
        <f>F28</f>
        <v>100</v>
      </c>
      <c r="T28" s="664" t="s">
        <v>14</v>
      </c>
      <c r="U28" s="665">
        <f>H28</f>
        <v>100</v>
      </c>
      <c r="V28" s="664" t="s">
        <v>14</v>
      </c>
      <c r="W28" s="665">
        <f>J28</f>
        <v>100</v>
      </c>
      <c r="X28" s="666"/>
      <c r="Y28" s="3379"/>
      <c r="Z28" s="50" t="str">
        <f>Q28</f>
        <v>朝向</v>
      </c>
      <c r="AA28" s="1261">
        <f>D28/F28</f>
        <v>1</v>
      </c>
      <c r="AB28" s="1261">
        <f>D28/H28</f>
        <v>1</v>
      </c>
      <c r="AC28" s="1809">
        <f>D28/J28</f>
        <v>1</v>
      </c>
    </row>
    <row r="29" spans="1:29" ht="15">
      <c r="A29" s="367"/>
      <c r="B29" s="1096">
        <v>111</v>
      </c>
      <c r="C29" s="1759">
        <f>'数据-取费表'!N18</f>
        <v>2024</v>
      </c>
      <c r="D29" s="374">
        <v>100</v>
      </c>
      <c r="E29" s="371"/>
      <c r="F29" s="374">
        <f>SUMIF(93:93,E29,94:94)-SUMIF(93:93,C29,94:94)+100</f>
        <v>100</v>
      </c>
      <c r="G29" s="1807"/>
      <c r="H29" s="374">
        <f>SUMIF(93:93,G29,94:94)-SUMIF(93:93,C29,94:94)+100</f>
        <v>100</v>
      </c>
      <c r="I29" s="371"/>
      <c r="J29" s="374">
        <f>SUMIF(93:93,I29,94:94)-SUMIF(93:93,C29,94:94)+100</f>
        <v>100</v>
      </c>
      <c r="K29" s="539"/>
      <c r="L29" s="2486"/>
      <c r="M29" s="2481"/>
      <c r="N29" s="2481"/>
      <c r="O29" s="2481"/>
      <c r="P29" s="3377"/>
      <c r="Q29" s="1260">
        <f t="shared" si="11"/>
        <v>111</v>
      </c>
      <c r="R29" s="667" t="s">
        <v>14</v>
      </c>
      <c r="S29" s="668">
        <f t="shared" ref="S29:S47" si="12">F29</f>
        <v>100</v>
      </c>
      <c r="T29" s="667" t="s">
        <v>14</v>
      </c>
      <c r="U29" s="668">
        <f t="shared" ref="U29:U47" si="13">H29</f>
        <v>100</v>
      </c>
      <c r="V29" s="667" t="s">
        <v>14</v>
      </c>
      <c r="W29" s="668">
        <f t="shared" ref="W29:W47" si="14">J29</f>
        <v>100</v>
      </c>
      <c r="X29" s="1262"/>
      <c r="Y29" s="3379"/>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6"/>
      <c r="M30" s="2481"/>
      <c r="N30" s="2481"/>
      <c r="O30" s="2481"/>
      <c r="P30" s="3377"/>
      <c r="Q30" s="1260">
        <f t="shared" si="11"/>
        <v>111</v>
      </c>
      <c r="R30" s="667" t="s">
        <v>14</v>
      </c>
      <c r="S30" s="668">
        <f t="shared" si="12"/>
        <v>100</v>
      </c>
      <c r="T30" s="667" t="s">
        <v>14</v>
      </c>
      <c r="U30" s="668">
        <f t="shared" si="13"/>
        <v>100</v>
      </c>
      <c r="V30" s="667" t="s">
        <v>14</v>
      </c>
      <c r="W30" s="668">
        <f t="shared" si="14"/>
        <v>100</v>
      </c>
      <c r="X30" s="1262"/>
      <c r="Y30" s="3379"/>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6"/>
      <c r="M31" s="2481"/>
      <c r="N31" s="2481"/>
      <c r="O31" s="2481"/>
      <c r="P31" s="3377"/>
      <c r="Q31" s="1260">
        <f t="shared" si="11"/>
        <v>111</v>
      </c>
      <c r="R31" s="667" t="s">
        <v>14</v>
      </c>
      <c r="S31" s="668">
        <f t="shared" si="12"/>
        <v>100</v>
      </c>
      <c r="T31" s="667" t="s">
        <v>14</v>
      </c>
      <c r="U31" s="668">
        <f t="shared" si="13"/>
        <v>100</v>
      </c>
      <c r="V31" s="667" t="s">
        <v>14</v>
      </c>
      <c r="W31" s="668">
        <f t="shared" si="14"/>
        <v>100</v>
      </c>
      <c r="X31" s="1262"/>
      <c r="Y31" s="3379"/>
      <c r="Z31" s="1261">
        <f t="shared" si="15"/>
        <v>111</v>
      </c>
      <c r="AA31" s="1261">
        <f t="shared" si="3"/>
        <v>1</v>
      </c>
      <c r="AB31" s="1261">
        <f t="shared" si="4"/>
        <v>1</v>
      </c>
      <c r="AC31" s="1809">
        <f t="shared" si="5"/>
        <v>1</v>
      </c>
    </row>
    <row r="32" spans="1:29" ht="15.6"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6"/>
      <c r="M32" s="2481"/>
      <c r="N32" s="2481"/>
      <c r="O32" s="2481"/>
      <c r="P32" s="3377"/>
      <c r="Q32" s="1260">
        <f t="shared" si="11"/>
        <v>111</v>
      </c>
      <c r="R32" s="667" t="s">
        <v>14</v>
      </c>
      <c r="S32" s="668">
        <f t="shared" si="12"/>
        <v>100</v>
      </c>
      <c r="T32" s="667" t="s">
        <v>14</v>
      </c>
      <c r="U32" s="668">
        <f t="shared" si="13"/>
        <v>100</v>
      </c>
      <c r="V32" s="667" t="s">
        <v>14</v>
      </c>
      <c r="W32" s="668">
        <f t="shared" si="14"/>
        <v>100</v>
      </c>
      <c r="X32" s="1262"/>
      <c r="Y32" s="3379"/>
      <c r="Z32" s="1261">
        <f t="shared" si="15"/>
        <v>111</v>
      </c>
      <c r="AA32" s="1261">
        <f t="shared" si="3"/>
        <v>1</v>
      </c>
      <c r="AB32" s="1261">
        <f t="shared" si="4"/>
        <v>1</v>
      </c>
      <c r="AC32" s="1809">
        <f t="shared" si="5"/>
        <v>1</v>
      </c>
    </row>
    <row r="33" spans="1:29" ht="15">
      <c r="A33" s="379" t="s">
        <v>1694</v>
      </c>
      <c r="B33" s="60" t="s">
        <v>1817</v>
      </c>
      <c r="C33" s="1761" t="s">
        <v>3476</v>
      </c>
      <c r="D33" s="405">
        <v>100</v>
      </c>
      <c r="E33" s="1761" t="s">
        <v>3476</v>
      </c>
      <c r="F33" s="400">
        <f>SUMIF(101:101,E33,102:102)-SUMIF(101:101,C33,102:102)+100</f>
        <v>100</v>
      </c>
      <c r="G33" s="1761" t="s">
        <v>3476</v>
      </c>
      <c r="H33" s="374">
        <f>SUMIF(101:101,G33,102:102)-SUMIF(101:101,C33,102:102)+100</f>
        <v>100</v>
      </c>
      <c r="I33" s="1761" t="s">
        <v>3476</v>
      </c>
      <c r="J33" s="405">
        <f>SUMIF(101:101,I33,102:102)-SUMIF(101:101,C33,102:102)+100</f>
        <v>100</v>
      </c>
      <c r="K33" s="538">
        <v>3</v>
      </c>
      <c r="L33" s="2486"/>
      <c r="M33" s="2481"/>
      <c r="N33" s="2481"/>
      <c r="O33" s="2481"/>
      <c r="P33" s="3380" t="s">
        <v>1696</v>
      </c>
      <c r="Q33" s="1260" t="str">
        <f t="shared" si="11"/>
        <v>建筑类型</v>
      </c>
      <c r="R33" s="667" t="s">
        <v>14</v>
      </c>
      <c r="S33" s="668">
        <f t="shared" si="12"/>
        <v>100</v>
      </c>
      <c r="T33" s="667" t="s">
        <v>14</v>
      </c>
      <c r="U33" s="668">
        <f t="shared" si="13"/>
        <v>100</v>
      </c>
      <c r="V33" s="667" t="s">
        <v>14</v>
      </c>
      <c r="W33" s="668">
        <f t="shared" si="14"/>
        <v>100</v>
      </c>
      <c r="X33" s="1262"/>
      <c r="Y33" s="3383" t="s">
        <v>1696</v>
      </c>
      <c r="Z33" s="1261" t="str">
        <f t="shared" si="15"/>
        <v>建筑类型</v>
      </c>
      <c r="AA33" s="1261">
        <f t="shared" si="3"/>
        <v>1</v>
      </c>
      <c r="AB33" s="1261">
        <f t="shared" si="4"/>
        <v>1</v>
      </c>
      <c r="AC33" s="1809">
        <f t="shared" si="5"/>
        <v>1</v>
      </c>
    </row>
    <row r="34" spans="1:29" s="408" customFormat="1" ht="15">
      <c r="A34" s="406"/>
      <c r="B34" s="364" t="s">
        <v>1697</v>
      </c>
      <c r="C34" s="369">
        <f>'数据-汇总表'!F31</f>
        <v>47705.27</v>
      </c>
      <c r="D34" s="119">
        <v>100</v>
      </c>
      <c r="E34" s="369">
        <v>32725.310000000005</v>
      </c>
      <c r="F34" s="364">
        <f>LOOKUP(E34,104:104,105:105)-LOOKUP(C34,104:104,105:105)+100</f>
        <v>100</v>
      </c>
      <c r="G34" s="368">
        <v>55387.139999999978</v>
      </c>
      <c r="H34" s="119">
        <f>LOOKUP(G34,104:104,105:105)-LOOKUP(C34,104:104,105:105)+100</f>
        <v>100</v>
      </c>
      <c r="I34" s="368">
        <v>31901.890000000003</v>
      </c>
      <c r="J34" s="119">
        <f>LOOKUP(I34,104:104,105:105)-LOOKUP(C34,104:104,105:105)+100</f>
        <v>100</v>
      </c>
      <c r="K34" s="539"/>
      <c r="L34" s="2485"/>
      <c r="M34" s="2487"/>
      <c r="N34" s="2487"/>
      <c r="O34" s="2487"/>
      <c r="P34" s="3381"/>
      <c r="Q34" s="531" t="str">
        <f t="shared" si="11"/>
        <v>项目建筑规模</v>
      </c>
      <c r="R34" s="669" t="s">
        <v>14</v>
      </c>
      <c r="S34" s="670">
        <f t="shared" si="12"/>
        <v>100</v>
      </c>
      <c r="T34" s="669" t="s">
        <v>14</v>
      </c>
      <c r="U34" s="670">
        <f t="shared" si="13"/>
        <v>100</v>
      </c>
      <c r="V34" s="669" t="s">
        <v>14</v>
      </c>
      <c r="W34" s="670">
        <f t="shared" si="14"/>
        <v>100</v>
      </c>
      <c r="X34" s="671"/>
      <c r="Y34" s="3383"/>
      <c r="Z34" s="672" t="str">
        <f t="shared" si="15"/>
        <v>项目建筑规模</v>
      </c>
      <c r="AA34" s="1261">
        <f t="shared" si="3"/>
        <v>1</v>
      </c>
      <c r="AB34" s="1261">
        <f t="shared" si="4"/>
        <v>1</v>
      </c>
      <c r="AC34" s="1809">
        <f t="shared" si="5"/>
        <v>1</v>
      </c>
    </row>
    <row r="35" spans="1:29" ht="15">
      <c r="A35" s="409"/>
      <c r="B35" s="364" t="s">
        <v>1698</v>
      </c>
      <c r="C35" s="399" t="s">
        <v>3437</v>
      </c>
      <c r="D35" s="374">
        <v>100</v>
      </c>
      <c r="E35" s="399" t="s">
        <v>3437</v>
      </c>
      <c r="F35" s="400">
        <f>SUMIF(106:106,E35,107:107)-SUMIF(106:106,C35,107:107)+100</f>
        <v>100</v>
      </c>
      <c r="G35" s="399" t="s">
        <v>3437</v>
      </c>
      <c r="H35" s="374">
        <f>SUMIF(106:106,G35,107:107)-SUMIF(106:106,C35,107:107)+100</f>
        <v>100</v>
      </c>
      <c r="I35" s="399" t="s">
        <v>3437</v>
      </c>
      <c r="J35" s="374">
        <f>SUMIF(106:106,I35,107:107)-SUMIF(106:106,C35,107:107)+100</f>
        <v>100</v>
      </c>
      <c r="K35" s="538">
        <v>2</v>
      </c>
      <c r="L35" s="2486"/>
      <c r="M35" s="2481"/>
      <c r="N35" s="2481"/>
      <c r="O35" s="2481"/>
      <c r="P35" s="3381"/>
      <c r="Q35" s="1260" t="str">
        <f t="shared" si="11"/>
        <v>建筑结构</v>
      </c>
      <c r="R35" s="667" t="s">
        <v>14</v>
      </c>
      <c r="S35" s="668">
        <f t="shared" si="12"/>
        <v>100</v>
      </c>
      <c r="T35" s="667" t="s">
        <v>14</v>
      </c>
      <c r="U35" s="668">
        <f t="shared" si="13"/>
        <v>100</v>
      </c>
      <c r="V35" s="667" t="s">
        <v>14</v>
      </c>
      <c r="W35" s="668">
        <f t="shared" si="14"/>
        <v>100</v>
      </c>
      <c r="X35" s="1262"/>
      <c r="Y35" s="3383"/>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6"/>
      <c r="M36" s="2481"/>
      <c r="N36" s="2481"/>
      <c r="O36" s="2481"/>
      <c r="P36" s="3381"/>
      <c r="Q36" s="1260" t="str">
        <f t="shared" si="11"/>
        <v>公共部分装修</v>
      </c>
      <c r="R36" s="667" t="s">
        <v>14</v>
      </c>
      <c r="S36" s="668">
        <f t="shared" si="12"/>
        <v>100</v>
      </c>
      <c r="T36" s="667" t="s">
        <v>14</v>
      </c>
      <c r="U36" s="668">
        <f t="shared" si="13"/>
        <v>100</v>
      </c>
      <c r="V36" s="667" t="s">
        <v>14</v>
      </c>
      <c r="W36" s="668">
        <f t="shared" si="14"/>
        <v>100</v>
      </c>
      <c r="X36" s="1262"/>
      <c r="Y36" s="3383"/>
      <c r="Z36" s="1261" t="str">
        <f t="shared" si="15"/>
        <v>公共部分装修</v>
      </c>
      <c r="AA36" s="1261">
        <f t="shared" si="3"/>
        <v>1</v>
      </c>
      <c r="AB36" s="1261">
        <f t="shared" si="4"/>
        <v>1</v>
      </c>
      <c r="AC36" s="1809">
        <f t="shared" si="5"/>
        <v>1</v>
      </c>
    </row>
    <row r="37" spans="1:29" ht="15">
      <c r="A37" s="409"/>
      <c r="B37" s="364" t="s">
        <v>1786</v>
      </c>
      <c r="C37" s="411">
        <f>'数据-取费表'!N6</f>
        <v>0.95</v>
      </c>
      <c r="D37" s="374">
        <v>100</v>
      </c>
      <c r="E37" s="411">
        <v>1</v>
      </c>
      <c r="F37" s="400">
        <f>LOOKUP(E37,111:111,112:112)-LOOKUP(C37,111:111,112:112)+100</f>
        <v>100</v>
      </c>
      <c r="G37" s="411">
        <v>0.98</v>
      </c>
      <c r="H37" s="400">
        <f>LOOKUP(G37,111:111,112:112)-LOOKUP(C37,111:111,112:112)+100</f>
        <v>100</v>
      </c>
      <c r="I37" s="411">
        <v>0.8</v>
      </c>
      <c r="J37" s="374">
        <f>LOOKUP(I37,111:111,112:112)-LOOKUP(C37,111:111,112:112)+100</f>
        <v>99</v>
      </c>
      <c r="K37" s="538">
        <v>1</v>
      </c>
      <c r="L37" s="2486"/>
      <c r="M37" s="2481"/>
      <c r="N37" s="2481"/>
      <c r="O37" s="2481"/>
      <c r="P37" s="3381"/>
      <c r="Q37" s="1260" t="str">
        <f t="shared" si="11"/>
        <v>成新度</v>
      </c>
      <c r="R37" s="667" t="s">
        <v>14</v>
      </c>
      <c r="S37" s="668">
        <f t="shared" si="12"/>
        <v>100</v>
      </c>
      <c r="T37" s="667" t="s">
        <v>14</v>
      </c>
      <c r="U37" s="668">
        <f t="shared" si="13"/>
        <v>100</v>
      </c>
      <c r="V37" s="667" t="s">
        <v>14</v>
      </c>
      <c r="W37" s="668">
        <f t="shared" si="14"/>
        <v>99</v>
      </c>
      <c r="X37" s="1262"/>
      <c r="Y37" s="3383"/>
      <c r="Z37" s="1261" t="str">
        <f t="shared" si="15"/>
        <v>成新度</v>
      </c>
      <c r="AA37" s="1261">
        <f t="shared" si="3"/>
        <v>1</v>
      </c>
      <c r="AB37" s="1261">
        <f t="shared" si="4"/>
        <v>1</v>
      </c>
      <c r="AC37" s="1809">
        <f t="shared" si="5"/>
        <v>1.0101010101010102</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5"/>
      <c r="N38" s="2435"/>
      <c r="O38" s="2435"/>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799">
        <f t="shared" si="5"/>
        <v>1</v>
      </c>
    </row>
    <row r="39" spans="1:29" ht="1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86"/>
      <c r="M39" s="2481"/>
      <c r="N39" s="2481"/>
      <c r="O39" s="2481"/>
      <c r="P39" s="3381" t="s">
        <v>1696</v>
      </c>
      <c r="Q39" s="1260" t="str">
        <f t="shared" si="11"/>
        <v>物业管理</v>
      </c>
      <c r="R39" s="667" t="s">
        <v>14</v>
      </c>
      <c r="S39" s="668">
        <f t="shared" si="12"/>
        <v>100</v>
      </c>
      <c r="T39" s="667" t="s">
        <v>14</v>
      </c>
      <c r="U39" s="668">
        <f t="shared" si="13"/>
        <v>100</v>
      </c>
      <c r="V39" s="667" t="s">
        <v>14</v>
      </c>
      <c r="W39" s="668">
        <f t="shared" si="14"/>
        <v>100</v>
      </c>
      <c r="X39" s="1262"/>
      <c r="Y39" s="3383" t="s">
        <v>1696</v>
      </c>
      <c r="Z39" s="1261" t="str">
        <f t="shared" si="15"/>
        <v>物业管理</v>
      </c>
      <c r="AA39" s="1261">
        <f t="shared" si="3"/>
        <v>1</v>
      </c>
      <c r="AB39" s="1261">
        <f t="shared" si="4"/>
        <v>1</v>
      </c>
      <c r="AC39" s="1809">
        <f t="shared" si="5"/>
        <v>1</v>
      </c>
    </row>
    <row r="40" spans="1:29" ht="15">
      <c r="A40" s="409"/>
      <c r="B40" s="364" t="s">
        <v>1787</v>
      </c>
      <c r="C40" s="399" t="s">
        <v>3501</v>
      </c>
      <c r="D40" s="374">
        <v>100</v>
      </c>
      <c r="E40" s="399" t="s">
        <v>3444</v>
      </c>
      <c r="F40" s="400">
        <f>SUMIF(117:117,E40,118:118)-SUMIF(117:117,C40,118:118)+100</f>
        <v>100</v>
      </c>
      <c r="G40" s="399" t="s">
        <v>3444</v>
      </c>
      <c r="H40" s="374">
        <f>SUMIF(117:117,G40,118:118)-SUMIF(117:117,C40,118:118)+100</f>
        <v>100</v>
      </c>
      <c r="I40" s="399" t="s">
        <v>3444</v>
      </c>
      <c r="J40" s="374">
        <f>SUMIF(117:117,I40,118:118)-SUMIF(117:117,C40,118:118)+100</f>
        <v>100</v>
      </c>
      <c r="K40" s="538"/>
      <c r="L40" s="2486"/>
      <c r="M40" s="2481"/>
      <c r="N40" s="2481"/>
      <c r="O40" s="2481"/>
      <c r="P40" s="3381"/>
      <c r="Q40" s="1260" t="str">
        <f t="shared" si="11"/>
        <v>市政基础设施</v>
      </c>
      <c r="R40" s="667" t="s">
        <v>14</v>
      </c>
      <c r="S40" s="668">
        <f t="shared" si="12"/>
        <v>100</v>
      </c>
      <c r="T40" s="667" t="s">
        <v>14</v>
      </c>
      <c r="U40" s="668">
        <f t="shared" si="13"/>
        <v>100</v>
      </c>
      <c r="V40" s="667" t="s">
        <v>14</v>
      </c>
      <c r="W40" s="668">
        <f t="shared" si="14"/>
        <v>100</v>
      </c>
      <c r="X40" s="1262"/>
      <c r="Y40" s="3383"/>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6"/>
      <c r="M41" s="2481"/>
      <c r="N41" s="2481"/>
      <c r="O41" s="2481"/>
      <c r="P41" s="3381"/>
      <c r="Q41" s="1260" t="str">
        <f t="shared" si="11"/>
        <v>层高</v>
      </c>
      <c r="R41" s="667" t="s">
        <v>14</v>
      </c>
      <c r="S41" s="668">
        <f t="shared" si="12"/>
        <v>100</v>
      </c>
      <c r="T41" s="667" t="s">
        <v>14</v>
      </c>
      <c r="U41" s="668">
        <f t="shared" si="13"/>
        <v>100</v>
      </c>
      <c r="V41" s="667" t="s">
        <v>14</v>
      </c>
      <c r="W41" s="668">
        <f t="shared" si="14"/>
        <v>100</v>
      </c>
      <c r="X41" s="1262"/>
      <c r="Y41" s="3383"/>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1">
        <f t="shared" si="3"/>
        <v>1</v>
      </c>
      <c r="AB42" s="1261">
        <f t="shared" si="4"/>
        <v>1</v>
      </c>
      <c r="AC42" s="1809">
        <f t="shared" si="5"/>
        <v>1</v>
      </c>
    </row>
    <row r="43" spans="1:29" ht="15">
      <c r="A43" s="409"/>
      <c r="B43" s="364" t="s">
        <v>1792</v>
      </c>
      <c r="C43" s="399" t="s">
        <v>3448</v>
      </c>
      <c r="D43" s="374">
        <v>100</v>
      </c>
      <c r="E43" s="399" t="s">
        <v>3478</v>
      </c>
      <c r="F43" s="400">
        <f>SUMIF(123:123,E43,124:124)-SUMIF(123:123,C43,124:124)+100</f>
        <v>99</v>
      </c>
      <c r="G43" s="399" t="s">
        <v>3478</v>
      </c>
      <c r="H43" s="374">
        <f>SUMIF(123:123,G43,124:124)-SUMIF(123:123,C43,124:124)+100</f>
        <v>99</v>
      </c>
      <c r="I43" s="399" t="s">
        <v>3448</v>
      </c>
      <c r="J43" s="374">
        <f>SUMIF(123:123,I43,124:124)-SUMIF(123:123,C43,124:124)+100</f>
        <v>100</v>
      </c>
      <c r="K43" s="538">
        <v>0.5</v>
      </c>
      <c r="L43" s="2486"/>
      <c r="M43" s="2481"/>
      <c r="N43" s="2481"/>
      <c r="O43" s="2481"/>
      <c r="P43" s="3381"/>
      <c r="Q43" s="1260" t="str">
        <f t="shared" si="11"/>
        <v>内部装修</v>
      </c>
      <c r="R43" s="667" t="s">
        <v>14</v>
      </c>
      <c r="S43" s="668">
        <f t="shared" si="12"/>
        <v>99</v>
      </c>
      <c r="T43" s="667" t="s">
        <v>14</v>
      </c>
      <c r="U43" s="668">
        <f t="shared" si="13"/>
        <v>99</v>
      </c>
      <c r="V43" s="667" t="s">
        <v>14</v>
      </c>
      <c r="W43" s="668">
        <f t="shared" si="14"/>
        <v>100</v>
      </c>
      <c r="X43" s="1262"/>
      <c r="Y43" s="3383"/>
      <c r="Z43" s="1261" t="str">
        <f t="shared" si="15"/>
        <v>内部装修</v>
      </c>
      <c r="AA43" s="1261">
        <f t="shared" si="3"/>
        <v>1.0101010101010102</v>
      </c>
      <c r="AB43" s="1261">
        <f t="shared" si="4"/>
        <v>1.0101010101010102</v>
      </c>
      <c r="AC43" s="1809">
        <f t="shared" si="5"/>
        <v>1</v>
      </c>
    </row>
    <row r="44" spans="1:29" ht="29.4" thickBot="1">
      <c r="A44" s="409"/>
      <c r="B44" s="364" t="s">
        <v>1707</v>
      </c>
      <c r="C44" s="399" t="s">
        <v>3445</v>
      </c>
      <c r="D44" s="374">
        <v>100</v>
      </c>
      <c r="E44" s="1757" t="s">
        <v>3445</v>
      </c>
      <c r="F44" s="400">
        <f>SUMIF(125:125,E44,126:126)-SUMIF(125:125,C44,126:126)+100</f>
        <v>100</v>
      </c>
      <c r="G44" s="1757" t="s">
        <v>3445</v>
      </c>
      <c r="H44" s="374">
        <f>SUMIF(125:125,G44,126:126)-SUMIF(125:125,C44,126:126)+100</f>
        <v>100</v>
      </c>
      <c r="I44" s="1757" t="s">
        <v>3445</v>
      </c>
      <c r="J44" s="374">
        <f>SUMIF(125:125,I44,126:126)-SUMIF(125:125,C44,126:126)+100</f>
        <v>100</v>
      </c>
      <c r="K44" s="538">
        <v>2</v>
      </c>
      <c r="L44" s="2486"/>
      <c r="M44" s="2481"/>
      <c r="N44" s="2481"/>
      <c r="O44" s="2481"/>
      <c r="P44" s="3381"/>
      <c r="Q44" s="1260" t="str">
        <f t="shared" si="11"/>
        <v>内部装修维护情况</v>
      </c>
      <c r="R44" s="667" t="s">
        <v>14</v>
      </c>
      <c r="S44" s="668">
        <f t="shared" si="12"/>
        <v>100</v>
      </c>
      <c r="T44" s="667" t="s">
        <v>14</v>
      </c>
      <c r="U44" s="668">
        <f t="shared" si="13"/>
        <v>100</v>
      </c>
      <c r="V44" s="667" t="s">
        <v>14</v>
      </c>
      <c r="W44" s="668">
        <f t="shared" si="14"/>
        <v>100</v>
      </c>
      <c r="X44" s="1262"/>
      <c r="Y44" s="3383"/>
      <c r="Z44" s="1261" t="str">
        <f t="shared" si="15"/>
        <v>内部装修维护情况</v>
      </c>
      <c r="AA44" s="1261">
        <f t="shared" si="3"/>
        <v>1</v>
      </c>
      <c r="AB44" s="1261">
        <f t="shared" si="4"/>
        <v>1</v>
      </c>
      <c r="AC44" s="1809">
        <f t="shared" si="5"/>
        <v>1</v>
      </c>
    </row>
    <row r="45" spans="1:29" s="102" customFormat="1" ht="15.6" thickTop="1">
      <c r="A45" s="410"/>
      <c r="B45" s="3177" t="s">
        <v>3452</v>
      </c>
      <c r="C45" s="485"/>
      <c r="D45" s="119">
        <v>100</v>
      </c>
      <c r="E45" s="485"/>
      <c r="F45" s="364">
        <f>SUMIF(127:127,E45,128:128)-SUMIF(127:127,C45,128:128)+100</f>
        <v>100</v>
      </c>
      <c r="G45" s="485"/>
      <c r="H45" s="119">
        <f>SUMIF(127:127,G45,128:128)-SUMIF(127:127,C45,128:128)+100</f>
        <v>100</v>
      </c>
      <c r="I45" s="485"/>
      <c r="J45" s="119">
        <f>SUMIF(127:127,I45,128:128)-SUMIF(127:127,C45,128:128)+100</f>
        <v>100</v>
      </c>
      <c r="K45" s="539"/>
      <c r="L45" s="2482"/>
      <c r="M45" s="2435"/>
      <c r="N45" s="2435"/>
      <c r="O45" s="2435"/>
      <c r="P45" s="3381"/>
      <c r="Q45" s="530" t="str">
        <f t="shared" si="11"/>
        <v>地下面积占比</v>
      </c>
      <c r="R45" s="664" t="s">
        <v>14</v>
      </c>
      <c r="S45" s="665">
        <f t="shared" si="12"/>
        <v>100</v>
      </c>
      <c r="T45" s="664" t="s">
        <v>14</v>
      </c>
      <c r="U45" s="665">
        <f t="shared" si="13"/>
        <v>100</v>
      </c>
      <c r="V45" s="664" t="s">
        <v>14</v>
      </c>
      <c r="W45" s="665">
        <f t="shared" si="14"/>
        <v>100</v>
      </c>
      <c r="X45" s="666"/>
      <c r="Y45" s="3383"/>
      <c r="Z45" s="50" t="str">
        <f t="shared" si="15"/>
        <v>地下面积占比</v>
      </c>
      <c r="AA45" s="50">
        <f t="shared" si="3"/>
        <v>1</v>
      </c>
      <c r="AB45" s="50">
        <f t="shared" si="4"/>
        <v>1</v>
      </c>
      <c r="AC45" s="799">
        <f t="shared" si="5"/>
        <v>1</v>
      </c>
    </row>
    <row r="46" spans="1:29" ht="15">
      <c r="A46" s="409"/>
      <c r="B46" s="1063">
        <v>111</v>
      </c>
      <c r="C46" s="373"/>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6"/>
      <c r="M46" s="2481"/>
      <c r="N46" s="2481"/>
      <c r="O46" s="2481"/>
      <c r="P46" s="3381"/>
      <c r="Q46" s="1260">
        <f t="shared" si="11"/>
        <v>111</v>
      </c>
      <c r="R46" s="667" t="s">
        <v>14</v>
      </c>
      <c r="S46" s="668">
        <f t="shared" si="12"/>
        <v>100</v>
      </c>
      <c r="T46" s="667" t="s">
        <v>14</v>
      </c>
      <c r="U46" s="668">
        <f t="shared" si="13"/>
        <v>100</v>
      </c>
      <c r="V46" s="667" t="s">
        <v>14</v>
      </c>
      <c r="W46" s="668">
        <f t="shared" si="14"/>
        <v>100</v>
      </c>
      <c r="X46" s="1262"/>
      <c r="Y46" s="3383"/>
      <c r="Z46" s="1261">
        <f t="shared" si="15"/>
        <v>111</v>
      </c>
      <c r="AA46" s="1261">
        <f t="shared" si="3"/>
        <v>1</v>
      </c>
      <c r="AB46" s="1261">
        <f t="shared" si="4"/>
        <v>1</v>
      </c>
      <c r="AC46" s="1809">
        <f t="shared" si="5"/>
        <v>1</v>
      </c>
    </row>
    <row r="47" spans="1:29" ht="15.6" thickBot="1">
      <c r="A47" s="415"/>
      <c r="B47" s="1746">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6"/>
      <c r="M47" s="2481"/>
      <c r="N47" s="2481"/>
      <c r="O47" s="2481"/>
      <c r="P47" s="3382"/>
      <c r="Q47" s="1260">
        <f t="shared" si="11"/>
        <v>111</v>
      </c>
      <c r="R47" s="667" t="s">
        <v>14</v>
      </c>
      <c r="S47" s="668">
        <f t="shared" si="12"/>
        <v>100</v>
      </c>
      <c r="T47" s="667" t="s">
        <v>14</v>
      </c>
      <c r="U47" s="668">
        <f t="shared" si="13"/>
        <v>100</v>
      </c>
      <c r="V47" s="667" t="s">
        <v>14</v>
      </c>
      <c r="W47" s="668">
        <f t="shared" si="14"/>
        <v>100</v>
      </c>
      <c r="X47" s="1262"/>
      <c r="Y47" s="3384"/>
      <c r="Z47" s="1261">
        <f t="shared" si="15"/>
        <v>111</v>
      </c>
      <c r="AA47" s="1261">
        <f t="shared" si="3"/>
        <v>1</v>
      </c>
      <c r="AB47" s="1261">
        <f t="shared" si="4"/>
        <v>1</v>
      </c>
      <c r="AC47" s="1809">
        <f t="shared" si="5"/>
        <v>1</v>
      </c>
    </row>
    <row r="48" spans="1:29" ht="14.4">
      <c r="A48" s="416" t="s">
        <v>1708</v>
      </c>
      <c r="B48" s="417"/>
      <c r="C48" s="1078" t="s">
        <v>0</v>
      </c>
      <c r="D48" s="418"/>
      <c r="E48" s="419">
        <v>76900</v>
      </c>
      <c r="F48" s="420"/>
      <c r="G48" s="421">
        <v>82017</v>
      </c>
      <c r="H48" s="422"/>
      <c r="I48" s="419">
        <v>83000</v>
      </c>
      <c r="J48" s="422"/>
      <c r="K48" s="674"/>
      <c r="L48" s="2488"/>
      <c r="M48" s="2481"/>
      <c r="N48" s="2481"/>
      <c r="O48" s="2481"/>
      <c r="P48" s="3370" t="str">
        <f>A48</f>
        <v>成交单价（元/平方米）</v>
      </c>
      <c r="Q48" s="3371"/>
      <c r="R48" s="3372">
        <f>E48</f>
        <v>76900</v>
      </c>
      <c r="S48" s="3372"/>
      <c r="T48" s="3372">
        <f>G48</f>
        <v>82017</v>
      </c>
      <c r="U48" s="3372"/>
      <c r="V48" s="3372">
        <f>I48</f>
        <v>83000</v>
      </c>
      <c r="W48" s="3372"/>
      <c r="X48" s="385"/>
      <c r="Y48" s="673"/>
      <c r="Z48" s="385"/>
      <c r="AA48" s="385"/>
      <c r="AB48" s="385"/>
      <c r="AC48" s="555"/>
    </row>
    <row r="49" spans="1:48" ht="15" thickBot="1">
      <c r="A49" s="423" t="s">
        <v>1793</v>
      </c>
      <c r="B49" s="424"/>
      <c r="C49" s="1079">
        <f>R50</f>
        <v>73909</v>
      </c>
      <c r="D49" s="2138" t="s">
        <v>2138</v>
      </c>
      <c r="E49" s="1080">
        <f>R49</f>
        <v>70470</v>
      </c>
      <c r="F49" s="2139"/>
      <c r="G49" s="1079">
        <f>T49</f>
        <v>76633</v>
      </c>
      <c r="H49" s="2139"/>
      <c r="I49" s="1080">
        <f>V49</f>
        <v>74625</v>
      </c>
      <c r="J49" s="2139"/>
      <c r="K49" s="2141">
        <f>F49+H49+J49</f>
        <v>0</v>
      </c>
      <c r="L49" s="2488"/>
      <c r="M49" s="2481"/>
      <c r="N49" s="2481"/>
      <c r="O49" s="2481"/>
      <c r="P49" s="3370" t="str">
        <f>A49</f>
        <v>比较价值（元/平方米）</v>
      </c>
      <c r="Q49" s="3371"/>
      <c r="R49" s="3372">
        <f>IF(F1="售价",ROUND(PRODUCT(R48,AA7:AA47),0),ROUND(PRODUCT(R48,AA7:AA47),1))</f>
        <v>70470</v>
      </c>
      <c r="S49" s="3372"/>
      <c r="T49" s="3372">
        <f>IF(F1="售价",ROUND(PRODUCT(T48,AB7:AB47),0),ROUND(PRODUCT(T48,AB7:AB47),1))</f>
        <v>76633</v>
      </c>
      <c r="U49" s="3372"/>
      <c r="V49" s="3372">
        <f>IF(F1="售价",ROUND(PRODUCT(V48,AC7:AC47),0),ROUND(PRODUCT(V48,AC7:AC47),1))</f>
        <v>74625</v>
      </c>
      <c r="W49" s="3372"/>
      <c r="X49" s="385"/>
      <c r="Y49" s="385"/>
      <c r="Z49" s="385"/>
      <c r="AA49" s="385"/>
      <c r="AB49" s="385"/>
      <c r="AC49" s="555"/>
    </row>
    <row r="50" spans="1:48" ht="15" thickBot="1">
      <c r="A50" s="427" t="s">
        <v>1794</v>
      </c>
      <c r="B50" s="428"/>
      <c r="C50" s="351">
        <f>R50</f>
        <v>73909</v>
      </c>
      <c r="D50" s="351"/>
      <c r="E50" s="351"/>
      <c r="F50" s="351"/>
      <c r="G50" s="351"/>
      <c r="H50" s="351"/>
      <c r="I50" s="351"/>
      <c r="J50" s="429"/>
      <c r="K50" s="675"/>
      <c r="L50" s="2488"/>
      <c r="M50" s="2481"/>
      <c r="N50" s="2481"/>
      <c r="O50" s="2481"/>
      <c r="P50" s="3373" t="str">
        <f>A50</f>
        <v>估价对象XX用房的比较价值（楼面单价，元/平方米）</v>
      </c>
      <c r="Q50" s="3374"/>
      <c r="R50" s="3375">
        <f>IF(F1="售价",ROUND(IF(D49="简单平均",AVERAGE(R49:V49),R49*F49+T49*H49+V49*J49),0),ROUND(IF(D49="简单平均",AVERAGE(R49:V49),R49*F49+T49*H49+V49*J49),1))</f>
        <v>73909</v>
      </c>
      <c r="S50" s="3375"/>
      <c r="T50" s="3375"/>
      <c r="U50" s="3375"/>
      <c r="V50" s="3375"/>
      <c r="W50" s="3375"/>
      <c r="X50" s="1795"/>
      <c r="Y50" s="1795"/>
      <c r="Z50" s="1795"/>
      <c r="AA50" s="1795"/>
      <c r="AB50" s="1795"/>
      <c r="AC50" s="1796"/>
    </row>
    <row r="51" spans="1:48">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48">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48" ht="13.5" customHeight="1">
      <c r="A53" s="2481"/>
      <c r="B53" s="2481"/>
      <c r="C53" s="432" t="s">
        <v>1795</v>
      </c>
      <c r="D53" s="433"/>
      <c r="E53" s="434">
        <f>IF(E48&lt;E49,E49/E48-1,E48/E49-1)</f>
        <v>9.1244501206187101E-2</v>
      </c>
      <c r="F53" s="435" t="str">
        <f>IF(OR(E53&gt;=0.3,E53&lt;=-0.3),"超过30%","")</f>
        <v/>
      </c>
      <c r="G53" s="434">
        <f>IF(G48&lt;G49,G49/G48-1,G48/G49-1)</f>
        <v>7.0256938916654743E-2</v>
      </c>
      <c r="H53" s="435" t="str">
        <f>IF(OR(G53&gt;=0.3,G53&lt;=-0.3),"超过30%","")</f>
        <v/>
      </c>
      <c r="I53" s="434">
        <f>IF(I48&lt;I49,I49/I48-1,I48/I49-1)</f>
        <v>0.11222780569514246</v>
      </c>
      <c r="J53" s="435"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48" ht="13.5" customHeight="1">
      <c r="A54" s="2481"/>
      <c r="B54" s="2481"/>
      <c r="C54" s="432" t="s">
        <v>1796</v>
      </c>
      <c r="D54" s="436"/>
      <c r="E54" s="434">
        <f>IF(E49&lt;G49,G49/E49-1,E49/G49-1)</f>
        <v>8.7455654888605183E-2</v>
      </c>
      <c r="F54" s="435" t="str">
        <f>IF(OR(E54&gt;=0.2,E54&lt;=-0.2),"超过20%","")</f>
        <v/>
      </c>
      <c r="G54" s="434">
        <f>IF(G49&lt;I49,I49/G49-1,G49/I49-1)</f>
        <v>2.6907872696817492E-2</v>
      </c>
      <c r="H54" s="435" t="str">
        <f>IF(OR(G54&gt;=0.2,G54&lt;=-0.2),"超过20%","")</f>
        <v/>
      </c>
      <c r="I54" s="434">
        <f>IF(I49&lt;E49,E49/I49-1,I49/E49-1)</f>
        <v>5.8961260110685476E-2</v>
      </c>
      <c r="J54" s="435"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48" s="437" customFormat="1" ht="13.5" customHeight="1">
      <c r="A55" s="2491"/>
      <c r="B55" s="2491"/>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48"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48">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48" ht="22.2" thickBot="1">
      <c r="A58" s="658" t="s">
        <v>1798</v>
      </c>
      <c r="B58" s="385"/>
      <c r="C58" s="659"/>
      <c r="D58" s="659"/>
      <c r="E58" s="659"/>
      <c r="F58" s="660"/>
      <c r="G58" s="660"/>
      <c r="H58" s="659"/>
      <c r="I58" s="659"/>
      <c r="J58" s="659"/>
      <c r="K58" s="661"/>
      <c r="L58" s="885"/>
      <c r="M58" s="883"/>
      <c r="N58" s="2531"/>
      <c r="O58" s="2531"/>
      <c r="P58" s="2520"/>
      <c r="Q58" s="2502"/>
      <c r="R58" s="2481"/>
      <c r="S58" s="2481"/>
      <c r="T58" s="2481"/>
      <c r="U58" s="2481"/>
      <c r="V58" s="2481"/>
      <c r="W58" s="2481"/>
      <c r="X58" s="2481"/>
      <c r="Y58" s="2481"/>
      <c r="Z58" s="2481"/>
      <c r="AA58" s="2481"/>
      <c r="AB58" s="2481"/>
      <c r="AC58" s="2481"/>
    </row>
    <row r="59" spans="1:48" s="442" customFormat="1" ht="14.4">
      <c r="A59" s="440" t="s">
        <v>1679</v>
      </c>
      <c r="B59" s="441"/>
      <c r="C59" s="1100" t="str">
        <f>YEAR(C7)&amp;"-"&amp;MONTH(C7)</f>
        <v>2025-9</v>
      </c>
      <c r="D59" s="1101">
        <f>EDATE(C59,-1)</f>
        <v>45870</v>
      </c>
      <c r="E59" s="1101">
        <f>EDATE(D59,-1)</f>
        <v>45839</v>
      </c>
      <c r="F59" s="1101">
        <f t="shared" ref="F59:O59" si="16">EDATE(E59,-1)</f>
        <v>45809</v>
      </c>
      <c r="G59" s="1101">
        <f t="shared" si="16"/>
        <v>45778</v>
      </c>
      <c r="H59" s="1101">
        <f t="shared" si="16"/>
        <v>45748</v>
      </c>
      <c r="I59" s="1101">
        <f t="shared" si="16"/>
        <v>45717</v>
      </c>
      <c r="J59" s="1101">
        <f t="shared" si="16"/>
        <v>45689</v>
      </c>
      <c r="K59" s="1101">
        <f t="shared" si="16"/>
        <v>45658</v>
      </c>
      <c r="L59" s="1101">
        <f t="shared" si="16"/>
        <v>45627</v>
      </c>
      <c r="M59" s="1101">
        <f t="shared" si="16"/>
        <v>45597</v>
      </c>
      <c r="N59" s="1101">
        <f t="shared" si="16"/>
        <v>45566</v>
      </c>
      <c r="O59" s="1101">
        <f t="shared" si="16"/>
        <v>45536</v>
      </c>
      <c r="P59" s="3163">
        <f t="shared" ref="P59" si="17">EDATE(O59,-1)</f>
        <v>45505</v>
      </c>
      <c r="Q59" s="3163">
        <f t="shared" ref="Q59" si="18">EDATE(P59,-1)</f>
        <v>45474</v>
      </c>
      <c r="R59" s="3163">
        <f t="shared" ref="R59" si="19">EDATE(Q59,-1)</f>
        <v>45444</v>
      </c>
      <c r="S59" s="3163">
        <f t="shared" ref="S59" si="20">EDATE(R59,-1)</f>
        <v>45413</v>
      </c>
      <c r="T59" s="3163">
        <f t="shared" ref="T59" si="21">EDATE(S59,-1)</f>
        <v>45383</v>
      </c>
      <c r="U59" s="3163">
        <f t="shared" ref="U59" si="22">EDATE(T59,-1)</f>
        <v>45352</v>
      </c>
      <c r="V59" s="3163">
        <f t="shared" ref="V59" si="23">EDATE(U59,-1)</f>
        <v>45323</v>
      </c>
      <c r="W59" s="3163">
        <f t="shared" ref="W59" si="24">EDATE(V59,-1)</f>
        <v>45292</v>
      </c>
      <c r="X59" s="3163">
        <f t="shared" ref="X59" si="25">EDATE(W59,-1)</f>
        <v>45261</v>
      </c>
      <c r="Y59" s="3163">
        <f t="shared" ref="Y59" si="26">EDATE(X59,-1)</f>
        <v>45231</v>
      </c>
      <c r="Z59" s="3163">
        <f t="shared" ref="Z59" si="27">EDATE(Y59,-1)</f>
        <v>45200</v>
      </c>
      <c r="AA59" s="3163">
        <f t="shared" ref="AA59" si="28">EDATE(Z59,-1)</f>
        <v>45170</v>
      </c>
      <c r="AB59" s="3163">
        <f t="shared" ref="AB59" si="29">EDATE(AA59,-1)</f>
        <v>45139</v>
      </c>
      <c r="AC59" s="3163">
        <f t="shared" ref="AC59" si="30">EDATE(AB59,-1)</f>
        <v>45108</v>
      </c>
      <c r="AD59" s="3163">
        <f t="shared" ref="AD59" si="31">EDATE(AC59,-1)</f>
        <v>45078</v>
      </c>
      <c r="AE59" s="3163">
        <f t="shared" ref="AE59" si="32">EDATE(AD59,-1)</f>
        <v>45047</v>
      </c>
      <c r="AF59" s="3163">
        <f t="shared" ref="AF59" si="33">EDATE(AE59,-1)</f>
        <v>45017</v>
      </c>
      <c r="AG59" s="3163">
        <f t="shared" ref="AG59" si="34">EDATE(AF59,-1)</f>
        <v>44986</v>
      </c>
      <c r="AH59" s="3163">
        <f t="shared" ref="AH59" si="35">EDATE(AG59,-1)</f>
        <v>44958</v>
      </c>
      <c r="AI59" s="3163">
        <f t="shared" ref="AI59" si="36">EDATE(AH59,-1)</f>
        <v>44927</v>
      </c>
      <c r="AJ59" s="3163">
        <f t="shared" ref="AJ59" si="37">EDATE(AI59,-1)</f>
        <v>44896</v>
      </c>
      <c r="AK59" s="3163">
        <f t="shared" ref="AK59" si="38">EDATE(AJ59,-1)</f>
        <v>44866</v>
      </c>
      <c r="AL59" s="3163">
        <f t="shared" ref="AL59" si="39">EDATE(AK59,-1)</f>
        <v>44835</v>
      </c>
      <c r="AM59" s="3163">
        <f t="shared" ref="AM59" si="40">EDATE(AL59,-1)</f>
        <v>44805</v>
      </c>
      <c r="AN59" s="3163">
        <f t="shared" ref="AN59" si="41">EDATE(AM59,-1)</f>
        <v>44774</v>
      </c>
      <c r="AO59" s="3163">
        <f t="shared" ref="AO59" si="42">EDATE(AN59,-1)</f>
        <v>44743</v>
      </c>
      <c r="AP59" s="3163">
        <f t="shared" ref="AP59" si="43">EDATE(AO59,-1)</f>
        <v>44713</v>
      </c>
      <c r="AQ59" s="3163">
        <f t="shared" ref="AQ59" si="44">EDATE(AP59,-1)</f>
        <v>44682</v>
      </c>
      <c r="AR59" s="3163">
        <f t="shared" ref="AR59" si="45">EDATE(AQ59,-1)</f>
        <v>44652</v>
      </c>
      <c r="AS59" s="3163">
        <f t="shared" ref="AS59" si="46">EDATE(AR59,-1)</f>
        <v>44621</v>
      </c>
      <c r="AT59" s="3163">
        <f t="shared" ref="AT59" si="47">EDATE(AS59,-1)</f>
        <v>44593</v>
      </c>
      <c r="AU59" s="3163">
        <f t="shared" ref="AU59" si="48">EDATE(AT59,-1)</f>
        <v>44562</v>
      </c>
      <c r="AV59" s="3163">
        <f t="shared" ref="AV59" si="49">EDATE(AU59,-1)</f>
        <v>44531</v>
      </c>
    </row>
    <row r="60" spans="1:48" s="102" customFormat="1">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2"/>
      <c r="Q61" s="2502"/>
      <c r="R61" s="2435"/>
      <c r="S61" s="2435"/>
      <c r="T61" s="2435"/>
      <c r="U61" s="2435"/>
      <c r="V61" s="2435"/>
      <c r="W61" s="2435"/>
      <c r="X61" s="2435"/>
      <c r="Y61" s="2435"/>
      <c r="Z61" s="2435"/>
      <c r="AA61" s="2435"/>
      <c r="AB61" s="2435"/>
      <c r="AC61" s="2435"/>
    </row>
    <row r="62" spans="1:48" s="102" customFormat="1" ht="14.4">
      <c r="A62" s="455" t="s">
        <v>1681</v>
      </c>
      <c r="B62" s="444"/>
      <c r="C62" s="456" t="s">
        <v>1776</v>
      </c>
      <c r="D62" s="31"/>
      <c r="E62" s="31"/>
      <c r="F62" s="31"/>
      <c r="G62" s="31"/>
      <c r="H62" s="31"/>
      <c r="I62" s="31"/>
      <c r="J62" s="31"/>
      <c r="K62" s="31"/>
      <c r="L62" s="457"/>
      <c r="M62" s="458"/>
      <c r="N62" s="2514"/>
      <c r="O62" s="2514"/>
      <c r="P62" s="2523"/>
      <c r="Q62" s="2502"/>
      <c r="R62" s="2435"/>
      <c r="S62" s="2435"/>
      <c r="T62" s="2435"/>
      <c r="U62" s="2435"/>
      <c r="V62" s="2435"/>
      <c r="W62" s="2435"/>
      <c r="X62" s="2435"/>
      <c r="Y62" s="2435"/>
      <c r="Z62" s="2435"/>
      <c r="AA62" s="2435"/>
      <c r="AB62" s="2435"/>
      <c r="AC62" s="2435"/>
    </row>
    <row r="63" spans="1:48" s="102" customFormat="1" ht="14.4" thickBot="1">
      <c r="A63" s="455"/>
      <c r="B63" s="444"/>
      <c r="C63" s="445">
        <v>100</v>
      </c>
      <c r="D63" s="446"/>
      <c r="E63" s="446"/>
      <c r="F63" s="446"/>
      <c r="G63" s="446"/>
      <c r="H63" s="446"/>
      <c r="I63" s="446"/>
      <c r="J63" s="446"/>
      <c r="K63" s="446"/>
      <c r="L63" s="446"/>
      <c r="M63" s="448"/>
      <c r="N63" s="2514"/>
      <c r="O63" s="2514"/>
      <c r="P63" s="2522"/>
      <c r="Q63" s="2502"/>
      <c r="R63" s="2435"/>
      <c r="S63" s="2435"/>
      <c r="T63" s="2435"/>
      <c r="U63" s="2435"/>
      <c r="V63" s="2435"/>
      <c r="W63" s="2435"/>
      <c r="X63" s="2435"/>
      <c r="Y63" s="2435"/>
      <c r="Z63" s="2435"/>
      <c r="AA63" s="2435"/>
      <c r="AB63" s="2435"/>
      <c r="AC63" s="2435"/>
    </row>
    <row r="64" spans="1:48" ht="14.4">
      <c r="A64" s="379" t="s">
        <v>1719</v>
      </c>
      <c r="B64" s="460" t="s">
        <v>1685</v>
      </c>
      <c r="C64" s="461" t="str">
        <f>C9</f>
        <v>商业办公</v>
      </c>
      <c r="D64" s="3169" t="s">
        <v>3589</v>
      </c>
      <c r="E64" s="3169"/>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4.4" thickBot="1">
      <c r="A65" s="367"/>
      <c r="B65" s="466"/>
      <c r="C65" s="467">
        <v>100</v>
      </c>
      <c r="D65" s="467">
        <v>98</v>
      </c>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9.4" thickTop="1">
      <c r="A66" s="367"/>
      <c r="B66" s="469" t="s">
        <v>1688</v>
      </c>
      <c r="C66" s="513" t="s">
        <v>3450</v>
      </c>
      <c r="D66" s="513" t="s">
        <v>3443</v>
      </c>
      <c r="E66" s="513" t="s">
        <v>3449</v>
      </c>
      <c r="F66" s="513" t="s">
        <v>3451</v>
      </c>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6"/>
      <c r="O70" s="2516"/>
      <c r="P70" s="2524"/>
      <c r="Q70" s="2502"/>
      <c r="R70" s="2481"/>
      <c r="S70" s="2481"/>
      <c r="T70" s="2481"/>
      <c r="U70" s="2481"/>
      <c r="V70" s="2481"/>
      <c r="W70" s="2481"/>
      <c r="X70" s="2481"/>
      <c r="Y70" s="2481"/>
      <c r="Z70" s="2481"/>
      <c r="AA70" s="2481"/>
      <c r="AB70" s="2481"/>
      <c r="AC70" s="2481"/>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4.4"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4.4"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4.4"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4.4" thickBot="1">
      <c r="A78" s="367"/>
      <c r="B78" s="474"/>
      <c r="C78" s="475">
        <v>100</v>
      </c>
      <c r="D78" s="475">
        <f>C78-$K15</f>
        <v>95</v>
      </c>
      <c r="E78" s="475">
        <f>D78-$K15</f>
        <v>90</v>
      </c>
      <c r="F78" s="475">
        <f>E78-$K15</f>
        <v>85</v>
      </c>
      <c r="G78" s="475">
        <f>F78-$K15</f>
        <v>80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4.4" thickBot="1">
      <c r="A80" s="367"/>
      <c r="B80" s="474"/>
      <c r="C80" s="475">
        <v>100</v>
      </c>
      <c r="D80" s="475">
        <f>C80-$K17</f>
        <v>97</v>
      </c>
      <c r="E80" s="475">
        <f>D80-$K17</f>
        <v>94</v>
      </c>
      <c r="F80" s="475">
        <f>E80-$K17</f>
        <v>91</v>
      </c>
      <c r="G80" s="475">
        <f>F80-$K17</f>
        <v>88</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4.4" thickBot="1">
      <c r="A82" s="367"/>
      <c r="B82" s="474"/>
      <c r="C82" s="475">
        <v>100</v>
      </c>
      <c r="D82" s="475">
        <f>C82-$K19</f>
        <v>97</v>
      </c>
      <c r="E82" s="475">
        <f>D82-$K19</f>
        <v>94</v>
      </c>
      <c r="F82" s="475">
        <f>E82-$K19</f>
        <v>91</v>
      </c>
      <c r="G82" s="475">
        <f>F82-$K19</f>
        <v>88</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 thickTop="1">
      <c r="A83" s="367"/>
      <c r="B83" s="477" t="s">
        <v>1813</v>
      </c>
      <c r="C83" s="581" t="s">
        <v>1799</v>
      </c>
      <c r="D83" s="581" t="s">
        <v>1800</v>
      </c>
      <c r="E83" s="581" t="s">
        <v>1801</v>
      </c>
      <c r="F83" s="581" t="s">
        <v>1802</v>
      </c>
      <c r="G83" s="581" t="s">
        <v>1803</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4.4" thickBot="1">
      <c r="A86" s="367"/>
      <c r="B86" s="474"/>
      <c r="C86" s="475">
        <v>100</v>
      </c>
      <c r="D86" s="475">
        <f>C86-$K23</f>
        <v>97</v>
      </c>
      <c r="E86" s="475">
        <f>D86-$K23</f>
        <v>94</v>
      </c>
      <c r="F86" s="475">
        <f>E86-$K23</f>
        <v>91</v>
      </c>
      <c r="G86" s="475">
        <f>F86-$K23</f>
        <v>88</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9.4" thickTop="1">
      <c r="A87" s="370"/>
      <c r="B87" s="469" t="s">
        <v>1823</v>
      </c>
      <c r="C87" s="485" t="s">
        <v>3497</v>
      </c>
      <c r="D87" s="3175" t="s">
        <v>3475</v>
      </c>
      <c r="E87" s="3175" t="s">
        <v>3485</v>
      </c>
      <c r="F87" s="3175" t="s">
        <v>3498</v>
      </c>
      <c r="G87" s="485"/>
      <c r="H87" s="485"/>
      <c r="I87" s="485"/>
      <c r="J87" s="485"/>
      <c r="K87" s="485"/>
      <c r="L87" s="510"/>
      <c r="M87" s="511"/>
      <c r="N87" s="2514"/>
      <c r="O87" s="2514"/>
      <c r="P87" s="2524"/>
      <c r="Q87" s="2502"/>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53">C88-$K25</f>
        <v>98</v>
      </c>
      <c r="E88" s="475">
        <f t="shared" si="53"/>
        <v>96</v>
      </c>
      <c r="F88" s="475">
        <f t="shared" si="53"/>
        <v>94</v>
      </c>
      <c r="G88" s="475">
        <f t="shared" si="53"/>
        <v>92</v>
      </c>
      <c r="H88" s="475">
        <f t="shared" si="53"/>
        <v>90</v>
      </c>
      <c r="I88" s="475">
        <f t="shared" si="53"/>
        <v>88</v>
      </c>
      <c r="J88" s="475">
        <f t="shared" si="53"/>
        <v>86</v>
      </c>
      <c r="K88" s="475">
        <f t="shared" si="53"/>
        <v>84</v>
      </c>
      <c r="L88" s="475">
        <f t="shared" si="53"/>
        <v>82</v>
      </c>
      <c r="M88" s="475">
        <f t="shared" si="53"/>
        <v>80</v>
      </c>
      <c r="N88" s="2516"/>
      <c r="O88" s="2516"/>
      <c r="P88" s="2524"/>
      <c r="Q88" s="2502"/>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7"/>
      <c r="G89" s="485"/>
      <c r="H89" s="485"/>
      <c r="I89" s="485"/>
      <c r="J89" s="485"/>
      <c r="K89" s="485"/>
      <c r="L89" s="485"/>
      <c r="M89" s="511"/>
      <c r="N89" s="2514"/>
      <c r="O89" s="2514"/>
      <c r="P89" s="2524"/>
      <c r="Q89" s="2502"/>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6"/>
      <c r="O90" s="2516"/>
      <c r="P90" s="2524"/>
      <c r="Q90" s="2502"/>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17"/>
      <c r="O92" s="2517"/>
      <c r="P92" s="2525"/>
      <c r="Q92" s="2509"/>
      <c r="R92" s="2487"/>
      <c r="S92" s="2487"/>
      <c r="T92" s="2487"/>
      <c r="U92" s="2487"/>
      <c r="V92" s="2487"/>
      <c r="W92" s="2487"/>
      <c r="X92" s="2487"/>
      <c r="Y92" s="2487"/>
      <c r="Z92" s="2487"/>
      <c r="AA92" s="2487"/>
      <c r="AB92" s="2487"/>
      <c r="AC92" s="2487"/>
    </row>
    <row r="93" spans="1:29" ht="14.4"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4.4"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4.4"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4.4"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4.4"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4.4"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4.4"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4.4"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ht="14.4">
      <c r="A101" s="379" t="s">
        <v>1694</v>
      </c>
      <c r="B101" s="460" t="s">
        <v>1736</v>
      </c>
      <c r="C101" s="3169" t="s">
        <v>3476</v>
      </c>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6"/>
      <c r="O102" s="2516"/>
      <c r="P102" s="2524"/>
      <c r="Q102" s="2502"/>
      <c r="R102" s="2481"/>
      <c r="S102" s="2481"/>
      <c r="T102" s="2481"/>
      <c r="U102" s="2481"/>
      <c r="V102" s="2481"/>
      <c r="W102" s="2481"/>
      <c r="X102" s="2481"/>
      <c r="Y102" s="2481"/>
      <c r="Z102" s="2481"/>
      <c r="AA102" s="2481"/>
      <c r="AB102" s="2481"/>
      <c r="AC102" s="2481"/>
    </row>
    <row r="103" spans="1:29" ht="28.2" thickTop="1">
      <c r="A103" s="367"/>
      <c r="B103" s="469" t="s">
        <v>1737</v>
      </c>
      <c r="C103" s="509" t="str">
        <f>C104&amp;"(含)"&amp;"-"&amp;D104</f>
        <v>0(含)-20000</v>
      </c>
      <c r="D103" s="509" t="str">
        <f t="shared" ref="D103:L103" si="57">D104&amp;"(含)"&amp;"-"&amp;E104</f>
        <v>20000(含)-40000</v>
      </c>
      <c r="E103" s="509" t="str">
        <f t="shared" si="57"/>
        <v>40000(含)-60000</v>
      </c>
      <c r="F103" s="509" t="str">
        <f t="shared" si="57"/>
        <v>60000(含)-80000</v>
      </c>
      <c r="G103" s="509" t="str">
        <f t="shared" si="57"/>
        <v>80000(含)-</v>
      </c>
      <c r="H103" s="509" t="str">
        <f t="shared" si="57"/>
        <v>(含)-</v>
      </c>
      <c r="I103" s="509" t="str">
        <f t="shared" si="57"/>
        <v>(含)-</v>
      </c>
      <c r="J103" s="509" t="str">
        <f t="shared" si="57"/>
        <v>(含)-</v>
      </c>
      <c r="K103" s="509" t="str">
        <f t="shared" si="57"/>
        <v>(含)-</v>
      </c>
      <c r="L103" s="509" t="str">
        <f t="shared" si="57"/>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v>0</v>
      </c>
      <c r="D104" s="6">
        <v>20000</v>
      </c>
      <c r="E104" s="6">
        <v>40000</v>
      </c>
      <c r="F104" s="6">
        <v>60000</v>
      </c>
      <c r="G104" s="6">
        <v>80000</v>
      </c>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4.4" thickBot="1">
      <c r="A105" s="484"/>
      <c r="B105" s="474"/>
      <c r="C105" s="491">
        <v>100</v>
      </c>
      <c r="D105" s="491">
        <v>100</v>
      </c>
      <c r="E105" s="491">
        <v>100</v>
      </c>
      <c r="F105" s="491">
        <v>100</v>
      </c>
      <c r="G105" s="491">
        <v>100</v>
      </c>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1738</v>
      </c>
      <c r="C106" s="3175" t="s">
        <v>3437</v>
      </c>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1740</v>
      </c>
      <c r="C108" s="3175" t="s">
        <v>3499</v>
      </c>
      <c r="D108" s="3175" t="s">
        <v>3448</v>
      </c>
      <c r="E108" s="3175" t="s">
        <v>3500</v>
      </c>
      <c r="F108" s="3176" t="s">
        <v>3478</v>
      </c>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1741</v>
      </c>
      <c r="C115" s="3175" t="s">
        <v>3477</v>
      </c>
      <c r="D115" s="3175" t="s">
        <v>3446</v>
      </c>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1742</v>
      </c>
      <c r="C117" s="3175" t="s">
        <v>3444</v>
      </c>
      <c r="D117" s="3175" t="s">
        <v>3501</v>
      </c>
      <c r="E117" s="3175" t="s">
        <v>3502</v>
      </c>
      <c r="F117" s="485"/>
      <c r="G117" s="485"/>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1825</v>
      </c>
      <c r="C119" s="3176" t="s">
        <v>3447</v>
      </c>
      <c r="D119" s="513"/>
      <c r="E119" s="513"/>
      <c r="F119" s="513"/>
      <c r="G119" s="513"/>
      <c r="H119" s="513"/>
      <c r="I119" s="513"/>
      <c r="J119" s="513"/>
      <c r="K119" s="513"/>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1744</v>
      </c>
      <c r="C123" s="3175" t="s">
        <v>3499</v>
      </c>
      <c r="D123" s="3175" t="s">
        <v>3448</v>
      </c>
      <c r="E123" s="3175" t="s">
        <v>3500</v>
      </c>
      <c r="F123" s="3176" t="s">
        <v>3478</v>
      </c>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4.4" thickBot="1">
      <c r="A124" s="367"/>
      <c r="B124" s="474"/>
      <c r="C124" s="475">
        <v>100</v>
      </c>
      <c r="D124" s="475">
        <f t="shared" ref="D124:M124" si="64">C124-$K43</f>
        <v>99.5</v>
      </c>
      <c r="E124" s="475">
        <f t="shared" si="64"/>
        <v>99</v>
      </c>
      <c r="F124" s="475">
        <f t="shared" si="64"/>
        <v>98.5</v>
      </c>
      <c r="G124" s="475">
        <f t="shared" si="64"/>
        <v>98</v>
      </c>
      <c r="H124" s="475">
        <f t="shared" si="64"/>
        <v>97.5</v>
      </c>
      <c r="I124" s="475">
        <f t="shared" si="64"/>
        <v>97</v>
      </c>
      <c r="J124" s="475">
        <f t="shared" si="64"/>
        <v>96.5</v>
      </c>
      <c r="K124" s="475">
        <f t="shared" si="64"/>
        <v>96</v>
      </c>
      <c r="L124" s="475">
        <f t="shared" si="64"/>
        <v>95.5</v>
      </c>
      <c r="M124" s="476">
        <f t="shared" si="64"/>
        <v>95</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28.2" thickTop="1">
      <c r="A127" s="406"/>
      <c r="B127" s="469" t="str">
        <f>B45</f>
        <v>地下面积占比</v>
      </c>
      <c r="C127" s="485" t="s">
        <v>3479</v>
      </c>
      <c r="D127" s="485" t="s">
        <v>3583</v>
      </c>
      <c r="E127" s="485" t="s">
        <v>3584</v>
      </c>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4.4" thickBot="1">
      <c r="A128" s="484"/>
      <c r="B128" s="474"/>
      <c r="C128" s="491">
        <v>114</v>
      </c>
      <c r="D128" s="467">
        <v>107</v>
      </c>
      <c r="E128" s="467">
        <v>100</v>
      </c>
      <c r="F128" s="467"/>
      <c r="G128" s="467"/>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4.4"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4.4" thickBot="1">
      <c r="A130" s="367"/>
      <c r="B130" s="474"/>
      <c r="C130" s="467"/>
      <c r="D130" s="467"/>
      <c r="E130" s="467"/>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4.4"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4.4"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A7" sqref="A7"/>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2" t="s">
        <v>1658</v>
      </c>
      <c r="B1" s="1723"/>
      <c r="C1" s="1723"/>
      <c r="D1" s="1723"/>
      <c r="E1" s="1724"/>
      <c r="F1" s="2473"/>
      <c r="G1" s="459"/>
      <c r="H1" s="459"/>
      <c r="I1" s="459"/>
      <c r="J1" s="459"/>
      <c r="K1" s="459"/>
      <c r="L1" s="459"/>
      <c r="M1" s="459"/>
      <c r="N1" s="459"/>
      <c r="O1" s="459"/>
      <c r="P1" s="459"/>
      <c r="Q1" s="459"/>
      <c r="R1" s="459"/>
      <c r="S1" s="459"/>
    </row>
    <row r="2" spans="1:22" ht="15.6">
      <c r="A2" s="1725" t="s">
        <v>1462</v>
      </c>
      <c r="B2" s="808">
        <f ca="1">SUMIF(B6:B13,"&lt;&gt;#ref!",B6:B13)</f>
        <v>248421</v>
      </c>
      <c r="C2" s="1726" t="s">
        <v>1651</v>
      </c>
      <c r="D2" s="1727" t="s">
        <v>1652</v>
      </c>
      <c r="E2" s="2388">
        <f>SUM(E6:E13)</f>
        <v>50178.66</v>
      </c>
      <c r="F2" s="2473"/>
      <c r="G2" s="459"/>
      <c r="H2" s="459"/>
      <c r="I2" s="459"/>
      <c r="J2" s="459"/>
      <c r="K2" s="459"/>
      <c r="L2" s="459"/>
      <c r="M2" s="459"/>
      <c r="N2" s="459"/>
      <c r="O2" s="459"/>
      <c r="P2" s="459"/>
      <c r="Q2" s="459"/>
      <c r="R2" s="459"/>
      <c r="S2" s="459"/>
    </row>
    <row r="3" spans="1:22" ht="15.6">
      <c r="A3" s="1725" t="s">
        <v>686</v>
      </c>
      <c r="B3" s="2382">
        <f ca="1">ROUND(B2*10000/E2,0)</f>
        <v>49507</v>
      </c>
      <c r="C3" s="1726" t="s">
        <v>1659</v>
      </c>
      <c r="D3" s="2473"/>
      <c r="E3" s="2476"/>
      <c r="F3" s="2473"/>
      <c r="G3" s="459"/>
      <c r="H3" s="459"/>
      <c r="I3" s="459"/>
      <c r="J3" s="459"/>
      <c r="K3" s="459"/>
      <c r="L3" s="459"/>
      <c r="M3" s="459"/>
      <c r="N3" s="459"/>
      <c r="O3" s="459"/>
      <c r="P3" s="459"/>
      <c r="Q3" s="459"/>
      <c r="R3" s="459"/>
      <c r="S3" s="459"/>
    </row>
    <row r="4" spans="1:22" ht="15.6">
      <c r="A4" s="2477"/>
      <c r="B4" s="2473"/>
      <c r="C4" s="2473"/>
      <c r="D4" s="2473"/>
      <c r="E4" s="2476"/>
      <c r="F4" s="2473"/>
      <c r="G4" s="459"/>
      <c r="H4" s="459"/>
      <c r="I4" s="459"/>
      <c r="J4" s="459"/>
      <c r="K4" s="459"/>
      <c r="L4" s="459"/>
      <c r="M4" s="459"/>
      <c r="N4" s="459"/>
      <c r="O4" s="459"/>
      <c r="P4" s="459"/>
      <c r="Q4" s="459"/>
      <c r="R4" s="459"/>
      <c r="S4" s="459"/>
    </row>
    <row r="5" spans="1:22" ht="14.4">
      <c r="A5" s="2384" t="s">
        <v>1653</v>
      </c>
      <c r="B5" s="3420" t="s">
        <v>1654</v>
      </c>
      <c r="C5" s="3421"/>
      <c r="D5" s="2474"/>
      <c r="E5" s="1728"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9625</v>
      </c>
      <c r="C6" s="1726" t="s">
        <v>1651</v>
      </c>
      <c r="D6" s="2473"/>
      <c r="E6" s="2387">
        <f>IF(OR(A6=0,F6="否"),0,'数据-取费表'!K6+'数据-取费表'!S6)</f>
        <v>2470.4699999999998</v>
      </c>
      <c r="F6" s="1729" t="s">
        <v>1657</v>
      </c>
      <c r="G6" s="459"/>
      <c r="H6" s="459"/>
      <c r="I6" s="459"/>
      <c r="J6" s="459"/>
      <c r="K6" s="459"/>
      <c r="L6" s="459"/>
      <c r="M6" s="459"/>
      <c r="N6" s="459"/>
      <c r="O6" s="459"/>
      <c r="P6" s="459"/>
      <c r="Q6" s="459"/>
      <c r="R6" s="459"/>
      <c r="S6" s="459"/>
    </row>
    <row r="7" spans="1:22" ht="14.4">
      <c r="A7" s="2385" t="str">
        <f>'数据-取费表'!AN7</f>
        <v>收益法办</v>
      </c>
      <c r="B7" s="2383">
        <f ca="1">IF(F7="是",'数据-取费表'!AO7,0)</f>
        <v>238796</v>
      </c>
      <c r="C7" s="1726" t="s">
        <v>1651</v>
      </c>
      <c r="D7" s="2473"/>
      <c r="E7" s="2387">
        <f>IF(OR(A7=0,F7="否"),0,'数据-取费表'!K7+'数据-取费表'!S7)</f>
        <v>47708.19</v>
      </c>
      <c r="F7" s="1729"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6" t="s">
        <v>1651</v>
      </c>
      <c r="D8" s="2473"/>
      <c r="E8" s="2387">
        <f>IF(OR(A8=0,F8="否"),0,'数据-取费表'!K8+'数据-取费表'!S8)</f>
        <v>0</v>
      </c>
      <c r="F8" s="1729"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6" t="s">
        <v>1651</v>
      </c>
      <c r="D9" s="2473"/>
      <c r="E9" s="2387">
        <f>IF(OR(A9=0,F9="否"),0,'数据-取费表'!K9+'数据-取费表'!S9)</f>
        <v>0</v>
      </c>
      <c r="F9" s="1729"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6" t="s">
        <v>1651</v>
      </c>
      <c r="D10" s="2473"/>
      <c r="E10" s="2387">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6" t="s">
        <v>1651</v>
      </c>
      <c r="D11" s="2473"/>
      <c r="E11" s="2387">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6" t="s">
        <v>1651</v>
      </c>
      <c r="D12" s="2473"/>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t="s">
        <v>673</v>
      </c>
      <c r="D1" s="1268" t="s">
        <v>43</v>
      </c>
      <c r="E1" s="1269" t="s">
        <v>678</v>
      </c>
      <c r="F1" s="996">
        <f ca="1">J53</f>
        <v>19</v>
      </c>
      <c r="G1" s="1283">
        <f>MATCH(C1,'数据-取费表'!A6:A16,0)+5</f>
        <v>6</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9625</v>
      </c>
      <c r="C2" s="1286" t="s">
        <v>805</v>
      </c>
      <c r="D2" s="1286"/>
      <c r="E2" s="1292"/>
      <c r="F2" s="1293"/>
      <c r="G2" s="2472"/>
      <c r="H2" s="2462"/>
      <c r="I2" s="2462"/>
      <c r="J2" s="2462"/>
      <c r="K2" s="2463"/>
      <c r="L2" s="2462"/>
      <c r="M2" s="2462"/>
    </row>
    <row r="3" spans="1:37" ht="18" customHeight="1" thickBot="1">
      <c r="A3" s="1294" t="s">
        <v>806</v>
      </c>
      <c r="B3" s="1295">
        <f ca="1">IF(ISERROR(B2*10000/F43),0,ROUND(B2*10000/F43,0))</f>
        <v>40980</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850</v>
      </c>
      <c r="D5" s="1270" t="s">
        <v>693</v>
      </c>
      <c r="E5" s="1005"/>
      <c r="F5" s="1006"/>
      <c r="G5" s="1289"/>
      <c r="H5" s="291">
        <v>1</v>
      </c>
      <c r="I5" s="292" t="s">
        <v>692</v>
      </c>
      <c r="J5" s="1004">
        <f ca="1">J6+J10+J12</f>
        <v>0</v>
      </c>
      <c r="K5" s="1270" t="s">
        <v>693</v>
      </c>
      <c r="L5" s="1005"/>
      <c r="M5" s="1006"/>
    </row>
    <row r="6" spans="1:37" ht="18" customHeight="1">
      <c r="A6" s="1003" t="s">
        <v>398</v>
      </c>
      <c r="B6" s="3424" t="s">
        <v>694</v>
      </c>
      <c r="C6" s="1008">
        <f ca="1">ROUND(F6*F8*F7*(1-F9)/10000,0)</f>
        <v>849</v>
      </c>
      <c r="D6" s="147" t="s">
        <v>2109</v>
      </c>
      <c r="E6" s="294" t="s">
        <v>696</v>
      </c>
      <c r="F6" s="295">
        <f ca="1">INDIRECT("'数据-取费表'!u"&amp;$G$1)</f>
        <v>11</v>
      </c>
      <c r="G6" s="1289"/>
      <c r="H6" s="1003" t="s">
        <v>398</v>
      </c>
      <c r="I6" s="3424" t="s">
        <v>694</v>
      </c>
      <c r="J6" s="293">
        <f ca="1">ROUND(M6*M8*M7*(1-M9)/10000,0)</f>
        <v>0</v>
      </c>
      <c r="K6" s="147" t="s">
        <v>2108</v>
      </c>
      <c r="L6" s="294" t="s">
        <v>696</v>
      </c>
      <c r="M6" s="295">
        <f ca="1">INDIRECT("'数据-取费表'!z"&amp;$G$1)</f>
        <v>0</v>
      </c>
    </row>
    <row r="7" spans="1:37" ht="18" customHeight="1">
      <c r="A7" s="1007"/>
      <c r="B7" s="3425"/>
      <c r="C7" s="1009"/>
      <c r="D7" s="299"/>
      <c r="E7" s="1010" t="s">
        <v>697</v>
      </c>
      <c r="F7" s="295">
        <f ca="1">IF(INDIRECT("'数据-取费表'!ah"&amp;$G$1)="",INDIRECT("'数据-取费表'!k"&amp;$G$1),INDIRECT("'数据-取费表'!ah"&amp;$G$1))</f>
        <v>2348.6999999999998</v>
      </c>
      <c r="G7" s="1289"/>
      <c r="H7" s="296"/>
      <c r="I7" s="3425"/>
      <c r="J7" s="298"/>
      <c r="K7" s="299"/>
      <c r="L7" s="294" t="s">
        <v>697</v>
      </c>
      <c r="M7" s="295">
        <f ca="1">F7</f>
        <v>2348.6999999999998</v>
      </c>
    </row>
    <row r="8" spans="1:37" ht="18" customHeight="1">
      <c r="A8" s="296"/>
      <c r="B8" s="3425"/>
      <c r="C8" s="298"/>
      <c r="D8" s="299"/>
      <c r="E8" s="294" t="s">
        <v>698</v>
      </c>
      <c r="F8" s="295">
        <f ca="1">INDIRECT("'数据-取费表'!ai"&amp;$G$1)</f>
        <v>365</v>
      </c>
      <c r="G8" s="1289"/>
      <c r="H8" s="296"/>
      <c r="I8" s="3425"/>
      <c r="J8" s="298"/>
      <c r="K8" s="299"/>
      <c r="L8" s="294" t="s">
        <v>698</v>
      </c>
      <c r="M8" s="295">
        <f ca="1">INDIRECT("'数据-取费表'!ai"&amp;$G$1)</f>
        <v>365</v>
      </c>
    </row>
    <row r="9" spans="1:37" ht="18" customHeight="1">
      <c r="A9" s="296"/>
      <c r="B9" s="3426"/>
      <c r="C9" s="298"/>
      <c r="D9" s="299"/>
      <c r="E9" s="294" t="s">
        <v>699</v>
      </c>
      <c r="F9" s="304">
        <f ca="1">INDIRECT("'数据-取费表'!w"&amp;$G$1)</f>
        <v>0.1</v>
      </c>
      <c r="G9" s="1289"/>
      <c r="H9" s="296"/>
      <c r="I9" s="3426"/>
      <c r="J9" s="298"/>
      <c r="K9" s="299"/>
      <c r="L9" s="305" t="s">
        <v>699</v>
      </c>
      <c r="M9" s="306">
        <f ca="1">INDIRECT("'数据-取费表'!ab"&amp;$G$1)</f>
        <v>0</v>
      </c>
    </row>
    <row r="10" spans="1:37" ht="18" customHeight="1">
      <c r="A10" s="1003" t="s">
        <v>402</v>
      </c>
      <c r="B10" s="1271" t="s">
        <v>700</v>
      </c>
      <c r="C10" s="308">
        <f ca="1">ROUND(IF(F10="押一",C6/12*F11,IF(F10="押二",C6/12*2*F11,IF(F10="押三",C6/12*3*F11,C11*F11))),0)</f>
        <v>1</v>
      </c>
      <c r="D10" s="150" t="s">
        <v>2117</v>
      </c>
      <c r="E10" s="305" t="s">
        <v>701</v>
      </c>
      <c r="F10" s="1050" t="s">
        <v>3436</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1967</v>
      </c>
      <c r="D13" s="1015" t="s">
        <v>705</v>
      </c>
      <c r="E13" s="1015" t="s">
        <v>706</v>
      </c>
      <c r="F13" s="1016">
        <f ca="1">INDIRECT("'数据-取费表'!y"&amp;$G$1)</f>
        <v>0.95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1359</v>
      </c>
      <c r="D14" s="1254" t="s">
        <v>708</v>
      </c>
      <c r="E14" s="1252"/>
      <c r="F14" s="311"/>
      <c r="G14" s="1289"/>
      <c r="H14" s="925" t="s">
        <v>398</v>
      </c>
      <c r="I14" s="294" t="s">
        <v>709</v>
      </c>
      <c r="J14" s="21">
        <f ca="1">C29</f>
        <v>2071</v>
      </c>
      <c r="K14" s="12"/>
      <c r="L14" s="756"/>
      <c r="M14" s="757"/>
    </row>
    <row r="15" spans="1:37" s="1301" customFormat="1" ht="18" customHeight="1" thickBot="1">
      <c r="A15" s="925" t="s">
        <v>399</v>
      </c>
      <c r="B15" s="294" t="s">
        <v>710</v>
      </c>
      <c r="C15" s="21">
        <f ca="1">ROUND(C14*F15,0)</f>
        <v>68</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11</v>
      </c>
      <c r="K16" s="1021" t="s">
        <v>715</v>
      </c>
      <c r="L16" s="1022"/>
      <c r="M16" s="1006"/>
    </row>
    <row r="17" spans="1:37" s="1301" customFormat="1" ht="18" customHeight="1">
      <c r="A17" s="925" t="s">
        <v>681</v>
      </c>
      <c r="B17" s="294" t="s">
        <v>716</v>
      </c>
      <c r="C17" s="21">
        <f ca="1">ROUND(F17*(F43+INDIRECT("'数据-取费表'!S"&amp;$G$1))/10000,0)</f>
        <v>49</v>
      </c>
      <c r="D17" s="294" t="s">
        <v>717</v>
      </c>
      <c r="E17" s="294" t="s">
        <v>718</v>
      </c>
      <c r="F17" s="23">
        <f>'数据-取费表'!B35</f>
        <v>200</v>
      </c>
      <c r="G17" s="1300"/>
      <c r="H17" s="925" t="s">
        <v>398</v>
      </c>
      <c r="I17" s="294" t="s">
        <v>719</v>
      </c>
      <c r="J17" s="2137">
        <f ca="1">ROUND(IF(AND(项目基本情况!B11="自然人",项目基本情况!B10="北京市"),J6*M17/(1+'数据-取费表'!C42),J18+J19+J20),2)</f>
        <v>0.52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27</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1503</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30</v>
      </c>
      <c r="D20" s="315" t="s">
        <v>729</v>
      </c>
      <c r="E20" s="294" t="s">
        <v>712</v>
      </c>
      <c r="F20" s="314">
        <f>'数据-取费表'!B37</f>
        <v>0.02</v>
      </c>
      <c r="G20" s="1300"/>
      <c r="H20" s="925" t="s">
        <v>680</v>
      </c>
      <c r="I20" s="147" t="s">
        <v>730</v>
      </c>
      <c r="J20" s="22">
        <f ca="1">ROUND(M20*M21/10000,2)</f>
        <v>0.52</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172.18</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10.36</v>
      </c>
      <c r="K22" s="1253" t="s">
        <v>739</v>
      </c>
      <c r="L22" s="294" t="s">
        <v>712</v>
      </c>
      <c r="M22" s="320">
        <f ca="1">INDIRECT("'数据-取费表'!Ak"&amp;$G$1)</f>
        <v>5.0000000000000001E-3</v>
      </c>
    </row>
    <row r="23" spans="1:37" s="1301" customFormat="1" ht="18" customHeight="1">
      <c r="A23" s="925" t="s">
        <v>397</v>
      </c>
      <c r="B23" s="294" t="s">
        <v>740</v>
      </c>
      <c r="C23" s="21">
        <f ca="1">IF('数据-取费表'!B22&lt;=1,ROUND(C19*F24*F23/2,0)+ROUND(C20*F24*F23/2,0),ROUND(C19*(POWER((1+F24),F23/2)-1),0)+ROUND(C20*(POWER((1+F24),F23/2)-1),0))</f>
        <v>69</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-11</v>
      </c>
      <c r="K25" s="1029" t="s">
        <v>753</v>
      </c>
      <c r="L25" s="1030"/>
      <c r="M25" s="1031"/>
    </row>
    <row r="26" spans="1:37">
      <c r="A26" s="925" t="s">
        <v>397</v>
      </c>
      <c r="B26" s="294" t="s">
        <v>754</v>
      </c>
      <c r="C26" s="21">
        <f ca="1">ROUND((C19+C20)*F26,0)</f>
        <v>307</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2071</v>
      </c>
      <c r="D29" s="1026"/>
      <c r="E29" s="1024"/>
      <c r="F29" s="1027"/>
      <c r="G29" s="1300"/>
      <c r="H29" s="325" t="s">
        <v>396</v>
      </c>
      <c r="I29" s="326" t="s">
        <v>768</v>
      </c>
      <c r="J29" s="327">
        <f ca="1">ROUND(J26/(1+F40)^F41,0)</f>
        <v>0</v>
      </c>
      <c r="K29" s="328" t="s">
        <v>769</v>
      </c>
      <c r="L29" s="329"/>
      <c r="M29" s="330">
        <f ca="1">INDIRECT("'数据-取费表'!k"&amp;$G$1)</f>
        <v>2348.6999999999998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164</v>
      </c>
      <c r="D30" s="1021" t="s">
        <v>715</v>
      </c>
      <c r="E30" s="1022"/>
      <c r="F30" s="1006"/>
      <c r="G30" s="1289"/>
      <c r="H30" s="2464"/>
      <c r="I30" s="1302"/>
      <c r="J30" s="1303"/>
      <c r="K30" s="121"/>
      <c r="L30" s="2465"/>
      <c r="M30" s="2466"/>
    </row>
    <row r="31" spans="1:37" ht="18" customHeight="1">
      <c r="A31" s="925" t="s">
        <v>398</v>
      </c>
      <c r="B31" s="294" t="s">
        <v>719</v>
      </c>
      <c r="C31" s="2137">
        <f ca="1">ROUND(IF(AND(项目基本情况!B11="自然人",项目基本情况!B10="北京市"),C6*F31/(1+'数据-取费表'!C42),C32+C33+C34),2)</f>
        <v>142.83000000000001</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5"/>
      <c r="M31" s="2466"/>
    </row>
    <row r="32" spans="1:37" ht="18" customHeight="1">
      <c r="A32" s="925" t="s">
        <v>397</v>
      </c>
      <c r="B32" s="294" t="s">
        <v>723</v>
      </c>
      <c r="C32" s="21">
        <f ca="1">IF(项目基本情况!B11="自然人","——",ROUND(C6*F32/(1+'数据-取费表'!C42),2))</f>
        <v>45.28</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97.03</v>
      </c>
      <c r="D33" s="1275" t="s">
        <v>3332</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0.52</v>
      </c>
      <c r="D34" s="316" t="s">
        <v>731</v>
      </c>
      <c r="E34" s="294" t="s">
        <v>732</v>
      </c>
      <c r="F34" s="317">
        <f>'数据-取费表'!B52</f>
        <v>30</v>
      </c>
      <c r="G34" s="1289"/>
      <c r="H34" s="2464"/>
      <c r="I34" s="1302"/>
      <c r="J34" s="1303"/>
      <c r="K34" s="2469"/>
      <c r="L34" s="2470"/>
      <c r="M34" s="2470"/>
    </row>
    <row r="35" spans="1:18" ht="18" customHeight="1">
      <c r="A35" s="1037"/>
      <c r="B35" s="1035"/>
      <c r="C35" s="26"/>
      <c r="D35" s="319"/>
      <c r="E35" s="294" t="s">
        <v>736</v>
      </c>
      <c r="F35" s="295">
        <f ca="1">INDIRECT("'数据-取费表'!r"&amp;$G$1)</f>
        <v>172.18</v>
      </c>
      <c r="G35" s="1289"/>
      <c r="H35" s="2464"/>
      <c r="I35" s="1302"/>
      <c r="J35" s="1303"/>
      <c r="K35" s="2468"/>
      <c r="L35" s="2467"/>
      <c r="M35" s="2467"/>
    </row>
    <row r="36" spans="1:18" ht="18" customHeight="1">
      <c r="A36" s="1036" t="s">
        <v>402</v>
      </c>
      <c r="B36" s="294" t="s">
        <v>738</v>
      </c>
      <c r="C36" s="21">
        <f ca="1">ROUND(C29*F36,2)</f>
        <v>10.36</v>
      </c>
      <c r="D36" s="1253" t="s">
        <v>771</v>
      </c>
      <c r="E36" s="294" t="s">
        <v>712</v>
      </c>
      <c r="F36" s="320">
        <f ca="1">INDIRECT("'数据-取费表'!Ak"&amp;$G$1)</f>
        <v>5.0000000000000001E-3</v>
      </c>
      <c r="G36" s="1289"/>
      <c r="H36" s="2467"/>
      <c r="I36" s="1302"/>
      <c r="J36" s="1303"/>
      <c r="K36" s="2326"/>
      <c r="L36" s="2467"/>
      <c r="M36" s="2467"/>
    </row>
    <row r="37" spans="1:18" ht="18" customHeight="1">
      <c r="A37" s="925" t="s">
        <v>437</v>
      </c>
      <c r="B37" s="294" t="s">
        <v>742</v>
      </c>
      <c r="C37" s="21">
        <f ca="1">ROUND(C13*F37,2)</f>
        <v>1.97</v>
      </c>
      <c r="D37" s="1253" t="s">
        <v>743</v>
      </c>
      <c r="E37" s="294" t="s">
        <v>744</v>
      </c>
      <c r="F37" s="321">
        <f ca="1">INDIRECT("'数据-取费表'!Al"&amp;$G$1)</f>
        <v>1E-3</v>
      </c>
      <c r="G37" s="1289"/>
      <c r="H37" s="2467"/>
      <c r="I37" s="1302"/>
      <c r="J37" s="1303"/>
      <c r="K37" s="2326"/>
      <c r="L37" s="2467"/>
      <c r="M37" s="2467"/>
    </row>
    <row r="38" spans="1:18" ht="18" customHeight="1" thickBot="1">
      <c r="A38" s="1023" t="s">
        <v>684</v>
      </c>
      <c r="B38" s="1024" t="s">
        <v>728</v>
      </c>
      <c r="C38" s="1025">
        <f ca="1">ROUND(C5*F38,2)</f>
        <v>8.5</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2">
        <f ca="1">C5-C30</f>
        <v>686</v>
      </c>
      <c r="D39" s="1029" t="s">
        <v>773</v>
      </c>
      <c r="E39" s="1030"/>
      <c r="F39" s="1031"/>
      <c r="G39" s="1289"/>
      <c r="H39" s="2467"/>
      <c r="I39" s="1302"/>
      <c r="J39" s="1303"/>
      <c r="K39" s="2465"/>
      <c r="L39" s="2467"/>
      <c r="M39" s="2467"/>
    </row>
    <row r="40" spans="1:18" ht="18" customHeight="1">
      <c r="A40" s="291" t="s">
        <v>395</v>
      </c>
      <c r="B40" s="292" t="s">
        <v>774</v>
      </c>
      <c r="C40" s="293">
        <f ca="1">ROUND(C39*(1-((1+F42)/(1+F40))^F41)/(F40-F42),0)</f>
        <v>9276</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19</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39494</v>
      </c>
      <c r="D43" s="328" t="s">
        <v>777</v>
      </c>
      <c r="E43" s="329" t="s">
        <v>778</v>
      </c>
      <c r="F43" s="330">
        <f ca="1">INDIRECT("'数据-取费表'!k"&amp;$G$1)</f>
        <v>2348.6999999999998</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8" thickBot="1">
      <c r="A46" s="1308" t="s">
        <v>809</v>
      </c>
      <c r="C46" s="1309">
        <f ca="1">C68-C40</f>
        <v>-9427</v>
      </c>
      <c r="D46" s="1310" t="str">
        <f>C2</f>
        <v>万元</v>
      </c>
      <c r="E46" s="1304"/>
      <c r="F46" s="1304"/>
      <c r="I46" s="1311" t="s">
        <v>810</v>
      </c>
      <c r="J46" s="1312"/>
      <c r="K46" s="1313"/>
      <c r="L46" s="1314">
        <f ca="1">IF(M47="住宅",0,IF(L48&gt;J51,L60,J60))</f>
        <v>349</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1"/>
      <c r="I47" s="1318" t="s">
        <v>815</v>
      </c>
      <c r="J47" s="1319" t="s">
        <v>3437</v>
      </c>
      <c r="K47" s="1320" t="s">
        <v>816</v>
      </c>
      <c r="L47" s="1321">
        <f ca="1">INDIRECT("'数据-取费表'!d"&amp;$G$1)</f>
        <v>40</v>
      </c>
      <c r="M47" s="1285" t="str">
        <f>IF(ISNUMBER(FIND("住宅",C1)),"住宅","非住宅")</f>
        <v>非住宅</v>
      </c>
      <c r="O47" s="1322" t="s">
        <v>403</v>
      </c>
      <c r="P47" s="1323" t="s">
        <v>817</v>
      </c>
      <c r="Q47" s="1324">
        <f ca="1">C40+J29</f>
        <v>9276</v>
      </c>
      <c r="R47" s="1324" t="s">
        <v>818</v>
      </c>
    </row>
    <row r="48" spans="1:18" s="1289" customFormat="1" ht="40.200000000000003" thickBot="1">
      <c r="A48" s="1044" t="s">
        <v>438</v>
      </c>
      <c r="B48" s="292" t="s">
        <v>692</v>
      </c>
      <c r="C48" s="1265">
        <f ca="1">C49+C53+C55</f>
        <v>0</v>
      </c>
      <c r="D48" s="1046"/>
      <c r="E48" s="1047"/>
      <c r="F48" s="905"/>
      <c r="G48" s="681"/>
      <c r="H48" s="682"/>
      <c r="I48" s="1325" t="s">
        <v>819</v>
      </c>
      <c r="J48" s="1326" t="s">
        <v>3438</v>
      </c>
      <c r="K48" s="1327" t="s">
        <v>820</v>
      </c>
      <c r="L48" s="1328">
        <f ca="1">INDIRECT("'数据-取费表'!f"&amp;$G$1)</f>
        <v>19</v>
      </c>
      <c r="O48" s="1322" t="s">
        <v>404</v>
      </c>
      <c r="P48" s="1323" t="s">
        <v>821</v>
      </c>
      <c r="Q48" s="1324">
        <f ca="1">J60</f>
        <v>349</v>
      </c>
      <c r="R48" s="1324" t="s">
        <v>822</v>
      </c>
    </row>
    <row r="49" spans="1:18" s="1289" customFormat="1" ht="13.8" thickBot="1">
      <c r="A49" s="918" t="s">
        <v>439</v>
      </c>
      <c r="B49" s="1276" t="s">
        <v>779</v>
      </c>
      <c r="C49" s="1048">
        <f ca="1">ROUND(F49*F51*F50*(1-F52)/10000,0)</f>
        <v>0</v>
      </c>
      <c r="D49" s="989" t="s">
        <v>2110</v>
      </c>
      <c r="E49" s="1277" t="s">
        <v>780</v>
      </c>
      <c r="F49" s="994"/>
      <c r="H49" s="682"/>
      <c r="I49" s="1325" t="s">
        <v>823</v>
      </c>
      <c r="J49" s="1329">
        <f>'数据-取费表'!N18</f>
        <v>2024</v>
      </c>
      <c r="K49" s="1327" t="s">
        <v>824</v>
      </c>
      <c r="L49" s="1330"/>
      <c r="O49" s="1331" t="s">
        <v>405</v>
      </c>
      <c r="P49" s="1323" t="s">
        <v>825</v>
      </c>
      <c r="Q49" s="1324">
        <f ca="1">C29</f>
        <v>2071</v>
      </c>
      <c r="R49" s="1324" t="s">
        <v>818</v>
      </c>
    </row>
    <row r="50" spans="1:18" s="1289" customFormat="1" ht="13.8" thickBot="1">
      <c r="A50" s="919"/>
      <c r="B50" s="922"/>
      <c r="C50" s="1052"/>
      <c r="D50" s="896"/>
      <c r="E50" s="990" t="s">
        <v>697</v>
      </c>
      <c r="F50" s="991">
        <f ca="1">F7</f>
        <v>2348.6999999999998</v>
      </c>
      <c r="H50" s="682"/>
      <c r="I50" s="1325" t="s">
        <v>826</v>
      </c>
      <c r="J50" s="1332">
        <f>SUMPRODUCT((I63:I65=J47)*(J62:L62=J48)*(J63:L65))</f>
        <v>60</v>
      </c>
      <c r="K50" s="1327" t="s">
        <v>827</v>
      </c>
      <c r="L50" s="1330"/>
      <c r="M50" s="1333"/>
      <c r="O50" s="1331" t="s">
        <v>406</v>
      </c>
      <c r="P50" s="1323" t="s">
        <v>828</v>
      </c>
      <c r="Q50" s="1334">
        <f ca="1">J58</f>
        <v>0.66700000000000004</v>
      </c>
      <c r="R50" s="1324"/>
    </row>
    <row r="51" spans="1:18" s="1289" customFormat="1" ht="13.8"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10350</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19</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19</v>
      </c>
      <c r="K53" s="3422" t="s">
        <v>837</v>
      </c>
      <c r="L53" s="3423"/>
      <c r="O53" s="1322" t="s">
        <v>409</v>
      </c>
      <c r="P53" s="1323" t="s">
        <v>838</v>
      </c>
      <c r="Q53" s="1324">
        <f ca="1">Q47+Q48</f>
        <v>9625</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0.66700000000000004</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1967</v>
      </c>
      <c r="D56" s="1349"/>
      <c r="E56" s="1350"/>
      <c r="F56" s="1342"/>
      <c r="I56" s="1351" t="s">
        <v>842</v>
      </c>
      <c r="J56" s="1352" t="s">
        <v>3439</v>
      </c>
      <c r="K56" s="1325" t="s">
        <v>843</v>
      </c>
      <c r="L56" s="1328" t="str">
        <f ca="1">IF(L48&lt;J51,"——",L48-J53)</f>
        <v>——</v>
      </c>
      <c r="O56" s="1322" t="s">
        <v>403</v>
      </c>
      <c r="P56" s="1323" t="s">
        <v>817</v>
      </c>
      <c r="Q56" s="1324">
        <f ca="1">C40+J29</f>
        <v>9276</v>
      </c>
      <c r="R56" s="1324" t="s">
        <v>818</v>
      </c>
    </row>
    <row r="57" spans="1:18" s="1289" customFormat="1" ht="24.6" thickBot="1">
      <c r="A57" s="1353"/>
      <c r="B57" s="893" t="s">
        <v>767</v>
      </c>
      <c r="C57" s="230">
        <f ca="1">C29</f>
        <v>2071</v>
      </c>
      <c r="D57" s="1354"/>
      <c r="E57" s="1355"/>
      <c r="F57" s="1356"/>
      <c r="I57" s="1357" t="s">
        <v>844</v>
      </c>
      <c r="J57" s="1358">
        <f ca="1">IF(OR(M47="住宅",J51&lt;L48,J56="是"),"——",J51-L48)</f>
        <v>40</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13</v>
      </c>
      <c r="D58" s="903" t="s">
        <v>715</v>
      </c>
      <c r="E58" s="904"/>
      <c r="F58" s="905"/>
      <c r="I58" s="1357" t="s">
        <v>848</v>
      </c>
      <c r="J58" s="1359">
        <f ca="1">IF(J55&lt;0.4,0.4,J55)</f>
        <v>0.66700000000000004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1381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349</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3332</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0.52</v>
      </c>
      <c r="D62" s="908" t="s">
        <v>786</v>
      </c>
      <c r="E62" s="893" t="s">
        <v>787</v>
      </c>
      <c r="F62" s="317">
        <f t="shared" si="0"/>
        <v>30</v>
      </c>
      <c r="I62" s="1364" t="s">
        <v>858</v>
      </c>
      <c r="J62" s="610" t="s">
        <v>859</v>
      </c>
      <c r="K62" s="610" t="s">
        <v>860</v>
      </c>
      <c r="L62" s="610" t="s">
        <v>861</v>
      </c>
      <c r="M62" s="1365" t="s">
        <v>862</v>
      </c>
      <c r="O62" s="1322" t="s">
        <v>409</v>
      </c>
      <c r="P62" s="1323" t="s">
        <v>863</v>
      </c>
      <c r="Q62" s="1324">
        <f ca="1">Q56+Q57</f>
        <v>9276</v>
      </c>
      <c r="R62" s="1324" t="s">
        <v>410</v>
      </c>
    </row>
    <row r="63" spans="1:18" s="1289" customFormat="1" ht="13.8" thickBot="1">
      <c r="A63" s="318"/>
      <c r="B63" s="899"/>
      <c r="C63" s="26"/>
      <c r="D63" s="909"/>
      <c r="E63" s="893" t="s">
        <v>788</v>
      </c>
      <c r="F63" s="295">
        <f t="shared" ca="1" si="0"/>
        <v>172.18</v>
      </c>
      <c r="I63" s="1364" t="s">
        <v>864</v>
      </c>
      <c r="J63" s="610">
        <v>70</v>
      </c>
      <c r="K63" s="610">
        <v>50</v>
      </c>
      <c r="L63" s="610">
        <v>80</v>
      </c>
      <c r="M63" s="1366">
        <v>0.02</v>
      </c>
      <c r="O63" s="1307" t="s">
        <v>865</v>
      </c>
      <c r="P63" s="1286"/>
      <c r="Q63" s="1286"/>
      <c r="R63" s="1286"/>
    </row>
    <row r="64" spans="1:18" s="1289" customFormat="1" ht="13.8" thickBot="1">
      <c r="A64" s="925" t="s">
        <v>789</v>
      </c>
      <c r="B64" s="893" t="s">
        <v>790</v>
      </c>
      <c r="C64" s="21">
        <f ca="1">ROUND(C57*F64,2)</f>
        <v>10.36</v>
      </c>
      <c r="D64" s="907" t="s">
        <v>791</v>
      </c>
      <c r="E64" s="893" t="s">
        <v>783</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8" thickBot="1">
      <c r="A65" s="925" t="s">
        <v>792</v>
      </c>
      <c r="B65" s="893" t="s">
        <v>742</v>
      </c>
      <c r="C65" s="21">
        <f ca="1">ROUND(C56*F65,2)</f>
        <v>1.97</v>
      </c>
      <c r="D65" s="907" t="s">
        <v>743</v>
      </c>
      <c r="E65" s="893" t="s">
        <v>744</v>
      </c>
      <c r="F65" s="321">
        <f t="shared" ca="1" si="0"/>
        <v>1E-3</v>
      </c>
      <c r="I65" s="1364" t="s">
        <v>867</v>
      </c>
      <c r="J65" s="610">
        <v>40</v>
      </c>
      <c r="K65" s="610">
        <v>30</v>
      </c>
      <c r="L65" s="610">
        <v>50</v>
      </c>
      <c r="M65" s="1366">
        <v>0.02</v>
      </c>
      <c r="O65" s="1322" t="s">
        <v>403</v>
      </c>
      <c r="P65" s="1323" t="s">
        <v>868</v>
      </c>
      <c r="Q65" s="1324">
        <f ca="1">C40+J29</f>
        <v>9276</v>
      </c>
      <c r="R65" s="1324" t="s">
        <v>818</v>
      </c>
    </row>
    <row r="66" spans="1:18" s="1289" customFormat="1" ht="16.2" thickBot="1">
      <c r="A66" s="925" t="s">
        <v>793</v>
      </c>
      <c r="B66" s="893" t="s">
        <v>728</v>
      </c>
      <c r="C66" s="21">
        <f ca="1">ROUND(C48*F66,2)</f>
        <v>0</v>
      </c>
      <c r="D66" s="907" t="s">
        <v>794</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-13</v>
      </c>
      <c r="D67" s="906" t="s">
        <v>753</v>
      </c>
      <c r="E67" s="911"/>
      <c r="F67" s="912"/>
      <c r="O67" s="1331" t="s">
        <v>405</v>
      </c>
      <c r="P67" s="1323" t="s">
        <v>850</v>
      </c>
      <c r="Q67" s="1367">
        <f ca="1">L51</f>
        <v>10350</v>
      </c>
      <c r="R67" s="1324" t="s">
        <v>870</v>
      </c>
    </row>
    <row r="68" spans="1:18" s="1289" customFormat="1" ht="16.2" thickBot="1">
      <c r="A68" s="890" t="s">
        <v>395</v>
      </c>
      <c r="B68" s="891" t="s">
        <v>774</v>
      </c>
      <c r="C68" s="293">
        <f ca="1">ROUND(C67*(1-((1+F70)/(1+F68))^F69)/(F68-F70),0)</f>
        <v>-151</v>
      </c>
      <c r="D68" s="908" t="s">
        <v>758</v>
      </c>
      <c r="E68" s="893" t="s">
        <v>759</v>
      </c>
      <c r="F68" s="304">
        <f ca="1">F40</f>
        <v>5.5E-2</v>
      </c>
      <c r="O68" s="1331" t="s">
        <v>406</v>
      </c>
      <c r="P68" s="1368" t="s">
        <v>871</v>
      </c>
      <c r="Q68" s="1324">
        <f ca="1">ROUND(Q69-Q70*Q71,0)</f>
        <v>548</v>
      </c>
      <c r="R68" s="1324" t="s">
        <v>414</v>
      </c>
    </row>
    <row r="69" spans="1:18" s="1289" customFormat="1" ht="13.8" thickBot="1">
      <c r="A69" s="894"/>
      <c r="B69" s="895"/>
      <c r="C69" s="298"/>
      <c r="D69" s="913" t="s">
        <v>762</v>
      </c>
      <c r="E69" s="893" t="s">
        <v>763</v>
      </c>
      <c r="F69" s="324">
        <f ca="1">F41</f>
        <v>19</v>
      </c>
      <c r="O69" s="1331" t="s">
        <v>411</v>
      </c>
      <c r="P69" s="1368" t="s">
        <v>872</v>
      </c>
      <c r="Q69" s="1324">
        <f ca="1">C39</f>
        <v>686</v>
      </c>
      <c r="R69" s="1324" t="s">
        <v>818</v>
      </c>
    </row>
    <row r="70" spans="1:18" s="1289" customFormat="1" ht="13.8" thickBot="1">
      <c r="A70" s="897"/>
      <c r="B70" s="898"/>
      <c r="C70" s="302"/>
      <c r="D70" s="909"/>
      <c r="E70" s="893" t="s">
        <v>766</v>
      </c>
      <c r="F70" s="988"/>
      <c r="O70" s="1331" t="s">
        <v>412</v>
      </c>
      <c r="P70" s="1368" t="s">
        <v>873</v>
      </c>
      <c r="Q70" s="1324">
        <f ca="1">C13</f>
        <v>1967</v>
      </c>
      <c r="R70" s="1324" t="s">
        <v>818</v>
      </c>
    </row>
    <row r="71" spans="1:18" s="1289" customFormat="1" ht="13.8" thickBot="1">
      <c r="A71" s="914" t="s">
        <v>396</v>
      </c>
      <c r="B71" s="915" t="s">
        <v>776</v>
      </c>
      <c r="C71" s="327">
        <f ca="1">ROUND(C68*10000/F71,0)</f>
        <v>-643</v>
      </c>
      <c r="D71" s="916" t="s">
        <v>777</v>
      </c>
      <c r="E71" s="917" t="s">
        <v>778</v>
      </c>
      <c r="F71" s="330">
        <f ca="1">F43</f>
        <v>2348.6999999999998</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138</v>
      </c>
      <c r="D75" s="1289"/>
      <c r="E75" s="1289"/>
      <c r="F75" s="1289"/>
      <c r="K75" s="1306"/>
      <c r="L75" s="1289"/>
      <c r="O75" s="1322" t="s">
        <v>409</v>
      </c>
      <c r="P75" s="1323" t="s">
        <v>838</v>
      </c>
      <c r="Q75" s="1324">
        <f ca="1">Q65+Q66</f>
        <v>9276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0.79899999999999993</v>
      </c>
    </row>
    <row r="80" spans="1:18">
      <c r="B80" s="331" t="s">
        <v>800</v>
      </c>
      <c r="C80" s="266">
        <f ca="1">ROUND(C75/C39,3)</f>
        <v>0.20100000000000001</v>
      </c>
    </row>
    <row r="81" spans="2:3">
      <c r="B81" s="262" t="s">
        <v>801</v>
      </c>
      <c r="C81" s="230"/>
    </row>
    <row r="82" spans="2:3">
      <c r="B82" s="265" t="s">
        <v>802</v>
      </c>
      <c r="C82" s="267">
        <f ca="1">1-C83</f>
        <v>0.78800000000000003</v>
      </c>
    </row>
    <row r="83" spans="2:3">
      <c r="B83" s="265" t="s">
        <v>803</v>
      </c>
      <c r="C83" s="266">
        <f ca="1">ROUND(C13/C40,3)</f>
        <v>0.21199999999999999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J11">
    <cfRule type="expression" dxfId="118" priority="2">
      <formula>$M$10="自定义"</formula>
    </cfRule>
  </conditionalFormatting>
  <conditionalFormatting sqref="K55 K60">
    <cfRule type="expression" dxfId="11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c r="D1" s="1268" t="s">
        <v>43</v>
      </c>
      <c r="E1" s="1269" t="s">
        <v>678</v>
      </c>
      <c r="F1" s="996">
        <f ca="1">J53</f>
        <v>0</v>
      </c>
      <c r="G1" s="1283">
        <f>MATCH(C1,'数据-取费表'!A6:A16,0)+5</f>
        <v>8</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7"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24" t="s">
        <v>694</v>
      </c>
      <c r="C6" s="1008">
        <f ca="1">ROUND(F6*F8*F7*(1-F9),0)</f>
        <v>0</v>
      </c>
      <c r="D6" s="147" t="s">
        <v>2106</v>
      </c>
      <c r="E6" s="294" t="s">
        <v>696</v>
      </c>
      <c r="F6" s="295">
        <f ca="1">INDIRECT("'数据-取费表'!u"&amp;$G$1)</f>
        <v>0</v>
      </c>
      <c r="G6" s="1289"/>
      <c r="H6" s="1003" t="s">
        <v>398</v>
      </c>
      <c r="I6" s="3424" t="s">
        <v>694</v>
      </c>
      <c r="J6" s="293">
        <f ca="1">ROUND(M6*M8*M7*(1-M9),0)</f>
        <v>0</v>
      </c>
      <c r="K6" s="1281" t="s">
        <v>2107</v>
      </c>
      <c r="L6" s="294" t="s">
        <v>696</v>
      </c>
      <c r="M6" s="295">
        <f ca="1">INDIRECT("'数据-取费表'!z"&amp;$G$1)</f>
        <v>0</v>
      </c>
    </row>
    <row r="7" spans="1:37" ht="18" customHeight="1">
      <c r="A7" s="1007"/>
      <c r="B7" s="3425"/>
      <c r="C7" s="1009"/>
      <c r="D7" s="299"/>
      <c r="E7" s="1010" t="s">
        <v>697</v>
      </c>
      <c r="F7" s="295">
        <f ca="1">IF(INDIRECT("'数据-取费表'!ah"&amp;$G$1)="",INDIRECT("'数据-取费表'!k"&amp;$G$1),INDIRECT("'数据-取费表'!ah"&amp;$G$1))</f>
        <v>0</v>
      </c>
      <c r="G7" s="1289"/>
      <c r="H7" s="296"/>
      <c r="I7" s="3425"/>
      <c r="J7" s="298"/>
      <c r="K7" s="299"/>
      <c r="L7" s="294" t="s">
        <v>697</v>
      </c>
      <c r="M7" s="295">
        <f ca="1">F7</f>
        <v>0</v>
      </c>
    </row>
    <row r="8" spans="1:37" ht="18" customHeight="1">
      <c r="A8" s="296"/>
      <c r="B8" s="3425"/>
      <c r="C8" s="298"/>
      <c r="D8" s="299"/>
      <c r="E8" s="294" t="s">
        <v>698</v>
      </c>
      <c r="F8" s="295">
        <f ca="1">INDIRECT("'数据-取费表'!ai"&amp;$G$1)</f>
        <v>0</v>
      </c>
      <c r="G8" s="1289"/>
      <c r="H8" s="296"/>
      <c r="I8" s="3425"/>
      <c r="J8" s="298"/>
      <c r="K8" s="299"/>
      <c r="L8" s="294" t="s">
        <v>698</v>
      </c>
      <c r="M8" s="295">
        <f ca="1">INDIRECT("'数据-取费表'!ai"&amp;$G$1)</f>
        <v>0</v>
      </c>
    </row>
    <row r="9" spans="1:37" ht="18" customHeight="1">
      <c r="A9" s="296"/>
      <c r="B9" s="3426"/>
      <c r="C9" s="298"/>
      <c r="D9" s="299"/>
      <c r="E9" s="294" t="s">
        <v>699</v>
      </c>
      <c r="F9" s="304">
        <f ca="1">INDIRECT("'数据-取费表'!w"&amp;$G$1)</f>
        <v>0</v>
      </c>
      <c r="G9" s="1289"/>
      <c r="H9" s="296"/>
      <c r="I9" s="342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3332</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0.02</v>
      </c>
      <c r="G20" s="1300"/>
      <c r="H20" s="925" t="s">
        <v>680</v>
      </c>
      <c r="I20" s="147" t="s">
        <v>730</v>
      </c>
      <c r="J20" s="22">
        <f ca="1">ROUND(M20*M21,0)</f>
        <v>0</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4"/>
      <c r="I30" s="1302"/>
      <c r="J30" s="1303"/>
      <c r="K30" s="121"/>
      <c r="L30" s="2465"/>
      <c r="M30" s="2466"/>
    </row>
    <row r="31" spans="1:37" ht="18" customHeight="1">
      <c r="A31" s="925"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5"/>
      <c r="M31" s="246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3332</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IF(项目基本情况!B11="自然人","——",ROUND(F34*F35,0))</f>
        <v>0</v>
      </c>
      <c r="D34" s="316" t="s">
        <v>731</v>
      </c>
      <c r="E34" s="294" t="s">
        <v>732</v>
      </c>
      <c r="F34" s="317">
        <f>'数据-取费表'!B52</f>
        <v>30</v>
      </c>
      <c r="G34" s="1289"/>
      <c r="H34" s="2464"/>
      <c r="I34" s="1302"/>
      <c r="J34" s="1303"/>
      <c r="K34" s="2469"/>
      <c r="L34" s="2470"/>
      <c r="M34" s="2470"/>
    </row>
    <row r="35" spans="1:18" ht="18" customHeight="1">
      <c r="A35" s="1037"/>
      <c r="B35" s="1035"/>
      <c r="C35" s="26"/>
      <c r="D35" s="319"/>
      <c r="E35" s="294" t="s">
        <v>736</v>
      </c>
      <c r="F35" s="295">
        <f ca="1">INDIRECT("'数据-取费表'!r"&amp;$G$1)</f>
        <v>0</v>
      </c>
      <c r="G35" s="1289"/>
      <c r="H35" s="2464"/>
      <c r="I35" s="1302"/>
      <c r="J35" s="1303"/>
      <c r="K35" s="2468"/>
      <c r="L35" s="2467"/>
      <c r="M35" s="2467"/>
    </row>
    <row r="36" spans="1:18" ht="18" customHeight="1">
      <c r="A36" s="1036" t="s">
        <v>402</v>
      </c>
      <c r="B36" s="294" t="s">
        <v>738</v>
      </c>
      <c r="C36" s="21">
        <f ca="1">ROUND(C29*F36,0)</f>
        <v>0</v>
      </c>
      <c r="D36" s="1253" t="s">
        <v>771</v>
      </c>
      <c r="E36" s="294" t="s">
        <v>712</v>
      </c>
      <c r="F36" s="320">
        <f ca="1">INDIRECT("'数据-取费表'!Ak"&amp;$G$1)</f>
        <v>0</v>
      </c>
      <c r="G36" s="1289"/>
      <c r="H36" s="2467"/>
      <c r="I36" s="1302"/>
      <c r="J36" s="1303"/>
      <c r="K36" s="2326"/>
      <c r="L36" s="2467"/>
      <c r="M36" s="2467"/>
    </row>
    <row r="37" spans="1:18" ht="18" customHeight="1">
      <c r="A37" s="925" t="s">
        <v>437</v>
      </c>
      <c r="B37" s="294" t="s">
        <v>742</v>
      </c>
      <c r="C37" s="21">
        <f ca="1">ROUND(C13*F37,0)</f>
        <v>0</v>
      </c>
      <c r="D37" s="1253" t="s">
        <v>743</v>
      </c>
      <c r="E37" s="294" t="s">
        <v>744</v>
      </c>
      <c r="F37" s="321">
        <f ca="1">INDIRECT("'数据-取费表'!Al"&amp;$G$1)</f>
        <v>0</v>
      </c>
      <c r="G37" s="1289"/>
      <c r="H37" s="2467"/>
      <c r="I37" s="1302"/>
      <c r="J37" s="1303"/>
      <c r="K37" s="2326"/>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2">
        <f ca="1">C5-C30</f>
        <v>0</v>
      </c>
      <c r="D39" s="1029" t="s">
        <v>773</v>
      </c>
      <c r="E39" s="1030"/>
      <c r="F39" s="1031"/>
      <c r="G39" s="1289"/>
      <c r="H39" s="2467"/>
      <c r="I39" s="1302"/>
      <c r="J39" s="1303"/>
      <c r="K39" s="2465"/>
      <c r="L39" s="2467"/>
      <c r="M39" s="2467"/>
    </row>
    <row r="40" spans="1:18" ht="18" customHeight="1">
      <c r="A40" s="291" t="s">
        <v>395</v>
      </c>
      <c r="B40" s="292" t="s">
        <v>774</v>
      </c>
      <c r="C40" s="293">
        <f ca="1">ROUND(C39*(1-((1+F42)/(1+F40))^F41)/(F40-F42),0)</f>
        <v>0</v>
      </c>
      <c r="D40" s="316" t="s">
        <v>758</v>
      </c>
      <c r="E40" s="294" t="s">
        <v>759</v>
      </c>
      <c r="F40" s="304">
        <f ca="1">INDIRECT("'数据-取费表'!I"&amp;$G$1)</f>
        <v>0.05</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3" t="s">
        <v>3348</v>
      </c>
      <c r="B45" s="1304"/>
      <c r="C45" s="1373">
        <f ca="1">ROUND((C68-C40)/10000,4)</f>
        <v>0</v>
      </c>
      <c r="D45" s="3124" t="s">
        <v>3349</v>
      </c>
      <c r="E45" s="1304"/>
      <c r="F45" s="1304"/>
      <c r="O45" s="1307" t="s">
        <v>808</v>
      </c>
      <c r="P45" s="1363"/>
      <c r="Q45" s="1363"/>
      <c r="R45" s="1363"/>
    </row>
    <row r="46" spans="1:18" s="1289" customFormat="1" ht="13.8" thickBot="1">
      <c r="A46" s="1308" t="s">
        <v>809</v>
      </c>
      <c r="C46" s="1309">
        <f ca="1">ROUND(C45,0)</f>
        <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f ca="1">C40+J29</f>
        <v>0</v>
      </c>
      <c r="R47" s="1324" t="s">
        <v>818</v>
      </c>
    </row>
    <row r="48" spans="1:18" s="1289" customFormat="1" ht="40.200000000000003"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f ca="1">IF(M47="住宅",IF(D1="——",MAX(J51,L48),MAX(J51,L48-'数据-取费表'!B24)),IF(D1="——",MIN(J51,L48),MIN(J51,L48-'数据-取费表'!B24)))</f>
        <v>0</v>
      </c>
      <c r="K53" s="3422" t="s">
        <v>837</v>
      </c>
      <c r="L53" s="3423"/>
      <c r="O53" s="1322" t="s">
        <v>409</v>
      </c>
      <c r="P53" s="1323" t="s">
        <v>838</v>
      </c>
      <c r="Q53" s="1324" t="e">
        <f ca="1">Q47+Q48</f>
        <v>#DIV/0!</v>
      </c>
      <c r="R53" s="1324" t="s">
        <v>410</v>
      </c>
    </row>
    <row r="54" spans="1:18" s="1289" customFormat="1" ht="13.8"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f ca="1">C40+J29</f>
        <v>0</v>
      </c>
      <c r="R56" s="1324" t="s">
        <v>818</v>
      </c>
    </row>
    <row r="57" spans="1:18" s="1289" customFormat="1" ht="24.6"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3332</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7">
        <f t="shared" si="0"/>
        <v>30</v>
      </c>
      <c r="I62" s="1364" t="s">
        <v>858</v>
      </c>
      <c r="J62" s="610" t="s">
        <v>859</v>
      </c>
      <c r="K62" s="610" t="s">
        <v>860</v>
      </c>
      <c r="L62" s="610" t="s">
        <v>861</v>
      </c>
      <c r="M62" s="1365" t="s">
        <v>862</v>
      </c>
      <c r="O62" s="1322" t="s">
        <v>409</v>
      </c>
      <c r="P62" s="1323" t="s">
        <v>863</v>
      </c>
      <c r="Q62" s="1324" t="e">
        <f ca="1">Q56+Q57</f>
        <v>#DIV/0!</v>
      </c>
      <c r="R62" s="1324" t="s">
        <v>410</v>
      </c>
    </row>
    <row r="63" spans="1:18" s="1289" customFormat="1" ht="13.8"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f ca="1">C40+J29</f>
        <v>0</v>
      </c>
      <c r="R65" s="1324" t="s">
        <v>818</v>
      </c>
    </row>
    <row r="66" spans="1:18" s="1289" customFormat="1" ht="16.2"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24.6"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3">
        <f ca="1">ROUND(C67*(1-((1+F70)/(1+F68))^F69)/(F68-F70),0)</f>
        <v>0</v>
      </c>
      <c r="D68" s="908" t="s">
        <v>758</v>
      </c>
      <c r="E68" s="893" t="s">
        <v>759</v>
      </c>
      <c r="F68" s="304">
        <f ca="1">F40</f>
        <v>0.05</v>
      </c>
      <c r="O68" s="1331" t="s">
        <v>406</v>
      </c>
      <c r="P68" s="1368" t="s">
        <v>871</v>
      </c>
      <c r="Q68" s="1324">
        <f ca="1">ROUND(Q69-Q70*Q71,0)</f>
        <v>0</v>
      </c>
      <c r="R68" s="1324" t="s">
        <v>414</v>
      </c>
    </row>
    <row r="69" spans="1:18" s="1289" customFormat="1" ht="13.8" thickBot="1">
      <c r="A69" s="894"/>
      <c r="B69" s="895"/>
      <c r="C69" s="298"/>
      <c r="D69" s="913" t="s">
        <v>762</v>
      </c>
      <c r="E69" s="893" t="s">
        <v>763</v>
      </c>
      <c r="F69" s="324">
        <f ca="1">F41</f>
        <v>0</v>
      </c>
      <c r="O69" s="1331" t="s">
        <v>411</v>
      </c>
      <c r="P69" s="1368" t="s">
        <v>872</v>
      </c>
      <c r="Q69" s="1324">
        <f ca="1">C39</f>
        <v>0</v>
      </c>
      <c r="R69" s="1324" t="s">
        <v>818</v>
      </c>
    </row>
    <row r="70" spans="1:18" s="1289" customFormat="1" ht="13.8" thickBot="1">
      <c r="A70" s="897"/>
      <c r="B70" s="898"/>
      <c r="C70" s="302"/>
      <c r="D70" s="909"/>
      <c r="E70" s="893" t="s">
        <v>766</v>
      </c>
      <c r="F70" s="988"/>
      <c r="O70" s="1331" t="s">
        <v>412</v>
      </c>
      <c r="P70" s="1368" t="s">
        <v>873</v>
      </c>
      <c r="Q70" s="1324">
        <f ca="1">C13</f>
        <v>0</v>
      </c>
      <c r="R70" s="1324" t="s">
        <v>818</v>
      </c>
    </row>
    <row r="71" spans="1:18" s="1289" customFormat="1" ht="13.8" thickBot="1">
      <c r="A71" s="914" t="s">
        <v>396</v>
      </c>
      <c r="B71" s="915" t="s">
        <v>776</v>
      </c>
      <c r="C71" s="327" t="e">
        <f ca="1">ROUND(C68/F71,0)</f>
        <v>#DIV/0!</v>
      </c>
      <c r="D71" s="916" t="s">
        <v>777</v>
      </c>
      <c r="E71" s="917" t="s">
        <v>778</v>
      </c>
      <c r="F71" s="330">
        <f ca="1">F43</f>
        <v>0</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2" customHeight="1">
      <c r="A2" s="1290" t="s">
        <v>2311</v>
      </c>
      <c r="B2" s="2588" t="e">
        <f>IF(D2="——",C40,C40+E2)</f>
        <v>#DIV/0!</v>
      </c>
      <c r="C2" s="2589" t="s">
        <v>2312</v>
      </c>
      <c r="D2" s="3132" t="s">
        <v>3355</v>
      </c>
      <c r="E2" s="3133"/>
      <c r="F2" s="2591"/>
      <c r="G2" s="2592"/>
      <c r="H2" s="2593"/>
      <c r="I2" s="2594"/>
      <c r="J2" s="3433" t="s">
        <v>2313</v>
      </c>
      <c r="K2" s="3434"/>
      <c r="L2" s="2595" t="s">
        <v>2314</v>
      </c>
      <c r="M2" s="2595" t="s">
        <v>2315</v>
      </c>
      <c r="N2" s="2595" t="s">
        <v>2316</v>
      </c>
      <c r="O2" s="2595" t="s">
        <v>2317</v>
      </c>
      <c r="P2" s="2595" t="s">
        <v>2318</v>
      </c>
      <c r="Q2" s="2596" t="s">
        <v>2319</v>
      </c>
      <c r="R2" s="2597" t="s">
        <v>2320</v>
      </c>
      <c r="S2" s="2586"/>
      <c r="T2" s="2586"/>
      <c r="U2" s="2586"/>
      <c r="V2" s="2594"/>
    </row>
    <row r="3" spans="1:22" s="2598" customFormat="1" ht="13.2" customHeight="1">
      <c r="A3" s="2599" t="s">
        <v>2321</v>
      </c>
      <c r="B3" s="2600" t="e">
        <f>ROUND(B2*10000/B4,0)</f>
        <v>#DIV/0!</v>
      </c>
      <c r="C3" s="2589" t="s">
        <v>2322</v>
      </c>
      <c r="D3" s="2589"/>
      <c r="E3" s="2590"/>
      <c r="F3" s="2591"/>
      <c r="G3" s="2592"/>
      <c r="H3" s="2593"/>
      <c r="I3" s="2594"/>
      <c r="J3" s="3435" t="s">
        <v>2323</v>
      </c>
      <c r="K3" s="3436"/>
      <c r="L3" s="2601"/>
      <c r="M3" s="2601"/>
      <c r="N3" s="2601"/>
      <c r="O3" s="2601"/>
      <c r="P3" s="2601"/>
      <c r="Q3" s="2602"/>
      <c r="R3" s="2603">
        <f>SUM(L3:Q3)</f>
        <v>0</v>
      </c>
      <c r="S3" s="2586"/>
      <c r="T3" s="2586"/>
      <c r="U3" s="2586"/>
      <c r="V3" s="2594"/>
    </row>
    <row r="4" spans="1:22" s="2598" customFormat="1" ht="13.2" customHeight="1">
      <c r="A4" s="2604" t="s">
        <v>2324</v>
      </c>
      <c r="B4" s="2605"/>
      <c r="C4" s="2589"/>
      <c r="D4" s="2589"/>
      <c r="E4" s="2590"/>
      <c r="F4" s="2591"/>
      <c r="G4" s="2592"/>
      <c r="H4" s="2593"/>
      <c r="I4" s="2594"/>
      <c r="J4" s="3435" t="s">
        <v>2325</v>
      </c>
      <c r="K4" s="3436"/>
      <c r="L4" s="2606"/>
      <c r="M4" s="2606"/>
      <c r="N4" s="2606"/>
      <c r="O4" s="2606"/>
      <c r="P4" s="2606"/>
      <c r="Q4" s="2607"/>
      <c r="R4" s="2608">
        <f>SUM(L4:Q4)</f>
        <v>0</v>
      </c>
      <c r="S4" s="2586"/>
      <c r="T4" s="2586"/>
      <c r="U4" s="2586"/>
      <c r="V4" s="2594"/>
    </row>
    <row r="5" spans="1:22" s="2598" customFormat="1" ht="13.2"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2" customHeight="1" thickBot="1">
      <c r="A6" s="3441" t="s">
        <v>2329</v>
      </c>
      <c r="B6" s="3442"/>
      <c r="C6" s="3443"/>
      <c r="D6" s="2615"/>
      <c r="E6" s="2616"/>
      <c r="F6" s="2617"/>
      <c r="G6" s="2618"/>
      <c r="H6" s="2593"/>
      <c r="I6" s="2594"/>
      <c r="J6" s="3427">
        <v>1</v>
      </c>
      <c r="K6" s="3428"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2" customHeight="1">
      <c r="A7" s="2621" t="s">
        <v>2339</v>
      </c>
      <c r="B7" s="2622"/>
      <c r="C7" s="2623"/>
      <c r="D7" s="2624">
        <f>SUM(D9,D10,D11,D17,0)</f>
        <v>0</v>
      </c>
      <c r="E7" s="2625" t="e">
        <f>E9+E10+E11+E17</f>
        <v>#DIV/0!</v>
      </c>
      <c r="F7" s="2626"/>
      <c r="G7" s="2627"/>
      <c r="H7" s="2593"/>
      <c r="I7" s="2594"/>
      <c r="J7" s="3427"/>
      <c r="K7" s="3429"/>
      <c r="L7" s="2628" t="s">
        <v>2340</v>
      </c>
      <c r="M7" s="2629"/>
      <c r="N7" s="2605"/>
      <c r="O7" s="2630"/>
      <c r="P7" s="2630"/>
      <c r="Q7" s="2631">
        <v>365</v>
      </c>
      <c r="R7" s="2632">
        <f>ROUND(M7*N7*O7*P7*Q7/10000,0)</f>
        <v>0</v>
      </c>
      <c r="S7" s="2586"/>
      <c r="T7" s="2586" t="s">
        <v>2341</v>
      </c>
      <c r="U7" s="2586"/>
      <c r="V7" s="2594"/>
    </row>
    <row r="8" spans="1:22" s="2598" customFormat="1" ht="13.2" customHeight="1">
      <c r="A8" s="2633" t="s">
        <v>2342</v>
      </c>
      <c r="B8" s="3444" t="s">
        <v>2343</v>
      </c>
      <c r="C8" s="3445"/>
      <c r="D8" s="2634" t="s">
        <v>2344</v>
      </c>
      <c r="E8" s="2635" t="s">
        <v>2345</v>
      </c>
      <c r="F8" s="2636" t="s">
        <v>2346</v>
      </c>
      <c r="G8" s="2637"/>
      <c r="H8" s="2593"/>
      <c r="I8" s="2594"/>
      <c r="J8" s="3427"/>
      <c r="K8" s="3429"/>
      <c r="L8" s="2628" t="s">
        <v>2347</v>
      </c>
      <c r="M8" s="2629"/>
      <c r="N8" s="2605"/>
      <c r="O8" s="2630"/>
      <c r="P8" s="2630"/>
      <c r="Q8" s="2631">
        <v>365</v>
      </c>
      <c r="R8" s="2632">
        <f t="shared" ref="R8:R13" si="0">ROUND(M8*N8*O8*P8*Q8/10000,0)</f>
        <v>0</v>
      </c>
      <c r="S8" s="2586"/>
      <c r="T8" s="2586" t="s">
        <v>2348</v>
      </c>
      <c r="U8" s="2586"/>
      <c r="V8" s="2594"/>
    </row>
    <row r="9" spans="1:22" s="2598" customFormat="1" ht="13.2" customHeight="1">
      <c r="A9" s="2633">
        <v>1</v>
      </c>
      <c r="B9" s="3444" t="s">
        <v>2349</v>
      </c>
      <c r="C9" s="3445"/>
      <c r="D9" s="2634">
        <f>ROUND(D6*E9,0)</f>
        <v>0</v>
      </c>
      <c r="E9" s="2638"/>
      <c r="F9" s="2639" t="s">
        <v>2350</v>
      </c>
      <c r="G9" s="2618"/>
      <c r="H9" s="2593"/>
      <c r="I9" s="2594"/>
      <c r="J9" s="3427"/>
      <c r="K9" s="3429"/>
      <c r="L9" s="2628" t="s">
        <v>2351</v>
      </c>
      <c r="M9" s="2629"/>
      <c r="N9" s="2605"/>
      <c r="O9" s="2630"/>
      <c r="P9" s="2630"/>
      <c r="Q9" s="2631">
        <v>365</v>
      </c>
      <c r="R9" s="2632">
        <f t="shared" si="0"/>
        <v>0</v>
      </c>
      <c r="S9" s="2586"/>
      <c r="T9" s="2586"/>
      <c r="U9" s="2586"/>
      <c r="V9" s="2594"/>
    </row>
    <row r="10" spans="1:22" s="2598" customFormat="1" ht="13.2" customHeight="1">
      <c r="A10" s="2633">
        <v>2</v>
      </c>
      <c r="B10" s="3444" t="s">
        <v>2352</v>
      </c>
      <c r="C10" s="3445"/>
      <c r="D10" s="2634">
        <f>ROUND(D6*E10,0)</f>
        <v>0</v>
      </c>
      <c r="E10" s="2638"/>
      <c r="F10" s="2639" t="s">
        <v>2353</v>
      </c>
      <c r="G10" s="2618"/>
      <c r="H10" s="2593"/>
      <c r="I10" s="2594"/>
      <c r="J10" s="3427"/>
      <c r="K10" s="3429"/>
      <c r="L10" s="2628" t="s">
        <v>2354</v>
      </c>
      <c r="M10" s="2629"/>
      <c r="N10" s="2605"/>
      <c r="O10" s="2630"/>
      <c r="P10" s="2630"/>
      <c r="Q10" s="2631">
        <v>365</v>
      </c>
      <c r="R10" s="2632">
        <f t="shared" si="0"/>
        <v>0</v>
      </c>
      <c r="S10" s="2586"/>
      <c r="T10" s="2586"/>
      <c r="U10" s="2586"/>
      <c r="V10" s="2594"/>
    </row>
    <row r="11" spans="1:22" s="2598" customFormat="1" ht="13.2" customHeight="1">
      <c r="A11" s="2633">
        <v>3</v>
      </c>
      <c r="B11" s="3444" t="s">
        <v>2355</v>
      </c>
      <c r="C11" s="3445"/>
      <c r="D11" s="2634">
        <f>D12+D14+D15+D16</f>
        <v>0</v>
      </c>
      <c r="E11" s="2640" t="e">
        <f>D11/D6</f>
        <v>#DIV/0!</v>
      </c>
      <c r="F11" s="2636"/>
      <c r="G11" s="2637"/>
      <c r="H11" s="2593"/>
      <c r="I11" s="2594"/>
      <c r="J11" s="3427"/>
      <c r="K11" s="3429"/>
      <c r="L11" s="2628" t="s">
        <v>2356</v>
      </c>
      <c r="M11" s="2629"/>
      <c r="N11" s="2605"/>
      <c r="O11" s="2630"/>
      <c r="P11" s="2630"/>
      <c r="Q11" s="2631">
        <v>365</v>
      </c>
      <c r="R11" s="2632">
        <f t="shared" si="0"/>
        <v>0</v>
      </c>
      <c r="S11" s="2586"/>
      <c r="T11" s="2586"/>
      <c r="U11" s="2586"/>
      <c r="V11" s="2594"/>
    </row>
    <row r="12" spans="1:22" s="2598" customFormat="1" ht="13.2" customHeight="1">
      <c r="A12" s="2641" t="s">
        <v>2357</v>
      </c>
      <c r="B12" s="3437" t="s">
        <v>2358</v>
      </c>
      <c r="C12" s="3438"/>
      <c r="D12" s="2642">
        <f>ROUND(D13*1.2%*(1-30%),0)</f>
        <v>0</v>
      </c>
      <c r="E12" s="2643">
        <v>1.2E-2</v>
      </c>
      <c r="F12" s="2636" t="s">
        <v>2359</v>
      </c>
      <c r="G12" s="2637"/>
      <c r="H12" s="2593"/>
      <c r="I12" s="2594"/>
      <c r="J12" s="3427"/>
      <c r="K12" s="3429"/>
      <c r="L12" s="2628" t="s">
        <v>2360</v>
      </c>
      <c r="M12" s="2629"/>
      <c r="N12" s="2605"/>
      <c r="O12" s="2630"/>
      <c r="P12" s="2630"/>
      <c r="Q12" s="2631">
        <v>365</v>
      </c>
      <c r="R12" s="2632">
        <f t="shared" si="0"/>
        <v>0</v>
      </c>
      <c r="S12" s="2586"/>
      <c r="T12" s="2586"/>
      <c r="U12" s="2586"/>
      <c r="V12" s="2594"/>
    </row>
    <row r="13" spans="1:22" s="2598" customFormat="1" ht="13.2" customHeight="1">
      <c r="A13" s="2641"/>
      <c r="B13" s="2644"/>
      <c r="C13" s="2645" t="s">
        <v>2361</v>
      </c>
      <c r="D13" s="2646"/>
      <c r="E13" s="2647"/>
      <c r="F13" s="2636"/>
      <c r="G13" s="2637"/>
      <c r="H13" s="2593"/>
      <c r="I13" s="2594"/>
      <c r="J13" s="3427"/>
      <c r="K13" s="3429"/>
      <c r="L13" s="2628" t="s">
        <v>2362</v>
      </c>
      <c r="M13" s="2629"/>
      <c r="N13" s="2605"/>
      <c r="O13" s="2630"/>
      <c r="P13" s="2630"/>
      <c r="Q13" s="2631">
        <v>365</v>
      </c>
      <c r="R13" s="2632">
        <f t="shared" si="0"/>
        <v>0</v>
      </c>
      <c r="S13" s="2586"/>
      <c r="T13" s="2586"/>
      <c r="U13" s="2586"/>
      <c r="V13" s="2594"/>
    </row>
    <row r="14" spans="1:22" s="2598" customFormat="1" ht="13.2" customHeight="1">
      <c r="A14" s="2641" t="s">
        <v>2363</v>
      </c>
      <c r="B14" s="3437" t="s">
        <v>2364</v>
      </c>
      <c r="C14" s="3438"/>
      <c r="D14" s="2642">
        <f>ROUND(E14*B5/10000,0)</f>
        <v>0</v>
      </c>
      <c r="E14" s="2631"/>
      <c r="F14" s="2636" t="s">
        <v>2365</v>
      </c>
      <c r="G14" s="2637"/>
      <c r="H14" s="2593"/>
      <c r="I14" s="2594"/>
      <c r="J14" s="3427"/>
      <c r="K14" s="3430"/>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2367</v>
      </c>
      <c r="B15" s="3437" t="s">
        <v>2368</v>
      </c>
      <c r="C15" s="3438"/>
      <c r="D15" s="2642">
        <f>ROUND(D6*E15,0)</f>
        <v>0</v>
      </c>
      <c r="E15" s="2643">
        <v>5.5E-2</v>
      </c>
      <c r="F15" s="2636" t="s">
        <v>2369</v>
      </c>
      <c r="G15" s="2618"/>
      <c r="H15" s="2593"/>
      <c r="I15" s="2594"/>
      <c r="J15" s="3427">
        <v>2</v>
      </c>
      <c r="K15" s="3428"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2" customHeight="1">
      <c r="A16" s="2641" t="s">
        <v>2376</v>
      </c>
      <c r="B16" s="3437" t="s">
        <v>2377</v>
      </c>
      <c r="C16" s="3438"/>
      <c r="D16" s="2653">
        <f>D6*E16</f>
        <v>0</v>
      </c>
      <c r="E16" s="2654"/>
      <c r="F16" s="2639" t="s">
        <v>2378</v>
      </c>
      <c r="G16" s="2618"/>
      <c r="H16" s="2593"/>
      <c r="I16" s="2594"/>
      <c r="J16" s="3427"/>
      <c r="K16" s="3429"/>
      <c r="L16" s="2628" t="s">
        <v>2379</v>
      </c>
      <c r="M16" s="2629"/>
      <c r="N16" s="2629"/>
      <c r="O16" s="2630"/>
      <c r="P16" s="2631">
        <v>365</v>
      </c>
      <c r="Q16" s="2605"/>
      <c r="R16" s="2652">
        <f>ROUND(M16*N16*O16*P16/10000,0)</f>
        <v>0</v>
      </c>
      <c r="S16" s="2586"/>
      <c r="T16" s="2586"/>
      <c r="U16" s="2586"/>
      <c r="V16" s="2594"/>
    </row>
    <row r="17" spans="1:22" s="2598" customFormat="1" ht="13.2" customHeight="1" thickBot="1">
      <c r="A17" s="2655">
        <v>4</v>
      </c>
      <c r="B17" s="3439" t="s">
        <v>2380</v>
      </c>
      <c r="C17" s="3440"/>
      <c r="D17" s="2656">
        <f>ROUND(D6*E17,0)</f>
        <v>0</v>
      </c>
      <c r="E17" s="2657"/>
      <c r="F17" s="2658" t="s">
        <v>2381</v>
      </c>
      <c r="G17" s="2618"/>
      <c r="H17" s="2593"/>
      <c r="I17" s="2594"/>
      <c r="J17" s="3427"/>
      <c r="K17" s="3429"/>
      <c r="L17" s="2628" t="s">
        <v>2382</v>
      </c>
      <c r="M17" s="2629"/>
      <c r="N17" s="2629"/>
      <c r="O17" s="2630"/>
      <c r="P17" s="2631">
        <v>365</v>
      </c>
      <c r="Q17" s="2605"/>
      <c r="R17" s="2652">
        <f>ROUND(M17*N17*O17*P17/10000,0)</f>
        <v>0</v>
      </c>
      <c r="S17" s="2586"/>
      <c r="T17" s="2586"/>
      <c r="U17" s="2586"/>
      <c r="V17" s="2594"/>
    </row>
    <row r="18" spans="1:22" s="2598" customFormat="1" ht="13.2" customHeight="1" thickBot="1">
      <c r="A18" s="2621" t="s">
        <v>2383</v>
      </c>
      <c r="B18" s="2622"/>
      <c r="C18" s="2622"/>
      <c r="D18" s="2659">
        <f>ROUND(D6*E18,0)</f>
        <v>0</v>
      </c>
      <c r="E18" s="2660"/>
      <c r="F18" s="2661" t="s">
        <v>2384</v>
      </c>
      <c r="G18" s="2618"/>
      <c r="H18" s="2593"/>
      <c r="I18" s="2594"/>
      <c r="J18" s="3427"/>
      <c r="K18" s="3429"/>
      <c r="L18" s="2628" t="s">
        <v>2385</v>
      </c>
      <c r="M18" s="2629"/>
      <c r="N18" s="2629"/>
      <c r="O18" s="2630"/>
      <c r="P18" s="2631">
        <v>365</v>
      </c>
      <c r="Q18" s="2605"/>
      <c r="R18" s="2652">
        <f>ROUND(M18*N18*O18*P18/10000,0)</f>
        <v>0</v>
      </c>
      <c r="S18" s="2586"/>
      <c r="T18" s="2586"/>
      <c r="U18" s="2586"/>
      <c r="V18" s="2594"/>
    </row>
    <row r="19" spans="1:22" s="2598" customFormat="1" ht="13.2" customHeight="1" thickBot="1">
      <c r="A19" s="2662" t="s">
        <v>2386</v>
      </c>
      <c r="B19" s="2616"/>
      <c r="C19" s="2616"/>
      <c r="D19" s="2616"/>
      <c r="E19" s="2616"/>
      <c r="F19" s="2617"/>
      <c r="G19" s="2637"/>
      <c r="H19" s="2593"/>
      <c r="I19" s="2594"/>
      <c r="J19" s="3427"/>
      <c r="K19" s="3430"/>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27">
        <v>3</v>
      </c>
      <c r="K20" s="3428"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2" customHeight="1">
      <c r="A21" s="2621"/>
      <c r="B21" s="2622"/>
      <c r="C21" s="2667" t="s">
        <v>2395</v>
      </c>
      <c r="D21" s="2668" t="s">
        <v>2396</v>
      </c>
      <c r="E21" s="2669" t="s">
        <v>2397</v>
      </c>
      <c r="F21" s="2665"/>
      <c r="G21" s="2637"/>
      <c r="H21" s="2593"/>
      <c r="I21" s="2594"/>
      <c r="J21" s="3427"/>
      <c r="K21" s="3429"/>
      <c r="L21" s="2628" t="s">
        <v>2398</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2399</v>
      </c>
      <c r="D22" s="2672" t="s">
        <v>2400</v>
      </c>
      <c r="E22" s="2673" t="s">
        <v>2401</v>
      </c>
      <c r="F22" s="2665"/>
      <c r="G22" s="2586"/>
      <c r="H22" s="2593"/>
      <c r="I22" s="2594"/>
      <c r="J22" s="3427"/>
      <c r="K22" s="3429"/>
      <c r="L22" s="2628" t="s">
        <v>2402</v>
      </c>
      <c r="M22" s="2629"/>
      <c r="N22" s="2629"/>
      <c r="O22" s="2630"/>
      <c r="P22" s="2631">
        <v>365</v>
      </c>
      <c r="Q22" s="2605"/>
      <c r="R22" s="2670">
        <f>ROUND(M22*N22*O22*P22/10000,0)</f>
        <v>0</v>
      </c>
      <c r="S22" s="2586"/>
      <c r="T22" s="2586"/>
      <c r="U22" s="2586"/>
      <c r="V22" s="2594"/>
    </row>
    <row r="23" spans="1:22" s="2598" customFormat="1" ht="13.2" customHeight="1">
      <c r="A23" s="2674">
        <v>1</v>
      </c>
      <c r="B23" s="2675" t="s">
        <v>2403</v>
      </c>
      <c r="C23" s="2676">
        <f>D6</f>
        <v>0</v>
      </c>
      <c r="D23" s="2677">
        <f>C23*(1+D24)</f>
        <v>0</v>
      </c>
      <c r="E23" s="2678">
        <f>D23*(1+E24)</f>
        <v>0</v>
      </c>
      <c r="F23" s="2679"/>
      <c r="G23" s="2680"/>
      <c r="H23" s="2593"/>
      <c r="I23" s="2594"/>
      <c r="J23" s="3427"/>
      <c r="K23" s="3429"/>
      <c r="L23" s="2628" t="s">
        <v>2404</v>
      </c>
      <c r="M23" s="2629"/>
      <c r="N23" s="2629"/>
      <c r="O23" s="2630"/>
      <c r="P23" s="2631">
        <v>365</v>
      </c>
      <c r="Q23" s="2605"/>
      <c r="R23" s="2670">
        <f>ROUND(M23*N23*O23*P23/10000,0)</f>
        <v>0</v>
      </c>
      <c r="S23" s="2586"/>
      <c r="T23" s="2586"/>
      <c r="U23" s="2586"/>
      <c r="V23" s="2594"/>
    </row>
    <row r="24" spans="1:22" s="2598" customFormat="1" ht="13.2" customHeight="1">
      <c r="A24" s="2681"/>
      <c r="B24" s="2682" t="s">
        <v>2405</v>
      </c>
      <c r="C24" s="2683"/>
      <c r="D24" s="2684"/>
      <c r="E24" s="2685"/>
      <c r="F24" s="2686"/>
      <c r="G24" s="2680"/>
      <c r="H24" s="2593"/>
      <c r="I24" s="2594"/>
      <c r="J24" s="3427"/>
      <c r="K24" s="3430"/>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2" customHeight="1">
      <c r="A26" s="2674">
        <v>2</v>
      </c>
      <c r="B26" s="2675" t="s">
        <v>2407</v>
      </c>
      <c r="C26" s="2676">
        <f>D7</f>
        <v>0</v>
      </c>
      <c r="D26" s="2677">
        <f>D23*D27</f>
        <v>0</v>
      </c>
      <c r="E26" s="2678">
        <f>E23*E27</f>
        <v>0</v>
      </c>
      <c r="F26" s="2679"/>
      <c r="G26" s="2680"/>
      <c r="H26" s="2593"/>
      <c r="I26" s="2594"/>
      <c r="J26" s="3431">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2" customHeight="1">
      <c r="A27" s="2681"/>
      <c r="B27" s="2682" t="s">
        <v>2413</v>
      </c>
      <c r="C27" s="2699" t="e">
        <f>E7</f>
        <v>#DIV/0!</v>
      </c>
      <c r="D27" s="2684"/>
      <c r="E27" s="2685"/>
      <c r="F27" s="2686"/>
      <c r="G27" s="2680"/>
      <c r="H27" s="2700"/>
      <c r="I27" s="2692"/>
      <c r="J27" s="3432"/>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2"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2" customHeight="1">
      <c r="A32" s="2674">
        <v>4</v>
      </c>
      <c r="B32" s="2675" t="s">
        <v>2421</v>
      </c>
      <c r="C32" s="2676">
        <f>C23-C26-C29</f>
        <v>0</v>
      </c>
      <c r="D32" s="2677">
        <f>D23-D26-D29</f>
        <v>0</v>
      </c>
      <c r="E32" s="2678">
        <f>E23-E26-E29</f>
        <v>0</v>
      </c>
      <c r="F32" s="2679"/>
      <c r="G32" s="2586"/>
      <c r="H32" s="2593"/>
      <c r="I32" s="2594"/>
      <c r="J32" s="3433" t="s">
        <v>2313</v>
      </c>
      <c r="K32" s="3434"/>
      <c r="L32" s="2595" t="s">
        <v>2314</v>
      </c>
      <c r="M32" s="2595" t="s">
        <v>2315</v>
      </c>
      <c r="N32" s="2595" t="s">
        <v>2316</v>
      </c>
      <c r="O32" s="2595" t="s">
        <v>2317</v>
      </c>
      <c r="P32" s="2595" t="s">
        <v>2318</v>
      </c>
      <c r="Q32" s="2596" t="s">
        <v>2319</v>
      </c>
      <c r="R32" s="2715" t="s">
        <v>2320</v>
      </c>
      <c r="S32" s="2586"/>
      <c r="T32" s="2586"/>
      <c r="U32" s="2586"/>
      <c r="V32" s="2692"/>
    </row>
    <row r="33" spans="1:23" s="2598" customFormat="1" ht="13.2" customHeight="1">
      <c r="A33" s="2674"/>
      <c r="B33" s="2675"/>
      <c r="C33" s="2676"/>
      <c r="D33" s="2716"/>
      <c r="E33" s="2717"/>
      <c r="F33" s="2679"/>
      <c r="G33" s="2586"/>
      <c r="H33" s="2700"/>
      <c r="I33" s="2692"/>
      <c r="J33" s="3435" t="s">
        <v>2323</v>
      </c>
      <c r="K33" s="3436"/>
      <c r="L33" s="2601"/>
      <c r="M33" s="2601"/>
      <c r="N33" s="2601"/>
      <c r="O33" s="2601"/>
      <c r="P33" s="2601"/>
      <c r="Q33" s="2602"/>
      <c r="R33" s="2718">
        <f>SUM(L33:Q33)</f>
        <v>0</v>
      </c>
      <c r="S33" s="2586"/>
      <c r="T33" s="2586"/>
      <c r="U33" s="2586"/>
      <c r="V33" s="2594"/>
    </row>
    <row r="34" spans="1:23" s="2598" customFormat="1" ht="13.2" customHeight="1">
      <c r="A34" s="2674">
        <v>5</v>
      </c>
      <c r="B34" s="2675" t="s">
        <v>2422</v>
      </c>
      <c r="C34" s="2719"/>
      <c r="D34" s="2720"/>
      <c r="E34" s="2721"/>
      <c r="F34" s="2679"/>
      <c r="G34" s="2586"/>
      <c r="H34" s="2700"/>
      <c r="I34" s="2692"/>
      <c r="J34" s="3435" t="s">
        <v>2325</v>
      </c>
      <c r="K34" s="3436"/>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2" customHeight="1" thickBot="1">
      <c r="A36" s="2674">
        <v>7</v>
      </c>
      <c r="B36" s="2728" t="s">
        <v>2424</v>
      </c>
      <c r="C36" s="2729"/>
      <c r="D36" s="2730"/>
      <c r="E36" s="2731"/>
      <c r="F36" s="2732">
        <f>C36+D36+E36</f>
        <v>0</v>
      </c>
      <c r="G36" s="2586"/>
      <c r="H36" s="2593"/>
      <c r="I36" s="2594"/>
      <c r="J36" s="3427">
        <v>1</v>
      </c>
      <c r="K36" s="3428" t="s">
        <v>2425</v>
      </c>
      <c r="L36" s="2619"/>
      <c r="M36" s="2620"/>
      <c r="N36" s="2620"/>
      <c r="O36" s="2620"/>
      <c r="P36" s="2620"/>
      <c r="Q36" s="2620"/>
      <c r="R36" s="2603" t="s">
        <v>2337</v>
      </c>
      <c r="S36" s="2586"/>
      <c r="T36" s="2586" t="s">
        <v>2338</v>
      </c>
      <c r="U36" s="2586"/>
      <c r="V36" s="2594"/>
    </row>
    <row r="37" spans="1:23" s="2598" customFormat="1" ht="13.2" customHeight="1">
      <c r="A37" s="2674"/>
      <c r="B37" s="2675"/>
      <c r="C37" s="2675"/>
      <c r="D37" s="2675"/>
      <c r="E37" s="2675"/>
      <c r="F37" s="2679"/>
      <c r="G37" s="2586"/>
      <c r="H37" s="2593"/>
      <c r="I37" s="2594"/>
      <c r="J37" s="3427"/>
      <c r="K37" s="3429"/>
      <c r="L37" s="2628"/>
      <c r="M37" s="2629"/>
      <c r="N37" s="2605"/>
      <c r="O37" s="2630"/>
      <c r="P37" s="2630"/>
      <c r="Q37" s="2631"/>
      <c r="R37" s="2632"/>
      <c r="S37" s="2586"/>
      <c r="T37" s="2586" t="s">
        <v>2341</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27"/>
      <c r="K38" s="3429"/>
      <c r="L38" s="2628"/>
      <c r="M38" s="2629"/>
      <c r="N38" s="2605"/>
      <c r="O38" s="2630"/>
      <c r="P38" s="2630"/>
      <c r="Q38" s="2631"/>
      <c r="R38" s="2632"/>
      <c r="S38" s="2586"/>
      <c r="T38" s="2586" t="s">
        <v>2348</v>
      </c>
      <c r="U38" s="2586"/>
      <c r="V38" s="2594"/>
    </row>
    <row r="39" spans="1:23" s="2598" customFormat="1" ht="13.2" customHeight="1">
      <c r="A39" s="2674">
        <v>9</v>
      </c>
      <c r="B39" s="2675" t="s">
        <v>2426</v>
      </c>
      <c r="C39" s="2642" t="e">
        <f>C38</f>
        <v>#DIV/0!</v>
      </c>
      <c r="D39" s="2675">
        <f>D38/(1+D34)^C36</f>
        <v>0</v>
      </c>
      <c r="E39" s="2675">
        <f>E38/(1+E34)^(C36+D36)</f>
        <v>0</v>
      </c>
      <c r="F39" s="2679"/>
      <c r="G39" s="2594"/>
      <c r="H39" s="2593"/>
      <c r="I39" s="2594"/>
      <c r="J39" s="3427"/>
      <c r="K39" s="3429"/>
      <c r="L39" s="2628"/>
      <c r="M39" s="2629"/>
      <c r="N39" s="2605"/>
      <c r="O39" s="2630"/>
      <c r="P39" s="2630"/>
      <c r="Q39" s="2631"/>
      <c r="R39" s="2632"/>
      <c r="S39" s="2586"/>
      <c r="T39" s="2586"/>
      <c r="U39" s="2586"/>
      <c r="V39" s="2594"/>
    </row>
    <row r="40" spans="1:23" s="2598" customFormat="1" ht="13.2" customHeight="1">
      <c r="A40" s="2733">
        <v>10</v>
      </c>
      <c r="B40" s="2675" t="s">
        <v>2427</v>
      </c>
      <c r="C40" s="2734" t="e">
        <f>C39+D39+E39</f>
        <v>#DIV/0!</v>
      </c>
      <c r="D40" s="2735"/>
      <c r="E40" s="2735"/>
      <c r="F40" s="2736"/>
      <c r="G40" s="2586"/>
      <c r="H40" s="2593"/>
      <c r="I40" s="2594"/>
      <c r="J40" s="3427"/>
      <c r="K40" s="3430"/>
      <c r="L40" s="2648" t="s">
        <v>2366</v>
      </c>
      <c r="M40" s="2649"/>
      <c r="N40" s="2649"/>
      <c r="O40" s="2650"/>
      <c r="P40" s="2650"/>
      <c r="Q40" s="2651"/>
      <c r="R40" s="2597">
        <f>SUM(R37:R39)</f>
        <v>0</v>
      </c>
      <c r="S40" s="2586"/>
      <c r="T40" s="2586"/>
      <c r="U40" s="2586"/>
      <c r="V40" s="2594"/>
    </row>
    <row r="41" spans="1:23" s="2598" customFormat="1" ht="13.2"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2" customHeight="1">
      <c r="G42" s="2593"/>
      <c r="H42" s="2593"/>
      <c r="I42" s="2594"/>
      <c r="J42" s="3431">
        <v>3</v>
      </c>
      <c r="K42" s="2694" t="s">
        <v>2408</v>
      </c>
      <c r="L42" s="2695"/>
      <c r="M42" s="2696"/>
      <c r="N42" s="2697" t="s">
        <v>2409</v>
      </c>
      <c r="O42" s="2697" t="s">
        <v>2410</v>
      </c>
      <c r="P42" s="2698" t="s">
        <v>2411</v>
      </c>
      <c r="Q42" s="2698" t="s">
        <v>2412</v>
      </c>
      <c r="R42" s="2603" t="s">
        <v>2337</v>
      </c>
      <c r="S42" s="2637"/>
      <c r="T42" s="2637"/>
      <c r="U42" s="2586"/>
      <c r="V42" s="2594"/>
    </row>
    <row r="43" spans="1:23" ht="13.2" customHeight="1">
      <c r="A43" s="2598"/>
      <c r="B43" s="2598"/>
      <c r="C43" s="2598"/>
      <c r="D43" s="2598"/>
      <c r="E43" s="2598"/>
      <c r="F43" s="2598"/>
      <c r="I43" s="2581"/>
      <c r="J43" s="3432"/>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8"/>
      <c r="M2" s="2479"/>
      <c r="N2" s="2479"/>
      <c r="O2" s="2479"/>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50178.659999999996</v>
      </c>
      <c r="E3" s="851"/>
      <c r="F3" s="1740"/>
      <c r="G3" s="851"/>
      <c r="H3" s="851"/>
      <c r="I3" s="851"/>
      <c r="J3" s="851"/>
      <c r="K3" s="1737"/>
      <c r="L3" s="2478"/>
      <c r="M3" s="2479"/>
      <c r="N3" s="2479"/>
      <c r="O3" s="2479"/>
      <c r="P3" s="1738"/>
      <c r="Q3" s="1739"/>
      <c r="R3" s="1739"/>
      <c r="S3" s="1739"/>
      <c r="T3" s="1739"/>
      <c r="U3" s="1739"/>
      <c r="V3" s="1739"/>
      <c r="W3" s="1739"/>
      <c r="X3" s="1739"/>
      <c r="Y3" s="1739"/>
      <c r="Z3" s="1739"/>
      <c r="AA3" s="1739"/>
      <c r="AB3" s="1739"/>
      <c r="AC3" s="995"/>
    </row>
    <row r="4" spans="1:29" ht="14.4">
      <c r="A4" s="345" t="s">
        <v>1666</v>
      </c>
      <c r="B4" s="346"/>
      <c r="C4" s="3388" t="s">
        <v>1667</v>
      </c>
      <c r="D4" s="3389"/>
      <c r="E4" s="3390" t="s">
        <v>1668</v>
      </c>
      <c r="F4" s="3391"/>
      <c r="G4" s="3388" t="s">
        <v>1669</v>
      </c>
      <c r="H4" s="3389"/>
      <c r="I4" s="3388" t="s">
        <v>1670</v>
      </c>
      <c r="J4" s="3389"/>
      <c r="K4" s="1741" t="s">
        <v>1671</v>
      </c>
      <c r="L4" s="2480"/>
      <c r="M4" s="2481"/>
      <c r="N4" s="2481"/>
      <c r="O4" s="2481"/>
      <c r="P4" s="3450" t="s">
        <v>1672</v>
      </c>
      <c r="Q4" s="3451"/>
      <c r="R4" s="3454" t="s">
        <v>1668</v>
      </c>
      <c r="S4" s="3455"/>
      <c r="T4" s="3454" t="s">
        <v>1669</v>
      </c>
      <c r="U4" s="3455"/>
      <c r="V4" s="3372" t="s">
        <v>1670</v>
      </c>
      <c r="W4" s="3372"/>
      <c r="X4" s="1262"/>
      <c r="Y4" s="3454" t="s">
        <v>1672</v>
      </c>
      <c r="Z4" s="3455"/>
      <c r="AA4" s="3449" t="s">
        <v>1668</v>
      </c>
      <c r="AB4" s="3449" t="s">
        <v>1669</v>
      </c>
      <c r="AC4" s="3449" t="s">
        <v>1670</v>
      </c>
    </row>
    <row r="5" spans="1:29">
      <c r="A5" s="348"/>
      <c r="B5" s="349"/>
      <c r="C5" s="3407" t="s">
        <v>1673</v>
      </c>
      <c r="D5" s="3408"/>
      <c r="E5" s="3456" t="s">
        <v>1674</v>
      </c>
      <c r="F5" s="3419"/>
      <c r="G5" s="3407" t="s">
        <v>1675</v>
      </c>
      <c r="H5" s="3408"/>
      <c r="I5" s="3407" t="s">
        <v>1676</v>
      </c>
      <c r="J5" s="3408"/>
      <c r="K5" s="1742"/>
      <c r="L5" s="2480"/>
      <c r="M5" s="2481"/>
      <c r="N5" s="2481"/>
      <c r="O5" s="2481"/>
      <c r="P5" s="3452"/>
      <c r="Q5" s="3395"/>
      <c r="R5" s="3400"/>
      <c r="S5" s="3401"/>
      <c r="T5" s="3400"/>
      <c r="U5" s="3401"/>
      <c r="V5" s="3372"/>
      <c r="W5" s="3372"/>
      <c r="X5" s="1262"/>
      <c r="Y5" s="3400"/>
      <c r="Z5" s="3401"/>
      <c r="AA5" s="3416"/>
      <c r="AB5" s="3416"/>
      <c r="AC5" s="3416"/>
    </row>
    <row r="6" spans="1:29" ht="15" thickBot="1">
      <c r="A6" s="350"/>
      <c r="B6" s="351"/>
      <c r="C6" s="3405" t="s">
        <v>1677</v>
      </c>
      <c r="D6" s="3406"/>
      <c r="E6" s="3413" t="s">
        <v>1677</v>
      </c>
      <c r="F6" s="3414"/>
      <c r="G6" s="3405" t="s">
        <v>1677</v>
      </c>
      <c r="H6" s="3406"/>
      <c r="I6" s="3405" t="s">
        <v>1677</v>
      </c>
      <c r="J6" s="3406"/>
      <c r="K6" s="1742" t="s">
        <v>1678</v>
      </c>
      <c r="L6" s="2480"/>
      <c r="M6" s="2481"/>
      <c r="N6" s="2481"/>
      <c r="O6" s="2481"/>
      <c r="P6" s="3453"/>
      <c r="Q6" s="3397"/>
      <c r="R6" s="3400"/>
      <c r="S6" s="3401"/>
      <c r="T6" s="3402"/>
      <c r="U6" s="3403"/>
      <c r="V6" s="3372"/>
      <c r="W6" s="3372"/>
      <c r="X6" s="1262"/>
      <c r="Y6" s="3402"/>
      <c r="Z6" s="3403"/>
      <c r="AA6" s="3417"/>
      <c r="AB6" s="3417"/>
      <c r="AC6" s="3417"/>
    </row>
    <row r="7" spans="1:29" s="102" customFormat="1" ht="15" thickBot="1">
      <c r="A7" s="352" t="s">
        <v>1679</v>
      </c>
      <c r="B7" s="353"/>
      <c r="C7" s="354">
        <f>'数据-取费表'!B2</f>
        <v>45903</v>
      </c>
      <c r="D7" s="355">
        <v>100</v>
      </c>
      <c r="E7" s="356"/>
      <c r="F7" s="357">
        <f>SUMIF(58:58,YEAR(E7)&amp;"-"&amp;MONTH(E7),59:59)</f>
        <v>0</v>
      </c>
      <c r="G7" s="356"/>
      <c r="H7" s="355">
        <f>SUMIF(58:58,YEAR(G7)&amp;"-"&amp;MONTH(G7),59:59)</f>
        <v>0</v>
      </c>
      <c r="I7" s="356"/>
      <c r="J7" s="355">
        <f>SUMIF(58:58,YEAR(I7)&amp;"-"&amp;MONTH(I7),59:59)</f>
        <v>0</v>
      </c>
      <c r="K7" s="1743"/>
      <c r="L7" s="2482"/>
      <c r="M7" s="2435"/>
      <c r="N7" s="2435"/>
      <c r="O7" s="2435"/>
      <c r="P7" s="3411" t="s">
        <v>1680</v>
      </c>
      <c r="Q7" s="3412"/>
      <c r="R7" s="664" t="s">
        <v>20</v>
      </c>
      <c r="S7" s="665">
        <f t="shared" ref="S7:S15" si="0">F7</f>
        <v>0</v>
      </c>
      <c r="T7" s="664" t="s">
        <v>20</v>
      </c>
      <c r="U7" s="665">
        <f t="shared" ref="U7:U15" si="1">H7</f>
        <v>0</v>
      </c>
      <c r="V7" s="664" t="s">
        <v>20</v>
      </c>
      <c r="W7" s="665">
        <f t="shared" ref="W7:W15" si="2">J7</f>
        <v>0</v>
      </c>
      <c r="X7" s="666"/>
      <c r="Y7" s="3411" t="s">
        <v>1680</v>
      </c>
      <c r="Z7" s="3410"/>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2"/>
      <c r="M8" s="2435"/>
      <c r="N8" s="2435"/>
      <c r="O8" s="2435"/>
      <c r="P8" s="3411" t="s">
        <v>1683</v>
      </c>
      <c r="Q8" s="3410"/>
      <c r="R8" s="664" t="s">
        <v>20</v>
      </c>
      <c r="S8" s="665">
        <f t="shared" si="0"/>
        <v>100</v>
      </c>
      <c r="T8" s="664" t="s">
        <v>20</v>
      </c>
      <c r="U8" s="665">
        <f t="shared" si="1"/>
        <v>100</v>
      </c>
      <c r="V8" s="664" t="s">
        <v>20</v>
      </c>
      <c r="W8" s="665">
        <f t="shared" si="2"/>
        <v>100</v>
      </c>
      <c r="X8" s="666"/>
      <c r="Y8" s="3411" t="s">
        <v>1683</v>
      </c>
      <c r="Z8" s="341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2"/>
      <c r="M9" s="2435"/>
      <c r="N9" s="2435"/>
      <c r="O9" s="2435"/>
      <c r="P9" s="337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1743"/>
      <c r="L10" s="2483"/>
      <c r="M10" s="2484"/>
      <c r="N10" s="2484"/>
      <c r="O10" s="2484"/>
      <c r="P10" s="337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370"/>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2"/>
      <c r="M12" s="2435"/>
      <c r="N12" s="2435"/>
      <c r="O12" s="2435"/>
      <c r="P12" s="3370"/>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6"/>
      <c r="M13" s="2481"/>
      <c r="N13" s="2481"/>
      <c r="O13" s="2481"/>
      <c r="P13" s="3370"/>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6"/>
      <c r="M14" s="2481"/>
      <c r="N14" s="2481"/>
      <c r="O14" s="2481"/>
      <c r="P14" s="3370"/>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376" t="s">
        <v>1691</v>
      </c>
      <c r="Q15" s="1260" t="str">
        <f t="shared" si="6"/>
        <v>居住社区成熟度</v>
      </c>
      <c r="R15" s="667" t="s">
        <v>18</v>
      </c>
      <c r="S15" s="668">
        <f t="shared" si="0"/>
        <v>100</v>
      </c>
      <c r="T15" s="667" t="s">
        <v>18</v>
      </c>
      <c r="U15" s="668">
        <f t="shared" si="1"/>
        <v>100</v>
      </c>
      <c r="V15" s="667" t="s">
        <v>18</v>
      </c>
      <c r="W15" s="668">
        <f t="shared" si="2"/>
        <v>100</v>
      </c>
      <c r="X15" s="1262"/>
      <c r="Y15" s="3378"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6"/>
      <c r="M16" s="2481"/>
      <c r="N16" s="2481"/>
      <c r="O16" s="2481"/>
      <c r="P16" s="3377"/>
      <c r="Q16" s="1260"/>
      <c r="R16" s="667"/>
      <c r="S16" s="668"/>
      <c r="T16" s="667"/>
      <c r="U16" s="668"/>
      <c r="V16" s="667"/>
      <c r="W16" s="668"/>
      <c r="X16" s="1262"/>
      <c r="Y16" s="3379"/>
      <c r="Z16" s="1261"/>
      <c r="AA16" s="1261">
        <v>1</v>
      </c>
      <c r="AB16" s="1261">
        <v>1</v>
      </c>
      <c r="AC16" s="1261">
        <v>1</v>
      </c>
    </row>
    <row r="17" spans="1:29" ht="165.6">
      <c r="A17" s="367"/>
      <c r="B17" s="390" t="s">
        <v>1259</v>
      </c>
      <c r="C17" s="1751" t="str">
        <f>估价对象房地状况!C6</f>
        <v>周边1公里范围内有特8内路、348路、805快路、806路、814路、846路等多条公交线路及地铁1、10号线国贸站，公交便捷度好。综上分析，估价对象所在区位整体交通便捷度较好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377"/>
      <c r="Q17" s="1260" t="str">
        <f>B17</f>
        <v>交通便捷度</v>
      </c>
      <c r="R17" s="667" t="s">
        <v>18</v>
      </c>
      <c r="S17" s="668">
        <f>F17</f>
        <v>100</v>
      </c>
      <c r="T17" s="667" t="s">
        <v>18</v>
      </c>
      <c r="U17" s="668">
        <f>H17</f>
        <v>100</v>
      </c>
      <c r="V17" s="667" t="s">
        <v>18</v>
      </c>
      <c r="W17" s="668">
        <f>J17</f>
        <v>100</v>
      </c>
      <c r="X17" s="1262"/>
      <c r="Y17" s="3379"/>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6"/>
      <c r="M18" s="2481"/>
      <c r="N18" s="2481"/>
      <c r="O18" s="2481"/>
      <c r="P18" s="3377"/>
      <c r="Q18" s="1260"/>
      <c r="R18" s="667"/>
      <c r="S18" s="668"/>
      <c r="T18" s="667"/>
      <c r="U18" s="668"/>
      <c r="V18" s="667"/>
      <c r="W18" s="668"/>
      <c r="X18" s="1262"/>
      <c r="Y18" s="3379"/>
      <c r="Z18" s="1261"/>
      <c r="AA18" s="1261">
        <v>1</v>
      </c>
      <c r="AB18" s="1261">
        <v>1</v>
      </c>
      <c r="AC18" s="1261">
        <v>1</v>
      </c>
    </row>
    <row r="19" spans="1:29" ht="207">
      <c r="A19" s="367"/>
      <c r="B19" s="390" t="s">
        <v>1258</v>
      </c>
      <c r="C19" s="1751"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377"/>
      <c r="Q19" s="1260" t="str">
        <f>B19</f>
        <v>公共配套设施</v>
      </c>
      <c r="R19" s="667" t="s">
        <v>18</v>
      </c>
      <c r="S19" s="668">
        <f>F19</f>
        <v>100</v>
      </c>
      <c r="T19" s="667" t="s">
        <v>18</v>
      </c>
      <c r="U19" s="668">
        <f>H19</f>
        <v>100</v>
      </c>
      <c r="V19" s="667" t="s">
        <v>18</v>
      </c>
      <c r="W19" s="668">
        <f>J19</f>
        <v>100</v>
      </c>
      <c r="X19" s="1262"/>
      <c r="Y19" s="3379"/>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6"/>
      <c r="M20" s="2481"/>
      <c r="N20" s="2481"/>
      <c r="O20" s="2481"/>
      <c r="P20" s="3377"/>
      <c r="Q20" s="1260"/>
      <c r="R20" s="667"/>
      <c r="S20" s="668"/>
      <c r="T20" s="667"/>
      <c r="U20" s="668"/>
      <c r="V20" s="667"/>
      <c r="W20" s="668"/>
      <c r="X20" s="1262"/>
      <c r="Y20" s="3379"/>
      <c r="Z20" s="1261"/>
      <c r="AA20" s="1261">
        <v>1</v>
      </c>
      <c r="AB20" s="1261">
        <v>1</v>
      </c>
      <c r="AC20" s="1261">
        <v>1</v>
      </c>
    </row>
    <row r="21" spans="1:29" ht="27.6">
      <c r="A21" s="367"/>
      <c r="B21" s="586"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377"/>
      <c r="Q21" s="1260" t="str">
        <f>B21</f>
        <v>基础设施水平</v>
      </c>
      <c r="R21" s="667" t="s">
        <v>14</v>
      </c>
      <c r="S21" s="668">
        <f>F21</f>
        <v>100</v>
      </c>
      <c r="T21" s="667" t="s">
        <v>14</v>
      </c>
      <c r="U21" s="668">
        <f>H21</f>
        <v>100</v>
      </c>
      <c r="V21" s="667" t="s">
        <v>14</v>
      </c>
      <c r="W21" s="668">
        <f>J21</f>
        <v>100</v>
      </c>
      <c r="X21" s="1262"/>
      <c r="Y21" s="3379"/>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6"/>
      <c r="M22" s="2481"/>
      <c r="N22" s="2481"/>
      <c r="O22" s="2481"/>
      <c r="P22" s="3377"/>
      <c r="Q22" s="1260"/>
      <c r="R22" s="667"/>
      <c r="S22" s="668"/>
      <c r="T22" s="667"/>
      <c r="U22" s="668"/>
      <c r="V22" s="667"/>
      <c r="W22" s="668"/>
      <c r="X22" s="1262"/>
      <c r="Y22" s="3379"/>
      <c r="Z22" s="1261"/>
      <c r="AA22" s="1261">
        <v>1</v>
      </c>
      <c r="AB22" s="1261">
        <v>1</v>
      </c>
      <c r="AC22" s="1261">
        <v>1</v>
      </c>
    </row>
    <row r="23" spans="1:29" ht="110.4">
      <c r="A23" s="367"/>
      <c r="B23" s="390" t="s">
        <v>1261</v>
      </c>
      <c r="C23" s="1751" t="str">
        <f>估价对象房地状况!C9</f>
        <v>周边约1公里范围内有庆丰公园，CBD历史文化公园，中国海关博物馆等，南侧有通惠河经过，环境状况较好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377"/>
      <c r="Q23" s="1260" t="str">
        <f>B23</f>
        <v>自然及人文环境</v>
      </c>
      <c r="R23" s="667" t="s">
        <v>18</v>
      </c>
      <c r="S23" s="668">
        <f>F23</f>
        <v>100</v>
      </c>
      <c r="T23" s="667" t="s">
        <v>18</v>
      </c>
      <c r="U23" s="668">
        <f>H23</f>
        <v>100</v>
      </c>
      <c r="V23" s="667" t="s">
        <v>18</v>
      </c>
      <c r="W23" s="668">
        <f>J23</f>
        <v>100</v>
      </c>
      <c r="X23" s="1262"/>
      <c r="Y23" s="3379"/>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6"/>
      <c r="M24" s="2481"/>
      <c r="N24" s="2481"/>
      <c r="O24" s="2481"/>
      <c r="P24" s="3377"/>
      <c r="Q24" s="1260"/>
      <c r="R24" s="667"/>
      <c r="S24" s="668"/>
      <c r="T24" s="667"/>
      <c r="U24" s="668"/>
      <c r="V24" s="667"/>
      <c r="W24" s="668"/>
      <c r="X24" s="1262"/>
      <c r="Y24" s="3379"/>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6"/>
      <c r="M25" s="2481"/>
      <c r="N25" s="2481"/>
      <c r="O25" s="2481"/>
      <c r="P25" s="3377"/>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79"/>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6"/>
      <c r="M26" s="2481"/>
      <c r="N26" s="2481"/>
      <c r="O26" s="2481"/>
      <c r="P26" s="3377"/>
      <c r="Q26" s="1260" t="str">
        <f t="shared" si="11"/>
        <v>朝向</v>
      </c>
      <c r="R26" s="667" t="s">
        <v>18</v>
      </c>
      <c r="S26" s="668">
        <f t="shared" si="12"/>
        <v>100</v>
      </c>
      <c r="T26" s="667" t="s">
        <v>18</v>
      </c>
      <c r="U26" s="668">
        <f t="shared" si="13"/>
        <v>100</v>
      </c>
      <c r="V26" s="667" t="s">
        <v>18</v>
      </c>
      <c r="W26" s="668">
        <f t="shared" si="14"/>
        <v>100</v>
      </c>
      <c r="X26" s="1262"/>
      <c r="Y26" s="3379"/>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2"/>
      <c r="M27" s="2435"/>
      <c r="N27" s="2435"/>
      <c r="O27" s="2435"/>
      <c r="P27" s="3377"/>
      <c r="Q27" s="530">
        <f t="shared" si="11"/>
        <v>111</v>
      </c>
      <c r="R27" s="664" t="s">
        <v>18</v>
      </c>
      <c r="S27" s="665">
        <f t="shared" si="12"/>
        <v>100</v>
      </c>
      <c r="T27" s="664" t="s">
        <v>18</v>
      </c>
      <c r="U27" s="665">
        <f t="shared" si="13"/>
        <v>100</v>
      </c>
      <c r="V27" s="664" t="s">
        <v>18</v>
      </c>
      <c r="W27" s="665">
        <f t="shared" si="14"/>
        <v>100</v>
      </c>
      <c r="X27" s="666"/>
      <c r="Y27" s="3379"/>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6"/>
      <c r="M28" s="2481"/>
      <c r="N28" s="2481"/>
      <c r="O28" s="2481"/>
      <c r="P28" s="3377"/>
      <c r="Q28" s="1260">
        <f t="shared" si="11"/>
        <v>111</v>
      </c>
      <c r="R28" s="667" t="s">
        <v>18</v>
      </c>
      <c r="S28" s="668">
        <f t="shared" si="12"/>
        <v>100</v>
      </c>
      <c r="T28" s="667" t="s">
        <v>18</v>
      </c>
      <c r="U28" s="668">
        <f t="shared" si="13"/>
        <v>100</v>
      </c>
      <c r="V28" s="667" t="s">
        <v>18</v>
      </c>
      <c r="W28" s="668">
        <f t="shared" si="14"/>
        <v>100</v>
      </c>
      <c r="X28" s="1262"/>
      <c r="Y28" s="3379"/>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6"/>
      <c r="M29" s="2481"/>
      <c r="N29" s="2481"/>
      <c r="O29" s="2481"/>
      <c r="P29" s="3377"/>
      <c r="Q29" s="1260">
        <f t="shared" si="11"/>
        <v>111</v>
      </c>
      <c r="R29" s="667" t="s">
        <v>18</v>
      </c>
      <c r="S29" s="668">
        <f t="shared" si="12"/>
        <v>100</v>
      </c>
      <c r="T29" s="667" t="s">
        <v>18</v>
      </c>
      <c r="U29" s="668">
        <f t="shared" si="13"/>
        <v>100</v>
      </c>
      <c r="V29" s="667" t="s">
        <v>18</v>
      </c>
      <c r="W29" s="668">
        <f t="shared" si="14"/>
        <v>100</v>
      </c>
      <c r="X29" s="1262"/>
      <c r="Y29" s="3379"/>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6"/>
      <c r="M30" s="2481"/>
      <c r="N30" s="2481"/>
      <c r="O30" s="2481"/>
      <c r="P30" s="3377"/>
      <c r="Q30" s="1260">
        <f t="shared" si="11"/>
        <v>111</v>
      </c>
      <c r="R30" s="667" t="s">
        <v>18</v>
      </c>
      <c r="S30" s="668">
        <f t="shared" si="12"/>
        <v>100</v>
      </c>
      <c r="T30" s="667" t="s">
        <v>18</v>
      </c>
      <c r="U30" s="668">
        <f t="shared" si="13"/>
        <v>100</v>
      </c>
      <c r="V30" s="667" t="s">
        <v>18</v>
      </c>
      <c r="W30" s="668">
        <f t="shared" si="14"/>
        <v>100</v>
      </c>
      <c r="X30" s="1262"/>
      <c r="Y30" s="3379"/>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6"/>
      <c r="M31" s="2481"/>
      <c r="N31" s="2481"/>
      <c r="O31" s="2481"/>
      <c r="P31" s="3377"/>
      <c r="Q31" s="1260">
        <f t="shared" si="11"/>
        <v>111</v>
      </c>
      <c r="R31" s="667" t="s">
        <v>18</v>
      </c>
      <c r="S31" s="668">
        <f t="shared" si="12"/>
        <v>100</v>
      </c>
      <c r="T31" s="667" t="s">
        <v>18</v>
      </c>
      <c r="U31" s="668">
        <f t="shared" si="13"/>
        <v>100</v>
      </c>
      <c r="V31" s="667" t="s">
        <v>18</v>
      </c>
      <c r="W31" s="668">
        <f t="shared" si="14"/>
        <v>100</v>
      </c>
      <c r="X31" s="1262"/>
      <c r="Y31" s="3379"/>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6"/>
      <c r="M32" s="2481"/>
      <c r="N32" s="2481"/>
      <c r="O32" s="2481"/>
      <c r="P32" s="3380" t="s">
        <v>1696</v>
      </c>
      <c r="Q32" s="1260" t="str">
        <f t="shared" si="11"/>
        <v>建筑类型</v>
      </c>
      <c r="R32" s="667" t="s">
        <v>18</v>
      </c>
      <c r="S32" s="668">
        <f t="shared" si="12"/>
        <v>100</v>
      </c>
      <c r="T32" s="667" t="s">
        <v>18</v>
      </c>
      <c r="U32" s="668">
        <f t="shared" si="13"/>
        <v>100</v>
      </c>
      <c r="V32" s="667" t="s">
        <v>18</v>
      </c>
      <c r="W32" s="668">
        <f t="shared" si="14"/>
        <v>100</v>
      </c>
      <c r="X32" s="1262"/>
      <c r="Y32" s="3383"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5"/>
      <c r="M33" s="2487"/>
      <c r="N33" s="2487"/>
      <c r="O33" s="2487"/>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6"/>
      <c r="M34" s="2481"/>
      <c r="N34" s="2481"/>
      <c r="O34" s="2481"/>
      <c r="P34" s="3381"/>
      <c r="Q34" s="1260" t="str">
        <f t="shared" si="11"/>
        <v>建筑结构</v>
      </c>
      <c r="R34" s="667" t="s">
        <v>18</v>
      </c>
      <c r="S34" s="668">
        <f t="shared" si="12"/>
        <v>100</v>
      </c>
      <c r="T34" s="667" t="s">
        <v>18</v>
      </c>
      <c r="U34" s="668">
        <f t="shared" si="13"/>
        <v>100</v>
      </c>
      <c r="V34" s="667" t="s">
        <v>18</v>
      </c>
      <c r="W34" s="668">
        <f t="shared" si="14"/>
        <v>100</v>
      </c>
      <c r="X34" s="1262"/>
      <c r="Y34" s="3383"/>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6"/>
      <c r="M35" s="2481"/>
      <c r="N35" s="2481"/>
      <c r="O35" s="2481"/>
      <c r="P35" s="3381"/>
      <c r="Q35" s="1260" t="str">
        <f t="shared" si="11"/>
        <v>建筑品质</v>
      </c>
      <c r="R35" s="667" t="s">
        <v>18</v>
      </c>
      <c r="S35" s="668">
        <f t="shared" si="12"/>
        <v>100</v>
      </c>
      <c r="T35" s="667" t="s">
        <v>18</v>
      </c>
      <c r="U35" s="668">
        <f t="shared" si="13"/>
        <v>100</v>
      </c>
      <c r="V35" s="667" t="s">
        <v>18</v>
      </c>
      <c r="W35" s="668">
        <f t="shared" si="14"/>
        <v>100</v>
      </c>
      <c r="X35" s="1262"/>
      <c r="Y35" s="3383"/>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6"/>
      <c r="M36" s="2481"/>
      <c r="N36" s="2481"/>
      <c r="O36" s="2481"/>
      <c r="P36" s="3381"/>
      <c r="Q36" s="1260" t="str">
        <f t="shared" si="11"/>
        <v>公共部分装修</v>
      </c>
      <c r="R36" s="667" t="s">
        <v>18</v>
      </c>
      <c r="S36" s="668">
        <f t="shared" si="12"/>
        <v>100</v>
      </c>
      <c r="T36" s="667" t="s">
        <v>18</v>
      </c>
      <c r="U36" s="668">
        <f t="shared" si="13"/>
        <v>100</v>
      </c>
      <c r="V36" s="667" t="s">
        <v>18</v>
      </c>
      <c r="W36" s="668">
        <f t="shared" si="14"/>
        <v>100</v>
      </c>
      <c r="X36" s="1262"/>
      <c r="Y36" s="3383"/>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5"/>
      <c r="N37" s="2435"/>
      <c r="O37" s="2435"/>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6"/>
      <c r="M38" s="2481"/>
      <c r="N38" s="2481"/>
      <c r="O38" s="2481"/>
      <c r="P38" s="3381" t="s">
        <v>1696</v>
      </c>
      <c r="Q38" s="1260" t="str">
        <f t="shared" si="11"/>
        <v>物业管理</v>
      </c>
      <c r="R38" s="667" t="s">
        <v>18</v>
      </c>
      <c r="S38" s="668">
        <f t="shared" si="12"/>
        <v>100</v>
      </c>
      <c r="T38" s="667" t="s">
        <v>18</v>
      </c>
      <c r="U38" s="668">
        <f t="shared" si="13"/>
        <v>100</v>
      </c>
      <c r="V38" s="667" t="s">
        <v>18</v>
      </c>
      <c r="W38" s="668">
        <f t="shared" si="14"/>
        <v>100</v>
      </c>
      <c r="X38" s="1262"/>
      <c r="Y38" s="3383"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6"/>
      <c r="M39" s="2481"/>
      <c r="N39" s="2481"/>
      <c r="O39" s="2481"/>
      <c r="P39" s="3381"/>
      <c r="Q39" s="1260" t="str">
        <f t="shared" si="11"/>
        <v>市政基础设施</v>
      </c>
      <c r="R39" s="667" t="s">
        <v>18</v>
      </c>
      <c r="S39" s="668">
        <f t="shared" si="12"/>
        <v>100</v>
      </c>
      <c r="T39" s="667" t="s">
        <v>18</v>
      </c>
      <c r="U39" s="668">
        <f t="shared" si="13"/>
        <v>100</v>
      </c>
      <c r="V39" s="667" t="s">
        <v>18</v>
      </c>
      <c r="W39" s="668">
        <f t="shared" si="14"/>
        <v>100</v>
      </c>
      <c r="X39" s="1262"/>
      <c r="Y39" s="3383"/>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6"/>
      <c r="M40" s="2481"/>
      <c r="N40" s="2481"/>
      <c r="O40" s="2481"/>
      <c r="P40" s="3381"/>
      <c r="Q40" s="1260" t="str">
        <f t="shared" si="11"/>
        <v>房型</v>
      </c>
      <c r="R40" s="667" t="s">
        <v>18</v>
      </c>
      <c r="S40" s="668">
        <f t="shared" si="12"/>
        <v>100</v>
      </c>
      <c r="T40" s="667" t="s">
        <v>18</v>
      </c>
      <c r="U40" s="668">
        <f t="shared" si="13"/>
        <v>100</v>
      </c>
      <c r="V40" s="667" t="s">
        <v>18</v>
      </c>
      <c r="W40" s="668">
        <f t="shared" si="14"/>
        <v>100</v>
      </c>
      <c r="X40" s="1262"/>
      <c r="Y40" s="3383"/>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5"/>
      <c r="M41" s="2487"/>
      <c r="N41" s="2487"/>
      <c r="O41" s="2487"/>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6"/>
      <c r="M42" s="2481"/>
      <c r="N42" s="2481"/>
      <c r="O42" s="2481"/>
      <c r="P42" s="3381"/>
      <c r="Q42" s="1260" t="str">
        <f t="shared" si="11"/>
        <v>内部装修</v>
      </c>
      <c r="R42" s="667" t="s">
        <v>18</v>
      </c>
      <c r="S42" s="668">
        <f t="shared" si="12"/>
        <v>100</v>
      </c>
      <c r="T42" s="667" t="s">
        <v>18</v>
      </c>
      <c r="U42" s="668">
        <f t="shared" si="13"/>
        <v>100</v>
      </c>
      <c r="V42" s="667" t="s">
        <v>18</v>
      </c>
      <c r="W42" s="668">
        <f t="shared" si="14"/>
        <v>100</v>
      </c>
      <c r="X42" s="1262"/>
      <c r="Y42" s="3383"/>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6"/>
      <c r="M43" s="2481"/>
      <c r="N43" s="2481"/>
      <c r="O43" s="2481"/>
      <c r="P43" s="3381"/>
      <c r="Q43" s="1260" t="str">
        <f t="shared" si="11"/>
        <v>内部装修维护情况</v>
      </c>
      <c r="R43" s="667" t="s">
        <v>18</v>
      </c>
      <c r="S43" s="668">
        <f t="shared" si="12"/>
        <v>100</v>
      </c>
      <c r="T43" s="667" t="s">
        <v>18</v>
      </c>
      <c r="U43" s="668">
        <f t="shared" si="13"/>
        <v>100</v>
      </c>
      <c r="V43" s="667" t="s">
        <v>18</v>
      </c>
      <c r="W43" s="668">
        <f t="shared" si="14"/>
        <v>100</v>
      </c>
      <c r="X43" s="1262"/>
      <c r="Y43" s="3383"/>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2"/>
      <c r="M44" s="2435"/>
      <c r="N44" s="2435"/>
      <c r="O44" s="2435"/>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6"/>
      <c r="M45" s="2481"/>
      <c r="N45" s="2481"/>
      <c r="O45" s="2481"/>
      <c r="P45" s="3381"/>
      <c r="Q45" s="1260">
        <f t="shared" si="11"/>
        <v>111</v>
      </c>
      <c r="R45" s="667" t="s">
        <v>18</v>
      </c>
      <c r="S45" s="668">
        <f t="shared" si="12"/>
        <v>100</v>
      </c>
      <c r="T45" s="667" t="s">
        <v>18</v>
      </c>
      <c r="U45" s="668">
        <f t="shared" si="13"/>
        <v>100</v>
      </c>
      <c r="V45" s="667" t="s">
        <v>18</v>
      </c>
      <c r="W45" s="668">
        <f t="shared" si="14"/>
        <v>100</v>
      </c>
      <c r="X45" s="1262"/>
      <c r="Y45" s="3383"/>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6"/>
      <c r="M46" s="2481"/>
      <c r="N46" s="2481"/>
      <c r="O46" s="2481"/>
      <c r="P46" s="3382"/>
      <c r="Q46" s="1260">
        <f t="shared" si="11"/>
        <v>111</v>
      </c>
      <c r="R46" s="667" t="s">
        <v>17</v>
      </c>
      <c r="S46" s="668">
        <f t="shared" si="12"/>
        <v>100</v>
      </c>
      <c r="T46" s="667" t="s">
        <v>17</v>
      </c>
      <c r="U46" s="668">
        <f t="shared" si="13"/>
        <v>100</v>
      </c>
      <c r="V46" s="667" t="s">
        <v>17</v>
      </c>
      <c r="W46" s="668">
        <f t="shared" si="14"/>
        <v>100</v>
      </c>
      <c r="X46" s="1262"/>
      <c r="Y46" s="3384"/>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8"/>
      <c r="M47" s="2481"/>
      <c r="N47" s="2481"/>
      <c r="O47" s="2481"/>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 thickBot="1">
      <c r="A48" s="423" t="s">
        <v>1709</v>
      </c>
      <c r="B48" s="424"/>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8"/>
      <c r="M49" s="2481"/>
      <c r="N49" s="2481"/>
      <c r="O49" s="2481"/>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67"/>
    </row>
    <row r="55" spans="1:29" s="437"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8" t="s">
        <v>1714</v>
      </c>
      <c r="B57" s="385"/>
      <c r="C57" s="659"/>
      <c r="D57" s="659"/>
      <c r="E57" s="659"/>
      <c r="F57" s="660"/>
      <c r="G57" s="660"/>
      <c r="H57" s="659"/>
      <c r="I57" s="659"/>
      <c r="J57" s="659"/>
      <c r="K57" s="884"/>
      <c r="L57" s="885"/>
      <c r="M57" s="883"/>
      <c r="N57" s="883"/>
      <c r="O57" s="883"/>
      <c r="P57" s="1768"/>
      <c r="Q57" s="439"/>
    </row>
    <row r="58" spans="1:29" s="442" customFormat="1" ht="14.4">
      <c r="A58" s="440" t="s">
        <v>1715</v>
      </c>
      <c r="B58" s="441"/>
      <c r="C58" s="1102" t="str">
        <f>YEAR(C7)&amp;"-"&amp;MONTH(C7)</f>
        <v>2025-9</v>
      </c>
      <c r="D58" s="1101">
        <f>EDATE(C58,-1)</f>
        <v>45870</v>
      </c>
      <c r="E58" s="1101">
        <f>EDATE(D58,-1)</f>
        <v>45839</v>
      </c>
      <c r="F58" s="1101">
        <f t="shared" ref="F58:O58" si="19">EDATE(E58,-1)</f>
        <v>45809</v>
      </c>
      <c r="G58" s="1101">
        <f t="shared" si="19"/>
        <v>45778</v>
      </c>
      <c r="H58" s="1101">
        <f t="shared" si="19"/>
        <v>45748</v>
      </c>
      <c r="I58" s="1101">
        <f t="shared" si="19"/>
        <v>45717</v>
      </c>
      <c r="J58" s="1101">
        <f t="shared" si="19"/>
        <v>45689</v>
      </c>
      <c r="K58" s="1101">
        <f t="shared" si="19"/>
        <v>45658</v>
      </c>
      <c r="L58" s="1101">
        <f t="shared" si="19"/>
        <v>45627</v>
      </c>
      <c r="M58" s="1101">
        <f t="shared" si="19"/>
        <v>45597</v>
      </c>
      <c r="N58" s="1101">
        <f t="shared" si="19"/>
        <v>45566</v>
      </c>
      <c r="O58" s="1101">
        <f t="shared" si="19"/>
        <v>45536</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1766</v>
      </c>
      <c r="C1" s="1152" t="s">
        <v>1662</v>
      </c>
      <c r="D1" s="1139"/>
      <c r="E1" s="3118"/>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0</v>
      </c>
      <c r="C3" s="344" t="s">
        <v>1768</v>
      </c>
      <c r="D3" s="343">
        <f>IF(D1="",'数据-汇总表'!E3,SUMIF('数据-汇总表'!$C19:$C33,D1,'数据-汇总表'!$E19:$E33))</f>
        <v>50178.659999999996</v>
      </c>
      <c r="E3" s="1802"/>
      <c r="F3" s="853"/>
      <c r="G3" s="852"/>
      <c r="H3" s="852"/>
      <c r="I3" s="852"/>
      <c r="J3" s="852"/>
      <c r="K3" s="854"/>
      <c r="L3" s="2497"/>
      <c r="M3" s="2498"/>
      <c r="N3" s="2498"/>
      <c r="O3" s="2498"/>
      <c r="P3" s="1801"/>
      <c r="Q3" s="856"/>
      <c r="R3" s="856"/>
      <c r="S3" s="856"/>
      <c r="T3" s="856"/>
      <c r="U3" s="856"/>
      <c r="V3" s="856"/>
      <c r="W3" s="856"/>
      <c r="X3" s="856"/>
      <c r="Y3" s="856"/>
      <c r="Z3" s="856"/>
      <c r="AA3" s="856"/>
      <c r="AB3" s="856"/>
      <c r="AC3" s="1802"/>
    </row>
    <row r="4" spans="1:29" ht="14.4">
      <c r="A4" s="345" t="s">
        <v>1769</v>
      </c>
      <c r="B4" s="346"/>
      <c r="C4" s="3388" t="s">
        <v>1770</v>
      </c>
      <c r="D4" s="3389"/>
      <c r="E4" s="3390" t="s">
        <v>1771</v>
      </c>
      <c r="F4" s="3391"/>
      <c r="G4" s="3388" t="s">
        <v>1772</v>
      </c>
      <c r="H4" s="3389"/>
      <c r="I4" s="3388" t="s">
        <v>1773</v>
      </c>
      <c r="J4" s="3389"/>
      <c r="K4" s="537" t="s">
        <v>1774</v>
      </c>
      <c r="L4" s="2480"/>
      <c r="M4" s="2481"/>
      <c r="N4" s="2481"/>
      <c r="O4" s="2481"/>
      <c r="P4" s="3450" t="s">
        <v>1775</v>
      </c>
      <c r="Q4" s="3451"/>
      <c r="R4" s="3454" t="s">
        <v>1771</v>
      </c>
      <c r="S4" s="3455"/>
      <c r="T4" s="3454" t="s">
        <v>1772</v>
      </c>
      <c r="U4" s="3455"/>
      <c r="V4" s="3372" t="s">
        <v>1773</v>
      </c>
      <c r="W4" s="3372"/>
      <c r="X4" s="1262"/>
      <c r="Y4" s="3454" t="s">
        <v>1775</v>
      </c>
      <c r="Z4" s="3455"/>
      <c r="AA4" s="3449" t="s">
        <v>1771</v>
      </c>
      <c r="AB4" s="3372" t="s">
        <v>1772</v>
      </c>
      <c r="AC4" s="3449" t="s">
        <v>1773</v>
      </c>
    </row>
    <row r="5" spans="1:29">
      <c r="A5" s="348"/>
      <c r="B5" s="349"/>
      <c r="C5" s="3407" t="s">
        <v>1673</v>
      </c>
      <c r="D5" s="3408"/>
      <c r="E5" s="3456" t="s">
        <v>1674</v>
      </c>
      <c r="F5" s="3419"/>
      <c r="G5" s="3407" t="s">
        <v>1675</v>
      </c>
      <c r="H5" s="3408"/>
      <c r="I5" s="3407" t="s">
        <v>1676</v>
      </c>
      <c r="J5" s="3408"/>
      <c r="K5" s="537"/>
      <c r="L5" s="2480"/>
      <c r="M5" s="2481"/>
      <c r="N5" s="2481"/>
      <c r="O5" s="2481"/>
      <c r="P5" s="3452"/>
      <c r="Q5" s="3395"/>
      <c r="R5" s="3400"/>
      <c r="S5" s="3401"/>
      <c r="T5" s="3400"/>
      <c r="U5" s="3401"/>
      <c r="V5" s="3372"/>
      <c r="W5" s="3372"/>
      <c r="X5" s="1262"/>
      <c r="Y5" s="3400"/>
      <c r="Z5" s="3401"/>
      <c r="AA5" s="3416"/>
      <c r="AB5" s="3372"/>
      <c r="AC5" s="3416"/>
    </row>
    <row r="6" spans="1:29" ht="15" thickBot="1">
      <c r="A6" s="350"/>
      <c r="B6" s="351"/>
      <c r="C6" s="3405" t="s">
        <v>1677</v>
      </c>
      <c r="D6" s="3406"/>
      <c r="E6" s="3413" t="s">
        <v>1677</v>
      </c>
      <c r="F6" s="3414"/>
      <c r="G6" s="3405" t="s">
        <v>1677</v>
      </c>
      <c r="H6" s="3406"/>
      <c r="I6" s="3405" t="s">
        <v>1677</v>
      </c>
      <c r="J6" s="3406"/>
      <c r="K6" s="537" t="s">
        <v>1678</v>
      </c>
      <c r="L6" s="2480"/>
      <c r="M6" s="2481"/>
      <c r="N6" s="2481"/>
      <c r="O6" s="2481"/>
      <c r="P6" s="3453"/>
      <c r="Q6" s="3397"/>
      <c r="R6" s="3400"/>
      <c r="S6" s="3401"/>
      <c r="T6" s="3402"/>
      <c r="U6" s="3403"/>
      <c r="V6" s="3372"/>
      <c r="W6" s="3372"/>
      <c r="X6" s="1262"/>
      <c r="Y6" s="3402"/>
      <c r="Z6" s="3403"/>
      <c r="AA6" s="3417"/>
      <c r="AB6" s="3372"/>
      <c r="AC6" s="3417"/>
    </row>
    <row r="7" spans="1:29" s="102" customFormat="1" ht="15" thickBot="1">
      <c r="A7" s="352" t="s">
        <v>1679</v>
      </c>
      <c r="B7" s="353"/>
      <c r="C7" s="354">
        <f>'数据-取费表'!B2</f>
        <v>45903</v>
      </c>
      <c r="D7" s="355">
        <v>100</v>
      </c>
      <c r="E7" s="356"/>
      <c r="F7" s="357">
        <f>SUMIF(58:58,YEAR(E7)&amp;"-"&amp;MONTH(E7),59:59)</f>
        <v>0</v>
      </c>
      <c r="G7" s="356"/>
      <c r="H7" s="355">
        <f>SUMIF(58:58,YEAR(G7)&amp;"-"&amp;MONTH(G7),59:59)</f>
        <v>0</v>
      </c>
      <c r="I7" s="356"/>
      <c r="J7" s="355">
        <f>SUMIF(58:58,YEAR(I7)&amp;"-"&amp;MONTH(I7),59:59)</f>
        <v>0</v>
      </c>
      <c r="K7" s="38"/>
      <c r="L7" s="2482"/>
      <c r="M7" s="2435"/>
      <c r="N7" s="2435"/>
      <c r="O7" s="2435"/>
      <c r="P7" s="3411" t="s">
        <v>1680</v>
      </c>
      <c r="Q7" s="3412"/>
      <c r="R7" s="664" t="s">
        <v>14</v>
      </c>
      <c r="S7" s="665">
        <f t="shared" ref="S7:S15" si="0">F7</f>
        <v>0</v>
      </c>
      <c r="T7" s="664" t="s">
        <v>14</v>
      </c>
      <c r="U7" s="665">
        <f t="shared" ref="U7:U15" si="1">H7</f>
        <v>0</v>
      </c>
      <c r="V7" s="664" t="s">
        <v>14</v>
      </c>
      <c r="W7" s="665">
        <f t="shared" ref="W7:W15" si="2">J7</f>
        <v>0</v>
      </c>
      <c r="X7" s="666"/>
      <c r="Y7" s="3411" t="s">
        <v>1680</v>
      </c>
      <c r="Z7" s="341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2"/>
      <c r="M8" s="2435"/>
      <c r="N8" s="2435"/>
      <c r="O8" s="2435"/>
      <c r="P8" s="3411" t="s">
        <v>1683</v>
      </c>
      <c r="Q8" s="3410"/>
      <c r="R8" s="664" t="s">
        <v>14</v>
      </c>
      <c r="S8" s="665">
        <f t="shared" si="0"/>
        <v>100</v>
      </c>
      <c r="T8" s="664" t="s">
        <v>14</v>
      </c>
      <c r="U8" s="665">
        <f t="shared" si="1"/>
        <v>100</v>
      </c>
      <c r="V8" s="664" t="s">
        <v>14</v>
      </c>
      <c r="W8" s="665">
        <f t="shared" si="2"/>
        <v>100</v>
      </c>
      <c r="X8" s="666"/>
      <c r="Y8" s="3411" t="s">
        <v>1683</v>
      </c>
      <c r="Z8" s="341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2"/>
      <c r="M9" s="2435"/>
      <c r="N9" s="2435"/>
      <c r="O9" s="2435"/>
      <c r="P9" s="337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38"/>
      <c r="L10" s="2483"/>
      <c r="M10" s="2484"/>
      <c r="N10" s="2484"/>
      <c r="O10" s="2484"/>
      <c r="P10" s="337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5"/>
      <c r="M11" s="2481"/>
      <c r="N11" s="2481"/>
      <c r="O11" s="2481"/>
      <c r="P11" s="3370"/>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5"/>
      <c r="N12" s="2435"/>
      <c r="O12" s="2435"/>
      <c r="P12" s="337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37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37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6"/>
      <c r="M15" s="2481"/>
      <c r="N15" s="2481"/>
      <c r="O15" s="2481"/>
      <c r="P15" s="3376" t="s">
        <v>1691</v>
      </c>
      <c r="Q15" s="1260" t="str">
        <f t="shared" si="6"/>
        <v>商业繁华度</v>
      </c>
      <c r="R15" s="667" t="s">
        <v>14</v>
      </c>
      <c r="S15" s="668">
        <f t="shared" si="0"/>
        <v>100</v>
      </c>
      <c r="T15" s="667" t="s">
        <v>14</v>
      </c>
      <c r="U15" s="668">
        <f t="shared" si="1"/>
        <v>100</v>
      </c>
      <c r="V15" s="667" t="s">
        <v>14</v>
      </c>
      <c r="W15" s="668">
        <f t="shared" si="2"/>
        <v>100</v>
      </c>
      <c r="X15" s="1262"/>
      <c r="Y15" s="3378"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6"/>
      <c r="M16" s="2481"/>
      <c r="N16" s="2481"/>
      <c r="O16" s="2481"/>
      <c r="P16" s="3377"/>
      <c r="Q16" s="1260"/>
      <c r="R16" s="667"/>
      <c r="S16" s="668"/>
      <c r="T16" s="667"/>
      <c r="U16" s="668"/>
      <c r="V16" s="667"/>
      <c r="W16" s="668"/>
      <c r="X16" s="1262"/>
      <c r="Y16" s="3379"/>
      <c r="Z16" s="1261"/>
      <c r="AA16" s="1261">
        <v>1</v>
      </c>
      <c r="AB16" s="1261">
        <v>1</v>
      </c>
      <c r="AC16" s="1261">
        <v>1</v>
      </c>
    </row>
    <row r="17" spans="1:29" ht="165.6">
      <c r="A17" s="367"/>
      <c r="B17" s="390" t="s">
        <v>1259</v>
      </c>
      <c r="C17" s="1751" t="str">
        <f>估价对象房地状况!C6</f>
        <v>周边1公里范围内有特8内路、348路、805快路、806路、814路、846路等多条公交线路及地铁1、10号线国贸站，公交便捷度好。综上分析，估价对象所在区位整体交通便捷度较好</v>
      </c>
      <c r="D17" s="389">
        <v>100</v>
      </c>
      <c r="E17" s="391"/>
      <c r="F17" s="392">
        <f>SUMIF(78:78,E18,79:79)-SUMIF(78:78,C18,79:79)+100</f>
        <v>100</v>
      </c>
      <c r="G17" s="393"/>
      <c r="H17" s="394">
        <f>SUMIF(78:78,G18,79:79)-SUMIF(78:78,C18,79:79)+100</f>
        <v>100</v>
      </c>
      <c r="I17" s="391"/>
      <c r="J17" s="394">
        <f>SUMIF(78:78,I18,79:79)-SUMIF(78:78,C18,79:79)+100</f>
        <v>100</v>
      </c>
      <c r="K17" s="540"/>
      <c r="L17" s="2486"/>
      <c r="M17" s="2481"/>
      <c r="N17" s="2481"/>
      <c r="O17" s="2481"/>
      <c r="P17" s="3377"/>
      <c r="Q17" s="1260" t="str">
        <f>B17</f>
        <v>交通便捷度</v>
      </c>
      <c r="R17" s="667" t="s">
        <v>14</v>
      </c>
      <c r="S17" s="668">
        <f>F17</f>
        <v>100</v>
      </c>
      <c r="T17" s="667" t="s">
        <v>14</v>
      </c>
      <c r="U17" s="668">
        <f>H17</f>
        <v>100</v>
      </c>
      <c r="V17" s="667" t="s">
        <v>14</v>
      </c>
      <c r="W17" s="668">
        <f>J17</f>
        <v>100</v>
      </c>
      <c r="X17" s="1262"/>
      <c r="Y17" s="337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6"/>
      <c r="M18" s="2481"/>
      <c r="N18" s="2481"/>
      <c r="O18" s="2481"/>
      <c r="P18" s="3377"/>
      <c r="Q18" s="1260"/>
      <c r="R18" s="667"/>
      <c r="S18" s="668"/>
      <c r="T18" s="667"/>
      <c r="U18" s="668"/>
      <c r="V18" s="667"/>
      <c r="W18" s="668"/>
      <c r="X18" s="1262"/>
      <c r="Y18" s="3379"/>
      <c r="Z18" s="1261"/>
      <c r="AA18" s="1261">
        <v>1</v>
      </c>
      <c r="AB18" s="1261">
        <v>1</v>
      </c>
      <c r="AC18" s="1261">
        <v>1</v>
      </c>
    </row>
    <row r="19" spans="1:29" ht="207">
      <c r="A19" s="367"/>
      <c r="B19" s="390" t="s">
        <v>1778</v>
      </c>
      <c r="C19" s="1751"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6"/>
      <c r="F19" s="397">
        <f>SUMIF(80:80,E20,81:81)-SUMIF(80:80,C20,81:81)+100</f>
        <v>100</v>
      </c>
      <c r="G19" s="398"/>
      <c r="H19" s="389">
        <f>SUMIF(80:80,G20,81:81)-SUMIF(80:80,C20,81:81)+100</f>
        <v>100</v>
      </c>
      <c r="I19" s="396"/>
      <c r="J19" s="389">
        <f>SUMIF(80:80,I20,81:81)-SUMIF(80:80,C20,81:81)+100</f>
        <v>100</v>
      </c>
      <c r="K19" s="540"/>
      <c r="L19" s="2486"/>
      <c r="M19" s="2481"/>
      <c r="N19" s="2481"/>
      <c r="O19" s="2481"/>
      <c r="P19" s="3377"/>
      <c r="Q19" s="1260" t="str">
        <f>B19</f>
        <v>公共配套设施</v>
      </c>
      <c r="R19" s="667" t="s">
        <v>14</v>
      </c>
      <c r="S19" s="668">
        <f>F19</f>
        <v>100</v>
      </c>
      <c r="T19" s="667" t="s">
        <v>14</v>
      </c>
      <c r="U19" s="668">
        <f>H19</f>
        <v>100</v>
      </c>
      <c r="V19" s="667" t="s">
        <v>14</v>
      </c>
      <c r="W19" s="668">
        <f>J19</f>
        <v>100</v>
      </c>
      <c r="X19" s="1262"/>
      <c r="Y19" s="337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6"/>
      <c r="M20" s="2481"/>
      <c r="N20" s="2481"/>
      <c r="O20" s="2481"/>
      <c r="P20" s="3377"/>
      <c r="Q20" s="1260"/>
      <c r="R20" s="667"/>
      <c r="S20" s="668"/>
      <c r="T20" s="667"/>
      <c r="U20" s="668"/>
      <c r="V20" s="667"/>
      <c r="W20" s="668"/>
      <c r="X20" s="1262"/>
      <c r="Y20" s="3379"/>
      <c r="Z20" s="1261"/>
      <c r="AA20" s="1261">
        <v>1</v>
      </c>
      <c r="AB20" s="1261">
        <v>1</v>
      </c>
      <c r="AC20" s="1261">
        <v>1</v>
      </c>
    </row>
    <row r="21" spans="1:29" ht="27.6">
      <c r="A21" s="367"/>
      <c r="B21" s="586"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6"/>
      <c r="M21" s="2481"/>
      <c r="N21" s="2481"/>
      <c r="O21" s="2481"/>
      <c r="P21" s="3377"/>
      <c r="Q21" s="1260" t="str">
        <f>B21</f>
        <v>基础设施水平</v>
      </c>
      <c r="R21" s="667" t="s">
        <v>14</v>
      </c>
      <c r="S21" s="668">
        <f>F21</f>
        <v>100</v>
      </c>
      <c r="T21" s="667" t="s">
        <v>14</v>
      </c>
      <c r="U21" s="668">
        <f>H21</f>
        <v>100</v>
      </c>
      <c r="V21" s="667" t="s">
        <v>14</v>
      </c>
      <c r="W21" s="668">
        <f>J21</f>
        <v>100</v>
      </c>
      <c r="X21" s="1262"/>
      <c r="Y21" s="3379"/>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86"/>
      <c r="M22" s="2481"/>
      <c r="N22" s="2481"/>
      <c r="O22" s="2481"/>
      <c r="P22" s="3377"/>
      <c r="Q22" s="1260"/>
      <c r="R22" s="667"/>
      <c r="S22" s="668"/>
      <c r="T22" s="667"/>
      <c r="U22" s="668"/>
      <c r="V22" s="667"/>
      <c r="W22" s="668"/>
      <c r="X22" s="1262"/>
      <c r="Y22" s="3379"/>
      <c r="Z22" s="1261"/>
      <c r="AA22" s="1261">
        <v>1</v>
      </c>
      <c r="AB22" s="1261">
        <v>1</v>
      </c>
      <c r="AC22" s="1261">
        <v>1</v>
      </c>
    </row>
    <row r="23" spans="1:29" ht="110.4">
      <c r="A23" s="367"/>
      <c r="B23" s="390" t="s">
        <v>1261</v>
      </c>
      <c r="C23" s="1803" t="str">
        <f>估价对象房地状况!C9</f>
        <v>周边约1公里范围内有庆丰公园，CBD历史文化公园，中国海关博物馆等，南侧有通惠河经过，环境状况较好</v>
      </c>
      <c r="D23" s="389">
        <v>100</v>
      </c>
      <c r="E23" s="391"/>
      <c r="F23" s="392">
        <f>SUMIF(84:84,E24,85:85)-SUMIF(84:84,C24,85:85)+100</f>
        <v>100</v>
      </c>
      <c r="G23" s="393"/>
      <c r="H23" s="389">
        <f>SUMIF(84:84,G24,85:85)-SUMIF(84:84,C24,85:85)+100</f>
        <v>100</v>
      </c>
      <c r="I23" s="391"/>
      <c r="J23" s="389">
        <f>SUMIF(84:84,I24,85:85)-SUMIF(84:84,C24,85:85)+100</f>
        <v>100</v>
      </c>
      <c r="K23" s="540"/>
      <c r="L23" s="2486"/>
      <c r="M23" s="2481"/>
      <c r="N23" s="2481"/>
      <c r="O23" s="2481"/>
      <c r="P23" s="3377"/>
      <c r="Q23" s="1260" t="str">
        <f>B23</f>
        <v>自然及人文环境</v>
      </c>
      <c r="R23" s="667" t="s">
        <v>14</v>
      </c>
      <c r="S23" s="668">
        <f>F23</f>
        <v>100</v>
      </c>
      <c r="T23" s="667" t="s">
        <v>14</v>
      </c>
      <c r="U23" s="668">
        <f>H23</f>
        <v>100</v>
      </c>
      <c r="V23" s="667" t="s">
        <v>14</v>
      </c>
      <c r="W23" s="668">
        <f>J23</f>
        <v>100</v>
      </c>
      <c r="X23" s="1262"/>
      <c r="Y23" s="3379"/>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6"/>
      <c r="M24" s="2481"/>
      <c r="N24" s="2481"/>
      <c r="O24" s="2481"/>
      <c r="P24" s="3377"/>
      <c r="Q24" s="1260"/>
      <c r="R24" s="667"/>
      <c r="S24" s="668"/>
      <c r="T24" s="667"/>
      <c r="U24" s="668"/>
      <c r="V24" s="667"/>
      <c r="W24" s="668"/>
      <c r="X24" s="1262"/>
      <c r="Y24" s="3379"/>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6"/>
      <c r="M25" s="2481"/>
      <c r="N25" s="2481"/>
      <c r="O25" s="2481"/>
      <c r="P25" s="3377"/>
      <c r="Q25" s="1260" t="str">
        <f t="shared" ref="Q25:Q46" si="11">B25</f>
        <v>临街状况</v>
      </c>
      <c r="R25" s="667" t="s">
        <v>14</v>
      </c>
      <c r="S25" s="668">
        <f>F25</f>
        <v>100</v>
      </c>
      <c r="T25" s="667" t="s">
        <v>14</v>
      </c>
      <c r="U25" s="668">
        <f>H25</f>
        <v>100</v>
      </c>
      <c r="V25" s="667" t="s">
        <v>14</v>
      </c>
      <c r="W25" s="668">
        <f>J25</f>
        <v>100</v>
      </c>
      <c r="X25" s="1262"/>
      <c r="Y25" s="3379"/>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6"/>
      <c r="M26" s="2481"/>
      <c r="N26" s="2481"/>
      <c r="O26" s="2481"/>
      <c r="P26" s="3377"/>
      <c r="Q26" s="1260" t="str">
        <f t="shared" si="11"/>
        <v>平面位置/可视性</v>
      </c>
      <c r="R26" s="667" t="s">
        <v>14</v>
      </c>
      <c r="S26" s="668">
        <f>F26</f>
        <v>100</v>
      </c>
      <c r="T26" s="667" t="s">
        <v>14</v>
      </c>
      <c r="U26" s="668">
        <f>H26</f>
        <v>100</v>
      </c>
      <c r="V26" s="667" t="s">
        <v>14</v>
      </c>
      <c r="W26" s="668">
        <f>J26</f>
        <v>100</v>
      </c>
      <c r="X26" s="1262"/>
      <c r="Y26" s="3379"/>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2"/>
      <c r="M27" s="2435"/>
      <c r="N27" s="2435"/>
      <c r="O27" s="2435"/>
      <c r="P27" s="3377"/>
      <c r="Q27" s="530" t="str">
        <f t="shared" si="11"/>
        <v>人流量</v>
      </c>
      <c r="R27" s="664" t="s">
        <v>14</v>
      </c>
      <c r="S27" s="665">
        <f>F27</f>
        <v>100</v>
      </c>
      <c r="T27" s="664" t="s">
        <v>14</v>
      </c>
      <c r="U27" s="665">
        <f>H27</f>
        <v>100</v>
      </c>
      <c r="V27" s="664" t="s">
        <v>14</v>
      </c>
      <c r="W27" s="665">
        <f>J27</f>
        <v>100</v>
      </c>
      <c r="X27" s="666"/>
      <c r="Y27" s="3379"/>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6"/>
      <c r="M28" s="2481"/>
      <c r="N28" s="2481"/>
      <c r="O28" s="2481"/>
      <c r="P28" s="3377"/>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79"/>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377"/>
      <c r="Q29" s="1260">
        <f t="shared" si="11"/>
        <v>111</v>
      </c>
      <c r="R29" s="667" t="s">
        <v>14</v>
      </c>
      <c r="S29" s="668">
        <f t="shared" si="12"/>
        <v>100</v>
      </c>
      <c r="T29" s="667" t="s">
        <v>14</v>
      </c>
      <c r="U29" s="668">
        <f t="shared" si="13"/>
        <v>100</v>
      </c>
      <c r="V29" s="667" t="s">
        <v>14</v>
      </c>
      <c r="W29" s="668">
        <f t="shared" si="14"/>
        <v>100</v>
      </c>
      <c r="X29" s="1262"/>
      <c r="Y29" s="3379"/>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377"/>
      <c r="Q30" s="1260">
        <f t="shared" si="11"/>
        <v>111</v>
      </c>
      <c r="R30" s="667" t="s">
        <v>14</v>
      </c>
      <c r="S30" s="668">
        <f t="shared" si="12"/>
        <v>100</v>
      </c>
      <c r="T30" s="667" t="s">
        <v>14</v>
      </c>
      <c r="U30" s="668">
        <f t="shared" si="13"/>
        <v>100</v>
      </c>
      <c r="V30" s="667" t="s">
        <v>14</v>
      </c>
      <c r="W30" s="668">
        <f t="shared" si="14"/>
        <v>100</v>
      </c>
      <c r="X30" s="1262"/>
      <c r="Y30" s="3379"/>
      <c r="Z30" s="1261">
        <f t="shared" si="15"/>
        <v>111</v>
      </c>
      <c r="AA30" s="1261">
        <f t="shared" si="3"/>
        <v>1</v>
      </c>
      <c r="AB30" s="1261">
        <f t="shared" si="4"/>
        <v>1</v>
      </c>
      <c r="AC30" s="1261">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377"/>
      <c r="Q31" s="1260">
        <f t="shared" si="11"/>
        <v>111</v>
      </c>
      <c r="R31" s="667" t="s">
        <v>14</v>
      </c>
      <c r="S31" s="668">
        <f t="shared" si="12"/>
        <v>100</v>
      </c>
      <c r="T31" s="667" t="s">
        <v>14</v>
      </c>
      <c r="U31" s="668">
        <f t="shared" si="13"/>
        <v>100</v>
      </c>
      <c r="V31" s="667" t="s">
        <v>14</v>
      </c>
      <c r="W31" s="668">
        <f t="shared" si="14"/>
        <v>100</v>
      </c>
      <c r="X31" s="1262"/>
      <c r="Y31" s="3379"/>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6"/>
      <c r="M32" s="2481"/>
      <c r="N32" s="2481"/>
      <c r="O32" s="2481"/>
      <c r="P32" s="3380" t="s">
        <v>1696</v>
      </c>
      <c r="Q32" s="1260" t="str">
        <f t="shared" si="11"/>
        <v>商业类型</v>
      </c>
      <c r="R32" s="667" t="s">
        <v>14</v>
      </c>
      <c r="S32" s="668">
        <f t="shared" si="12"/>
        <v>100</v>
      </c>
      <c r="T32" s="667" t="s">
        <v>14</v>
      </c>
      <c r="U32" s="668">
        <f t="shared" si="13"/>
        <v>100</v>
      </c>
      <c r="V32" s="667" t="s">
        <v>14</v>
      </c>
      <c r="W32" s="668">
        <f t="shared" si="14"/>
        <v>100</v>
      </c>
      <c r="X32" s="1262"/>
      <c r="Y32" s="3383"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5"/>
      <c r="M33" s="2487"/>
      <c r="N33" s="2487"/>
      <c r="O33" s="2487"/>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6"/>
      <c r="M34" s="2481"/>
      <c r="N34" s="2481"/>
      <c r="O34" s="2481"/>
      <c r="P34" s="3381"/>
      <c r="Q34" s="1260" t="str">
        <f t="shared" si="11"/>
        <v>建筑结构</v>
      </c>
      <c r="R34" s="667" t="s">
        <v>14</v>
      </c>
      <c r="S34" s="668">
        <f t="shared" si="12"/>
        <v>100</v>
      </c>
      <c r="T34" s="667" t="s">
        <v>14</v>
      </c>
      <c r="U34" s="668">
        <f t="shared" si="13"/>
        <v>100</v>
      </c>
      <c r="V34" s="667" t="s">
        <v>14</v>
      </c>
      <c r="W34" s="668">
        <f t="shared" si="14"/>
        <v>100</v>
      </c>
      <c r="X34" s="1262"/>
      <c r="Y34" s="3383"/>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6"/>
      <c r="M35" s="2481"/>
      <c r="N35" s="2481"/>
      <c r="O35" s="2481"/>
      <c r="P35" s="3381"/>
      <c r="Q35" s="1260" t="str">
        <f t="shared" si="11"/>
        <v>公共部分装修</v>
      </c>
      <c r="R35" s="667" t="s">
        <v>14</v>
      </c>
      <c r="S35" s="668">
        <f t="shared" si="12"/>
        <v>100</v>
      </c>
      <c r="T35" s="667" t="s">
        <v>14</v>
      </c>
      <c r="U35" s="668">
        <f t="shared" si="13"/>
        <v>100</v>
      </c>
      <c r="V35" s="667" t="s">
        <v>14</v>
      </c>
      <c r="W35" s="668">
        <f t="shared" si="14"/>
        <v>100</v>
      </c>
      <c r="X35" s="1262"/>
      <c r="Y35" s="3383"/>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6"/>
      <c r="M36" s="2481"/>
      <c r="N36" s="2481"/>
      <c r="O36" s="2481"/>
      <c r="P36" s="3381"/>
      <c r="Q36" s="1260" t="str">
        <f t="shared" si="11"/>
        <v>成新度</v>
      </c>
      <c r="R36" s="667" t="s">
        <v>14</v>
      </c>
      <c r="S36" s="668" t="e">
        <f t="shared" si="12"/>
        <v>#N/A</v>
      </c>
      <c r="T36" s="667" t="s">
        <v>14</v>
      </c>
      <c r="U36" s="668" t="e">
        <f t="shared" si="13"/>
        <v>#N/A</v>
      </c>
      <c r="V36" s="667" t="s">
        <v>14</v>
      </c>
      <c r="W36" s="668" t="e">
        <f t="shared" si="14"/>
        <v>#N/A</v>
      </c>
      <c r="X36" s="1262"/>
      <c r="Y36" s="3383"/>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2"/>
      <c r="M37" s="2435"/>
      <c r="N37" s="2435"/>
      <c r="O37" s="2435"/>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6"/>
      <c r="M38" s="2481"/>
      <c r="N38" s="2481"/>
      <c r="O38" s="2481"/>
      <c r="P38" s="3381" t="s">
        <v>1696</v>
      </c>
      <c r="Q38" s="1260" t="str">
        <f t="shared" si="11"/>
        <v>业态</v>
      </c>
      <c r="R38" s="667" t="s">
        <v>14</v>
      </c>
      <c r="S38" s="668">
        <f t="shared" si="12"/>
        <v>100</v>
      </c>
      <c r="T38" s="667" t="s">
        <v>14</v>
      </c>
      <c r="U38" s="668">
        <f t="shared" si="13"/>
        <v>100</v>
      </c>
      <c r="V38" s="667" t="s">
        <v>14</v>
      </c>
      <c r="W38" s="668">
        <f t="shared" si="14"/>
        <v>100</v>
      </c>
      <c r="X38" s="1262"/>
      <c r="Y38" s="3383"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6"/>
      <c r="M39" s="2481"/>
      <c r="N39" s="2481"/>
      <c r="O39" s="2481"/>
      <c r="P39" s="3381"/>
      <c r="Q39" s="1260" t="str">
        <f t="shared" si="11"/>
        <v>层高</v>
      </c>
      <c r="R39" s="667" t="s">
        <v>14</v>
      </c>
      <c r="S39" s="668">
        <f t="shared" si="12"/>
        <v>100</v>
      </c>
      <c r="T39" s="667" t="s">
        <v>14</v>
      </c>
      <c r="U39" s="668">
        <f t="shared" si="13"/>
        <v>100</v>
      </c>
      <c r="V39" s="667" t="s">
        <v>14</v>
      </c>
      <c r="W39" s="668">
        <f t="shared" si="14"/>
        <v>100</v>
      </c>
      <c r="X39" s="1262"/>
      <c r="Y39" s="3383"/>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381"/>
      <c r="Q40" s="1260" t="str">
        <f t="shared" si="11"/>
        <v>单套建筑面积</v>
      </c>
      <c r="R40" s="667" t="s">
        <v>14</v>
      </c>
      <c r="S40" s="668">
        <f t="shared" si="12"/>
        <v>100</v>
      </c>
      <c r="T40" s="667" t="s">
        <v>14</v>
      </c>
      <c r="U40" s="668">
        <f t="shared" si="13"/>
        <v>100</v>
      </c>
      <c r="V40" s="667" t="s">
        <v>14</v>
      </c>
      <c r="W40" s="668">
        <f t="shared" si="14"/>
        <v>100</v>
      </c>
      <c r="X40" s="1262"/>
      <c r="Y40" s="3383"/>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6"/>
      <c r="M42" s="2481"/>
      <c r="N42" s="2481"/>
      <c r="O42" s="2481"/>
      <c r="P42" s="3381"/>
      <c r="Q42" s="1260" t="str">
        <f t="shared" si="11"/>
        <v>内部装修</v>
      </c>
      <c r="R42" s="667" t="s">
        <v>14</v>
      </c>
      <c r="S42" s="668">
        <f t="shared" si="12"/>
        <v>100</v>
      </c>
      <c r="T42" s="667" t="s">
        <v>14</v>
      </c>
      <c r="U42" s="668">
        <f t="shared" si="13"/>
        <v>100</v>
      </c>
      <c r="V42" s="667" t="s">
        <v>14</v>
      </c>
      <c r="W42" s="668">
        <f t="shared" si="14"/>
        <v>100</v>
      </c>
      <c r="X42" s="1262"/>
      <c r="Y42" s="3383"/>
      <c r="Z42" s="1261" t="str">
        <f t="shared" si="15"/>
        <v>内部装修</v>
      </c>
      <c r="AA42" s="1261">
        <f t="shared" si="3"/>
        <v>1</v>
      </c>
      <c r="AB42" s="1261">
        <f t="shared" si="4"/>
        <v>1</v>
      </c>
      <c r="AC42" s="1261">
        <f t="shared" si="5"/>
        <v>1</v>
      </c>
    </row>
    <row r="43" spans="1:29" ht="28.8">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6"/>
      <c r="M43" s="2481"/>
      <c r="N43" s="2481"/>
      <c r="O43" s="2481"/>
      <c r="P43" s="3381"/>
      <c r="Q43" s="1260" t="str">
        <f t="shared" si="11"/>
        <v>内部装修维护情况</v>
      </c>
      <c r="R43" s="667" t="s">
        <v>14</v>
      </c>
      <c r="S43" s="668">
        <f t="shared" si="12"/>
        <v>100</v>
      </c>
      <c r="T43" s="667" t="s">
        <v>14</v>
      </c>
      <c r="U43" s="668">
        <f t="shared" si="13"/>
        <v>100</v>
      </c>
      <c r="V43" s="667" t="s">
        <v>14</v>
      </c>
      <c r="W43" s="668">
        <f t="shared" si="14"/>
        <v>100</v>
      </c>
      <c r="X43" s="1262"/>
      <c r="Y43" s="3383"/>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5"/>
      <c r="N44" s="2435"/>
      <c r="O44" s="2435"/>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381"/>
      <c r="Q45" s="1260">
        <f t="shared" si="11"/>
        <v>111</v>
      </c>
      <c r="R45" s="667" t="s">
        <v>14</v>
      </c>
      <c r="S45" s="668">
        <f t="shared" si="12"/>
        <v>100</v>
      </c>
      <c r="T45" s="667" t="s">
        <v>14</v>
      </c>
      <c r="U45" s="668">
        <f t="shared" si="13"/>
        <v>100</v>
      </c>
      <c r="V45" s="667" t="s">
        <v>14</v>
      </c>
      <c r="W45" s="668">
        <f t="shared" si="14"/>
        <v>100</v>
      </c>
      <c r="X45" s="1262"/>
      <c r="Y45" s="3383"/>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382"/>
      <c r="Q46" s="1260">
        <f t="shared" si="11"/>
        <v>111</v>
      </c>
      <c r="R46" s="667" t="s">
        <v>14</v>
      </c>
      <c r="S46" s="668">
        <f t="shared" si="12"/>
        <v>100</v>
      </c>
      <c r="T46" s="667" t="s">
        <v>14</v>
      </c>
      <c r="U46" s="668">
        <f t="shared" si="13"/>
        <v>100</v>
      </c>
      <c r="V46" s="667" t="s">
        <v>14</v>
      </c>
      <c r="W46" s="668">
        <f t="shared" si="14"/>
        <v>100</v>
      </c>
      <c r="X46" s="1262"/>
      <c r="Y46" s="3384"/>
      <c r="Z46" s="1261">
        <f t="shared" si="15"/>
        <v>111</v>
      </c>
      <c r="AA46" s="1261">
        <f t="shared" si="3"/>
        <v>1</v>
      </c>
      <c r="AB46" s="1261">
        <f t="shared" si="4"/>
        <v>1</v>
      </c>
      <c r="AC46" s="1261">
        <f t="shared" si="5"/>
        <v>1</v>
      </c>
    </row>
    <row r="47" spans="1:29" ht="14.4">
      <c r="A47" s="416" t="s">
        <v>1708</v>
      </c>
      <c r="B47" s="417"/>
      <c r="C47" s="1078" t="s">
        <v>0</v>
      </c>
      <c r="D47" s="418"/>
      <c r="E47" s="419"/>
      <c r="F47" s="420"/>
      <c r="G47" s="421"/>
      <c r="H47" s="422"/>
      <c r="I47" s="419"/>
      <c r="J47" s="422"/>
      <c r="K47" s="674"/>
      <c r="L47" s="2488"/>
      <c r="M47" s="2481"/>
      <c r="N47" s="2481"/>
      <c r="O47" s="2481"/>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 thickBot="1">
      <c r="A48" s="423" t="s">
        <v>1793</v>
      </c>
      <c r="B48" s="424"/>
      <c r="C48" s="1079" t="e">
        <f>R49</f>
        <v>#DIV/0!</v>
      </c>
      <c r="D48" s="2138" t="s">
        <v>2138</v>
      </c>
      <c r="E48" s="1080" t="e">
        <f>R48</f>
        <v>#DIV/0!</v>
      </c>
      <c r="F48" s="2139"/>
      <c r="G48" s="1079" t="e">
        <f>T48</f>
        <v>#DIV/0!</v>
      </c>
      <c r="H48" s="2139"/>
      <c r="I48" s="1080" t="e">
        <f>V48</f>
        <v>#DIV/0!</v>
      </c>
      <c r="J48" s="2139"/>
      <c r="K48" s="2141">
        <f>F48+H48+J48</f>
        <v>0</v>
      </c>
      <c r="L48" s="2488"/>
      <c r="M48" s="2481"/>
      <c r="N48" s="2481"/>
      <c r="O48" s="2481"/>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8"/>
      <c r="M49" s="2481"/>
      <c r="N49" s="2481"/>
      <c r="O49" s="2481"/>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8" t="s">
        <v>1798</v>
      </c>
      <c r="B57" s="385"/>
      <c r="C57" s="659"/>
      <c r="D57" s="659"/>
      <c r="E57" s="659"/>
      <c r="F57" s="660"/>
      <c r="G57" s="660"/>
      <c r="H57" s="659"/>
      <c r="I57" s="659"/>
      <c r="J57" s="659"/>
      <c r="K57" s="661"/>
      <c r="L57" s="885"/>
      <c r="M57" s="883"/>
      <c r="N57" s="883"/>
      <c r="O57" s="883"/>
      <c r="P57" s="2501"/>
      <c r="Q57" s="2502"/>
      <c r="R57" s="2481"/>
      <c r="S57" s="2481"/>
      <c r="T57" s="2481"/>
      <c r="U57" s="2481"/>
      <c r="V57" s="2481"/>
      <c r="W57" s="2481"/>
      <c r="X57" s="2481"/>
      <c r="Y57" s="2481"/>
      <c r="Z57" s="2481"/>
      <c r="AA57" s="2481"/>
      <c r="AB57" s="2481"/>
      <c r="AC57" s="2481"/>
    </row>
    <row r="58" spans="1:29" s="442" customFormat="1" ht="14.4">
      <c r="A58" s="440" t="s">
        <v>1679</v>
      </c>
      <c r="B58" s="441"/>
      <c r="C58" s="1100" t="str">
        <f>YEAR(C7)&amp;"-"&amp;MONTH(C7)</f>
        <v>2025-9</v>
      </c>
      <c r="D58" s="1101">
        <f>EDATE(C58,-1)</f>
        <v>45870</v>
      </c>
      <c r="E58" s="1101">
        <f t="shared" ref="E58:N58" si="16">EDATE(D58,-1)</f>
        <v>45839</v>
      </c>
      <c r="F58" s="1101">
        <f t="shared" si="16"/>
        <v>45809</v>
      </c>
      <c r="G58" s="1101">
        <f t="shared" si="16"/>
        <v>45778</v>
      </c>
      <c r="H58" s="1101">
        <f t="shared" si="16"/>
        <v>45748</v>
      </c>
      <c r="I58" s="1101">
        <f t="shared" si="16"/>
        <v>45717</v>
      </c>
      <c r="J58" s="1101">
        <f t="shared" si="16"/>
        <v>45689</v>
      </c>
      <c r="K58" s="1101">
        <f t="shared" si="16"/>
        <v>45658</v>
      </c>
      <c r="L58" s="1101">
        <f t="shared" si="16"/>
        <v>45627</v>
      </c>
      <c r="M58" s="1101">
        <f t="shared" si="16"/>
        <v>45597</v>
      </c>
      <c r="N58" s="1101">
        <f t="shared" si="16"/>
        <v>45566</v>
      </c>
      <c r="O58" s="1101">
        <f>EDATE(N58,-1)</f>
        <v>45536</v>
      </c>
      <c r="P58" s="2503"/>
      <c r="Q58" s="2504"/>
      <c r="R58" s="2504"/>
      <c r="S58" s="2504"/>
      <c r="T58" s="2504"/>
      <c r="U58" s="2504"/>
      <c r="V58" s="2504"/>
      <c r="W58" s="2504"/>
      <c r="X58" s="2504"/>
      <c r="Y58" s="2504"/>
      <c r="Z58" s="2504"/>
      <c r="AA58" s="2504"/>
      <c r="AB58" s="2504"/>
      <c r="AC58" s="2504"/>
    </row>
    <row r="59" spans="1:29" s="102" customFormat="1">
      <c r="A59" s="443"/>
      <c r="B59" s="444"/>
      <c r="C59" s="1099">
        <v>100</v>
      </c>
      <c r="D59" s="446"/>
      <c r="E59" s="446"/>
      <c r="F59" s="446"/>
      <c r="G59" s="446"/>
      <c r="H59" s="446"/>
      <c r="I59" s="446"/>
      <c r="J59" s="446"/>
      <c r="K59" s="446"/>
      <c r="L59" s="446"/>
      <c r="M59" s="447"/>
      <c r="N59" s="446"/>
      <c r="O59" s="447"/>
      <c r="P59" s="2505"/>
      <c r="Q59" s="2435"/>
      <c r="R59" s="2435"/>
      <c r="S59" s="2435"/>
      <c r="T59" s="2435"/>
      <c r="U59" s="2435"/>
      <c r="V59" s="2435"/>
      <c r="W59" s="2435"/>
      <c r="X59" s="2435"/>
      <c r="Y59" s="2435"/>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5"/>
      <c r="Q60" s="2502"/>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4"/>
      <c r="O61" s="2514"/>
      <c r="P61" s="2506"/>
      <c r="Q61" s="2502"/>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4"/>
      <c r="O62" s="2514"/>
      <c r="P62" s="2505"/>
      <c r="Q62" s="2502"/>
      <c r="R62" s="2435"/>
      <c r="S62" s="2435"/>
      <c r="T62" s="2435"/>
      <c r="U62" s="2435"/>
      <c r="V62" s="2435"/>
      <c r="W62" s="2435"/>
      <c r="X62" s="2435"/>
      <c r="Y62" s="2435"/>
      <c r="Z62" s="2435"/>
      <c r="AA62" s="2435"/>
      <c r="AB62" s="2435"/>
      <c r="AC62" s="2435"/>
    </row>
    <row r="63" spans="1:29" ht="14.4">
      <c r="A63" s="379" t="s">
        <v>1719</v>
      </c>
      <c r="B63" s="460" t="s">
        <v>1685</v>
      </c>
      <c r="C63" s="461">
        <f>C9</f>
        <v>0</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4.4"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9.4" thickTop="1">
      <c r="A65" s="367"/>
      <c r="B65" s="469" t="s">
        <v>1688</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4.4"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c r="A68" s="367"/>
      <c r="B68" s="479"/>
      <c r="C68" s="480"/>
      <c r="D68" s="480"/>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4.4"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4.4"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4.4"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 thickTop="1">
      <c r="A82" s="367"/>
      <c r="B82" s="477" t="s">
        <v>1779</v>
      </c>
      <c r="C82" s="581" t="s">
        <v>1799</v>
      </c>
      <c r="D82" s="581" t="s">
        <v>1800</v>
      </c>
      <c r="E82" s="581" t="s">
        <v>1801</v>
      </c>
      <c r="F82" s="581" t="s">
        <v>1802</v>
      </c>
      <c r="G82" s="581" t="s">
        <v>1803</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 thickTop="1">
      <c r="A86" s="370"/>
      <c r="B86" s="469" t="s">
        <v>1804</v>
      </c>
      <c r="C86" s="485"/>
      <c r="D86" s="485"/>
      <c r="E86" s="485"/>
      <c r="F86" s="485"/>
      <c r="G86" s="485"/>
      <c r="H86" s="485"/>
      <c r="I86" s="485"/>
      <c r="J86" s="485"/>
      <c r="K86" s="485"/>
      <c r="L86" s="510"/>
      <c r="M86" s="511"/>
      <c r="N86" s="2514"/>
      <c r="O86" s="2514"/>
      <c r="P86" s="2507"/>
      <c r="Q86" s="2502"/>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6"/>
      <c r="O87" s="2516"/>
      <c r="P87" s="2507"/>
      <c r="Q87" s="2502"/>
      <c r="R87" s="2435"/>
      <c r="S87" s="2435"/>
      <c r="T87" s="2435"/>
      <c r="U87" s="2435"/>
      <c r="V87" s="2435"/>
      <c r="W87" s="2435"/>
      <c r="X87" s="2435"/>
      <c r="Y87" s="2435"/>
      <c r="Z87" s="2435"/>
      <c r="AA87" s="2435"/>
      <c r="AB87" s="2435"/>
      <c r="AC87" s="2435"/>
    </row>
    <row r="88" spans="1:29" s="102" customFormat="1" ht="14.4" thickTop="1">
      <c r="A88" s="370"/>
      <c r="B88" s="469" t="str">
        <f>B26</f>
        <v>平面位置/可视性</v>
      </c>
      <c r="C88" s="485"/>
      <c r="D88" s="485"/>
      <c r="E88" s="485"/>
      <c r="F88" s="1777"/>
      <c r="G88" s="485"/>
      <c r="H88" s="485"/>
      <c r="I88" s="485"/>
      <c r="J88" s="485"/>
      <c r="K88" s="485"/>
      <c r="L88" s="485"/>
      <c r="M88" s="511"/>
      <c r="N88" s="2514"/>
      <c r="O88" s="2514"/>
      <c r="P88" s="2507"/>
      <c r="Q88" s="2502"/>
      <c r="R88" s="2435"/>
      <c r="S88" s="2435"/>
      <c r="T88" s="2435"/>
      <c r="U88" s="2435"/>
      <c r="V88" s="2435"/>
      <c r="W88" s="2435"/>
      <c r="X88" s="2435"/>
      <c r="Y88" s="2435"/>
      <c r="Z88" s="2435"/>
      <c r="AA88" s="2435"/>
      <c r="AB88" s="2435"/>
      <c r="AC88" s="2435"/>
    </row>
    <row r="89" spans="1:29" s="102" customFormat="1" ht="14.4" thickBot="1">
      <c r="A89" s="370"/>
      <c r="B89" s="474"/>
      <c r="C89" s="491"/>
      <c r="D89" s="467"/>
      <c r="E89" s="467"/>
      <c r="F89" s="467"/>
      <c r="G89" s="467"/>
      <c r="H89" s="467"/>
      <c r="I89" s="467"/>
      <c r="J89" s="467"/>
      <c r="K89" s="467"/>
      <c r="L89" s="467"/>
      <c r="M89" s="467"/>
      <c r="N89" s="2516"/>
      <c r="O89" s="2516"/>
      <c r="P89" s="2507"/>
      <c r="Q89" s="2502"/>
      <c r="R89" s="2435"/>
      <c r="S89" s="2435"/>
      <c r="T89" s="2435"/>
      <c r="U89" s="2435"/>
      <c r="V89" s="2435"/>
      <c r="W89" s="2435"/>
      <c r="X89" s="2435"/>
      <c r="Y89" s="2435"/>
      <c r="Z89" s="2435"/>
      <c r="AA89" s="2435"/>
      <c r="AB89" s="2435"/>
      <c r="AC89" s="2435"/>
    </row>
    <row r="90" spans="1:29" s="408" customFormat="1" ht="14.4" thickTop="1">
      <c r="A90" s="484"/>
      <c r="B90" s="469" t="str">
        <f>B27</f>
        <v>人流量</v>
      </c>
      <c r="C90" s="485"/>
      <c r="D90" s="485"/>
      <c r="E90" s="485"/>
      <c r="F90" s="485"/>
      <c r="G90" s="485"/>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7"/>
      <c r="O91" s="2517"/>
      <c r="P91" s="2508"/>
      <c r="Q91" s="2509"/>
      <c r="R91" s="2487"/>
      <c r="S91" s="2487"/>
      <c r="T91" s="2487"/>
      <c r="U91" s="2487"/>
      <c r="V91" s="2487"/>
      <c r="W91" s="2487"/>
      <c r="X91" s="2487"/>
      <c r="Y91" s="2487"/>
      <c r="Z91" s="2487"/>
      <c r="AA91" s="2487"/>
      <c r="AB91" s="2487"/>
      <c r="AC91" s="2487"/>
    </row>
    <row r="92" spans="1:29" ht="14.4" thickTop="1">
      <c r="A92" s="367"/>
      <c r="B92" s="469" t="str">
        <f>B28</f>
        <v>楼层</v>
      </c>
      <c r="C92" s="485"/>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4.4" thickBot="1">
      <c r="A93" s="367"/>
      <c r="B93" s="474"/>
      <c r="C93" s="467"/>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4.4"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4.4"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4.4"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4.4"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4.4"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4.4"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ht="14.4">
      <c r="A100" s="379" t="s">
        <v>1694</v>
      </c>
      <c r="B100" s="460" t="s">
        <v>1805</v>
      </c>
      <c r="C100" s="462"/>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6"/>
      <c r="D103" s="6"/>
      <c r="E103" s="6"/>
      <c r="F103" s="6"/>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4.4" thickBot="1">
      <c r="A104" s="484"/>
      <c r="B104" s="474"/>
      <c r="C104" s="491"/>
      <c r="D104" s="467"/>
      <c r="E104" s="467"/>
      <c r="F104" s="467"/>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485"/>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485"/>
      <c r="D114" s="485"/>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1807</v>
      </c>
      <c r="C116" s="485"/>
      <c r="D116" s="485"/>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4.4"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485"/>
      <c r="D122" s="485"/>
      <c r="E122" s="485"/>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4.4"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4.4"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4.4"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4.4"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4.4"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4.4"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50178.659999999996</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57"/>
      <c r="M4" s="858"/>
      <c r="N4" s="858"/>
      <c r="O4" s="858"/>
      <c r="P4" s="3450" t="s">
        <v>1775</v>
      </c>
      <c r="Q4" s="3451"/>
      <c r="R4" s="3454" t="s">
        <v>1771</v>
      </c>
      <c r="S4" s="3455"/>
      <c r="T4" s="3454" t="s">
        <v>1772</v>
      </c>
      <c r="U4" s="3455"/>
      <c r="V4" s="3372" t="s">
        <v>1773</v>
      </c>
      <c r="W4" s="3372"/>
      <c r="X4" s="1262"/>
      <c r="Y4" s="3454" t="s">
        <v>1775</v>
      </c>
      <c r="Z4" s="3455"/>
      <c r="AA4" s="3449" t="s">
        <v>1771</v>
      </c>
      <c r="AB4" s="3416" t="s">
        <v>1772</v>
      </c>
      <c r="AC4" s="3449" t="s">
        <v>1773</v>
      </c>
    </row>
    <row r="5" spans="1:29">
      <c r="A5" s="348"/>
      <c r="B5" s="349"/>
      <c r="C5" s="3407" t="s">
        <v>1673</v>
      </c>
      <c r="D5" s="3408"/>
      <c r="E5" s="3456" t="s">
        <v>1674</v>
      </c>
      <c r="F5" s="3419"/>
      <c r="G5" s="3407" t="s">
        <v>1675</v>
      </c>
      <c r="H5" s="3408"/>
      <c r="I5" s="3407" t="s">
        <v>1676</v>
      </c>
      <c r="J5" s="3408"/>
      <c r="K5" s="537"/>
      <c r="L5" s="857"/>
      <c r="M5" s="858"/>
      <c r="N5" s="858"/>
      <c r="O5" s="858"/>
      <c r="P5" s="3452"/>
      <c r="Q5" s="3395"/>
      <c r="R5" s="3400"/>
      <c r="S5" s="3401"/>
      <c r="T5" s="3400"/>
      <c r="U5" s="3401"/>
      <c r="V5" s="3372"/>
      <c r="W5" s="3372"/>
      <c r="X5" s="1262"/>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857"/>
      <c r="M6" s="858"/>
      <c r="N6" s="858"/>
      <c r="O6" s="858"/>
      <c r="P6" s="3453"/>
      <c r="Q6" s="3397"/>
      <c r="R6" s="3400"/>
      <c r="S6" s="3401"/>
      <c r="T6" s="3402"/>
      <c r="U6" s="3403"/>
      <c r="V6" s="3372"/>
      <c r="W6" s="3372"/>
      <c r="X6" s="1262"/>
      <c r="Y6" s="3402"/>
      <c r="Z6" s="3403"/>
      <c r="AA6" s="3417"/>
      <c r="AB6" s="3417"/>
      <c r="AC6" s="3417"/>
    </row>
    <row r="7" spans="1:29" s="102" customFormat="1" ht="15" thickBot="1">
      <c r="A7" s="352" t="s">
        <v>1679</v>
      </c>
      <c r="B7" s="353"/>
      <c r="C7" s="354">
        <f>'数据-取费表'!B2</f>
        <v>45903</v>
      </c>
      <c r="D7" s="355">
        <v>100</v>
      </c>
      <c r="E7" s="356"/>
      <c r="F7" s="357">
        <f>SUMIF(52:52,YEAR(E7)&amp;"-"&amp;MONTH(E7),53:53)</f>
        <v>0</v>
      </c>
      <c r="G7" s="356"/>
      <c r="H7" s="355">
        <f>SUMIF(52:52,YEAR(G7)&amp;"-"&amp;MONTH(G7),53:53)</f>
        <v>0</v>
      </c>
      <c r="I7" s="356"/>
      <c r="J7" s="355">
        <f>SUMIF(52:52,YEAR(I7)&amp;"-"&amp;MONTH(I7),53:53)</f>
        <v>0</v>
      </c>
      <c r="K7" s="38"/>
      <c r="L7" s="859"/>
      <c r="M7" s="860"/>
      <c r="N7" s="860"/>
      <c r="O7" s="860"/>
      <c r="P7" s="3411" t="s">
        <v>1680</v>
      </c>
      <c r="Q7" s="3412"/>
      <c r="R7" s="664" t="s">
        <v>14</v>
      </c>
      <c r="S7" s="665">
        <f t="shared" ref="S7:S15" si="0">F7</f>
        <v>0</v>
      </c>
      <c r="T7" s="664" t="s">
        <v>14</v>
      </c>
      <c r="U7" s="665">
        <f t="shared" ref="U7:U15" si="1">H7</f>
        <v>0</v>
      </c>
      <c r="V7" s="664" t="s">
        <v>14</v>
      </c>
      <c r="W7" s="665">
        <f t="shared" ref="W7:W15" si="2">J7</f>
        <v>0</v>
      </c>
      <c r="X7" s="666"/>
      <c r="Y7" s="3411" t="s">
        <v>1680</v>
      </c>
      <c r="Z7" s="341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11" t="s">
        <v>1683</v>
      </c>
      <c r="Q8" s="3410"/>
      <c r="R8" s="664" t="s">
        <v>14</v>
      </c>
      <c r="S8" s="665">
        <f t="shared" si="0"/>
        <v>100</v>
      </c>
      <c r="T8" s="664" t="s">
        <v>14</v>
      </c>
      <c r="U8" s="665">
        <f t="shared" si="1"/>
        <v>100</v>
      </c>
      <c r="V8" s="664" t="s">
        <v>14</v>
      </c>
      <c r="W8" s="665">
        <f t="shared" si="2"/>
        <v>100</v>
      </c>
      <c r="X8" s="666"/>
      <c r="Y8" s="3411" t="s">
        <v>1683</v>
      </c>
      <c r="Z8" s="341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7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37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71"/>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37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37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371"/>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78" t="s">
        <v>1691</v>
      </c>
      <c r="Q15" s="1260" t="str">
        <f t="shared" si="6"/>
        <v>产业集聚程度</v>
      </c>
      <c r="R15" s="667" t="s">
        <v>14</v>
      </c>
      <c r="S15" s="668">
        <f t="shared" si="0"/>
        <v>100</v>
      </c>
      <c r="T15" s="667" t="s">
        <v>14</v>
      </c>
      <c r="U15" s="668">
        <f t="shared" si="1"/>
        <v>100</v>
      </c>
      <c r="V15" s="667" t="s">
        <v>14</v>
      </c>
      <c r="W15" s="668">
        <f t="shared" si="2"/>
        <v>100</v>
      </c>
      <c r="X15" s="1262"/>
      <c r="Y15" s="337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79"/>
      <c r="Q16" s="1260"/>
      <c r="R16" s="667"/>
      <c r="S16" s="668"/>
      <c r="T16" s="667"/>
      <c r="U16" s="668"/>
      <c r="V16" s="667"/>
      <c r="W16" s="668"/>
      <c r="X16" s="1262"/>
      <c r="Y16" s="3379"/>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79"/>
      <c r="Q17" s="1260" t="str">
        <f>B17</f>
        <v>交通便捷度</v>
      </c>
      <c r="R17" s="667" t="s">
        <v>14</v>
      </c>
      <c r="S17" s="668">
        <f>F17</f>
        <v>100</v>
      </c>
      <c r="T17" s="667" t="s">
        <v>14</v>
      </c>
      <c r="U17" s="668">
        <f>H17</f>
        <v>100</v>
      </c>
      <c r="V17" s="667" t="s">
        <v>14</v>
      </c>
      <c r="W17" s="668">
        <f>J17</f>
        <v>100</v>
      </c>
      <c r="X17" s="1262"/>
      <c r="Y17" s="337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79"/>
      <c r="Q18" s="1260"/>
      <c r="R18" s="667"/>
      <c r="S18" s="668"/>
      <c r="T18" s="667"/>
      <c r="U18" s="668"/>
      <c r="V18" s="667"/>
      <c r="W18" s="668"/>
      <c r="X18" s="1262"/>
      <c r="Y18" s="3379"/>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79"/>
      <c r="Q19" s="1260" t="str">
        <f>B19</f>
        <v>公共配套设施</v>
      </c>
      <c r="R19" s="667" t="s">
        <v>14</v>
      </c>
      <c r="S19" s="668">
        <f>F19</f>
        <v>100</v>
      </c>
      <c r="T19" s="667" t="s">
        <v>14</v>
      </c>
      <c r="U19" s="668">
        <f>H19</f>
        <v>100</v>
      </c>
      <c r="V19" s="667" t="s">
        <v>14</v>
      </c>
      <c r="W19" s="668">
        <f>J19</f>
        <v>100</v>
      </c>
      <c r="X19" s="1262"/>
      <c r="Y19" s="337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79"/>
      <c r="Q20" s="1260"/>
      <c r="R20" s="667"/>
      <c r="S20" s="668"/>
      <c r="T20" s="667"/>
      <c r="U20" s="668"/>
      <c r="V20" s="667"/>
      <c r="W20" s="668"/>
      <c r="X20" s="1262"/>
      <c r="Y20" s="3379"/>
      <c r="Z20" s="1261"/>
      <c r="AA20" s="1261">
        <v>1</v>
      </c>
      <c r="AB20" s="1261">
        <v>1</v>
      </c>
      <c r="AC20" s="1261">
        <v>1</v>
      </c>
    </row>
    <row r="21" spans="1:29" ht="41.4">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79"/>
      <c r="Q21" s="1260" t="str">
        <f>B21</f>
        <v>基础设施水平</v>
      </c>
      <c r="R21" s="667" t="s">
        <v>14</v>
      </c>
      <c r="S21" s="668">
        <f>F21</f>
        <v>100</v>
      </c>
      <c r="T21" s="667" t="s">
        <v>14</v>
      </c>
      <c r="U21" s="668">
        <f>H21</f>
        <v>100</v>
      </c>
      <c r="V21" s="667" t="s">
        <v>14</v>
      </c>
      <c r="W21" s="668">
        <f>J21</f>
        <v>100</v>
      </c>
      <c r="X21" s="1262"/>
      <c r="Y21" s="3379"/>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867"/>
      <c r="M22" s="858"/>
      <c r="N22" s="858"/>
      <c r="O22" s="866"/>
      <c r="P22" s="3379"/>
      <c r="Q22" s="1260"/>
      <c r="R22" s="667"/>
      <c r="S22" s="668"/>
      <c r="T22" s="667"/>
      <c r="U22" s="668"/>
      <c r="V22" s="667"/>
      <c r="W22" s="668"/>
      <c r="X22" s="1262"/>
      <c r="Y22" s="3379"/>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79"/>
      <c r="Q23" s="1260" t="str">
        <f>B23</f>
        <v>环境质量</v>
      </c>
      <c r="R23" s="667" t="s">
        <v>14</v>
      </c>
      <c r="S23" s="668">
        <f>F23</f>
        <v>100</v>
      </c>
      <c r="T23" s="667" t="s">
        <v>14</v>
      </c>
      <c r="U23" s="668">
        <f>H23</f>
        <v>100</v>
      </c>
      <c r="V23" s="667" t="s">
        <v>14</v>
      </c>
      <c r="W23" s="668">
        <f>J23</f>
        <v>100</v>
      </c>
      <c r="X23" s="1262"/>
      <c r="Y23" s="3379"/>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379"/>
      <c r="Q24" s="1260"/>
      <c r="R24" s="667"/>
      <c r="S24" s="668"/>
      <c r="T24" s="667"/>
      <c r="U24" s="668"/>
      <c r="V24" s="667"/>
      <c r="W24" s="668"/>
      <c r="X24" s="1262"/>
      <c r="Y24" s="337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79"/>
      <c r="Q25" s="1260">
        <f>B25</f>
        <v>111</v>
      </c>
      <c r="R25" s="667" t="s">
        <v>14</v>
      </c>
      <c r="S25" s="668">
        <f>F25</f>
        <v>100</v>
      </c>
      <c r="T25" s="667" t="s">
        <v>14</v>
      </c>
      <c r="U25" s="668">
        <f>H25</f>
        <v>100</v>
      </c>
      <c r="V25" s="667" t="s">
        <v>14</v>
      </c>
      <c r="W25" s="668">
        <f>J25</f>
        <v>100</v>
      </c>
      <c r="X25" s="1262"/>
      <c r="Y25" s="337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79"/>
      <c r="Q26" s="1260">
        <f t="shared" ref="Q26:Q40" si="11">B26</f>
        <v>111</v>
      </c>
      <c r="R26" s="667" t="s">
        <v>14</v>
      </c>
      <c r="S26" s="668">
        <f>F26</f>
        <v>100</v>
      </c>
      <c r="T26" s="667" t="s">
        <v>14</v>
      </c>
      <c r="U26" s="668">
        <f>H26</f>
        <v>100</v>
      </c>
      <c r="V26" s="667" t="s">
        <v>14</v>
      </c>
      <c r="W26" s="668">
        <f>J26</f>
        <v>100</v>
      </c>
      <c r="X26" s="1262"/>
      <c r="Y26" s="337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79"/>
      <c r="Q27" s="530">
        <f t="shared" si="11"/>
        <v>111</v>
      </c>
      <c r="R27" s="664" t="s">
        <v>14</v>
      </c>
      <c r="S27" s="665">
        <f>F27</f>
        <v>100</v>
      </c>
      <c r="T27" s="664" t="s">
        <v>14</v>
      </c>
      <c r="U27" s="665">
        <f>H27</f>
        <v>100</v>
      </c>
      <c r="V27" s="664" t="s">
        <v>14</v>
      </c>
      <c r="W27" s="665">
        <f>J27</f>
        <v>100</v>
      </c>
      <c r="X27" s="666"/>
      <c r="Y27" s="3379"/>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79"/>
      <c r="Q28" s="1260">
        <f t="shared" si="11"/>
        <v>111</v>
      </c>
      <c r="R28" s="667" t="s">
        <v>14</v>
      </c>
      <c r="S28" s="668">
        <f t="shared" ref="S28:S40" si="12">F28</f>
        <v>100</v>
      </c>
      <c r="T28" s="667" t="s">
        <v>14</v>
      </c>
      <c r="U28" s="668">
        <f t="shared" ref="U28:U40" si="13">H28</f>
        <v>100</v>
      </c>
      <c r="V28" s="667" t="s">
        <v>14</v>
      </c>
      <c r="W28" s="668">
        <f t="shared" ref="W28:W40" si="14">J28</f>
        <v>100</v>
      </c>
      <c r="X28" s="1262"/>
      <c r="Y28" s="3379"/>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57" t="s">
        <v>1696</v>
      </c>
      <c r="Q29" s="1260" t="str">
        <f t="shared" si="11"/>
        <v>建筑类型</v>
      </c>
      <c r="R29" s="667" t="s">
        <v>14</v>
      </c>
      <c r="S29" s="668">
        <f t="shared" si="12"/>
        <v>100</v>
      </c>
      <c r="T29" s="667" t="s">
        <v>14</v>
      </c>
      <c r="U29" s="668">
        <f t="shared" si="13"/>
        <v>100</v>
      </c>
      <c r="V29" s="667" t="s">
        <v>14</v>
      </c>
      <c r="W29" s="668">
        <f t="shared" si="14"/>
        <v>100</v>
      </c>
      <c r="X29" s="1262"/>
      <c r="Y29" s="3383"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83"/>
      <c r="Q31" s="1260" t="str">
        <f t="shared" si="11"/>
        <v>建筑结构</v>
      </c>
      <c r="R31" s="667" t="s">
        <v>14</v>
      </c>
      <c r="S31" s="668">
        <f t="shared" si="12"/>
        <v>100</v>
      </c>
      <c r="T31" s="667" t="s">
        <v>14</v>
      </c>
      <c r="U31" s="668">
        <f t="shared" si="13"/>
        <v>100</v>
      </c>
      <c r="V31" s="667" t="s">
        <v>14</v>
      </c>
      <c r="W31" s="668">
        <f t="shared" si="14"/>
        <v>100</v>
      </c>
      <c r="X31" s="1262"/>
      <c r="Y31" s="3383"/>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83"/>
      <c r="Q32" s="1260" t="str">
        <f t="shared" si="11"/>
        <v>公共部分装修</v>
      </c>
      <c r="R32" s="667" t="s">
        <v>14</v>
      </c>
      <c r="S32" s="668">
        <f t="shared" si="12"/>
        <v>100</v>
      </c>
      <c r="T32" s="667" t="s">
        <v>14</v>
      </c>
      <c r="U32" s="668">
        <f t="shared" si="13"/>
        <v>100</v>
      </c>
      <c r="V32" s="667" t="s">
        <v>14</v>
      </c>
      <c r="W32" s="668">
        <f t="shared" si="14"/>
        <v>100</v>
      </c>
      <c r="X32" s="1262"/>
      <c r="Y32" s="3383"/>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83"/>
      <c r="Q33" s="1260" t="str">
        <f t="shared" si="11"/>
        <v>成新度</v>
      </c>
      <c r="R33" s="667" t="s">
        <v>14</v>
      </c>
      <c r="S33" s="668" t="e">
        <f t="shared" si="12"/>
        <v>#N/A</v>
      </c>
      <c r="T33" s="667" t="s">
        <v>14</v>
      </c>
      <c r="U33" s="668" t="e">
        <f t="shared" si="13"/>
        <v>#N/A</v>
      </c>
      <c r="V33" s="667" t="s">
        <v>14</v>
      </c>
      <c r="W33" s="668" t="e">
        <f t="shared" si="14"/>
        <v>#N/A</v>
      </c>
      <c r="X33" s="1262"/>
      <c r="Y33" s="3383"/>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83" t="s">
        <v>1696</v>
      </c>
      <c r="Q35" s="1260" t="str">
        <f t="shared" si="11"/>
        <v>市政基础设施</v>
      </c>
      <c r="R35" s="667" t="s">
        <v>14</v>
      </c>
      <c r="S35" s="668">
        <f t="shared" si="12"/>
        <v>100</v>
      </c>
      <c r="T35" s="667" t="s">
        <v>14</v>
      </c>
      <c r="U35" s="668">
        <f t="shared" si="13"/>
        <v>100</v>
      </c>
      <c r="V35" s="667" t="s">
        <v>14</v>
      </c>
      <c r="W35" s="668">
        <f t="shared" si="14"/>
        <v>100</v>
      </c>
      <c r="X35" s="1262"/>
      <c r="Y35" s="3383"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83"/>
      <c r="Q36" s="1260" t="str">
        <f t="shared" si="11"/>
        <v>内部装修</v>
      </c>
      <c r="R36" s="667" t="s">
        <v>14</v>
      </c>
      <c r="S36" s="668">
        <f t="shared" si="12"/>
        <v>100</v>
      </c>
      <c r="T36" s="667" t="s">
        <v>14</v>
      </c>
      <c r="U36" s="668">
        <f t="shared" si="13"/>
        <v>100</v>
      </c>
      <c r="V36" s="667" t="s">
        <v>14</v>
      </c>
      <c r="W36" s="668">
        <f t="shared" si="14"/>
        <v>100</v>
      </c>
      <c r="X36" s="1262"/>
      <c r="Y36" s="3383"/>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83"/>
      <c r="Q37" s="1260" t="str">
        <f t="shared" si="11"/>
        <v>内部装修状况</v>
      </c>
      <c r="R37" s="667" t="s">
        <v>14</v>
      </c>
      <c r="S37" s="668">
        <f t="shared" si="12"/>
        <v>100</v>
      </c>
      <c r="T37" s="667" t="s">
        <v>14</v>
      </c>
      <c r="U37" s="668">
        <f t="shared" si="13"/>
        <v>100</v>
      </c>
      <c r="V37" s="667" t="s">
        <v>14</v>
      </c>
      <c r="W37" s="668">
        <f t="shared" si="14"/>
        <v>100</v>
      </c>
      <c r="X37" s="1262"/>
      <c r="Y37" s="3383"/>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83"/>
      <c r="Q39" s="1260">
        <f t="shared" si="11"/>
        <v>111</v>
      </c>
      <c r="R39" s="667" t="s">
        <v>14</v>
      </c>
      <c r="S39" s="668">
        <f t="shared" si="12"/>
        <v>100</v>
      </c>
      <c r="T39" s="667" t="s">
        <v>14</v>
      </c>
      <c r="U39" s="668">
        <f t="shared" si="13"/>
        <v>100</v>
      </c>
      <c r="V39" s="667" t="s">
        <v>14</v>
      </c>
      <c r="W39" s="668">
        <f t="shared" si="14"/>
        <v>100</v>
      </c>
      <c r="X39" s="1262"/>
      <c r="Y39" s="3383"/>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84"/>
      <c r="Q40" s="1260">
        <f t="shared" si="11"/>
        <v>111</v>
      </c>
      <c r="R40" s="667" t="s">
        <v>14</v>
      </c>
      <c r="S40" s="668">
        <f t="shared" si="12"/>
        <v>100</v>
      </c>
      <c r="T40" s="667" t="s">
        <v>14</v>
      </c>
      <c r="U40" s="668">
        <f t="shared" si="13"/>
        <v>100</v>
      </c>
      <c r="V40" s="667" t="s">
        <v>14</v>
      </c>
      <c r="W40" s="668">
        <f t="shared" si="14"/>
        <v>100</v>
      </c>
      <c r="X40" s="1262"/>
      <c r="Y40" s="3384"/>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4"/>
      <c r="L41" s="870"/>
      <c r="M41" s="858"/>
      <c r="N41" s="858"/>
      <c r="O41" s="858"/>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0"/>
      <c r="M43" s="858"/>
      <c r="N43" s="858"/>
      <c r="O43" s="858"/>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2.2" thickBot="1">
      <c r="A51" s="658" t="s">
        <v>1798</v>
      </c>
      <c r="B51" s="385"/>
      <c r="C51" s="659"/>
      <c r="D51" s="659"/>
      <c r="E51" s="659"/>
      <c r="F51" s="660"/>
      <c r="G51" s="660"/>
      <c r="H51" s="659"/>
      <c r="I51" s="659"/>
      <c r="J51" s="659"/>
      <c r="K51" s="884"/>
      <c r="L51" s="885"/>
      <c r="M51" s="883"/>
      <c r="N51" s="883"/>
      <c r="O51" s="883"/>
      <c r="P51" s="438"/>
      <c r="Q51" s="439"/>
    </row>
    <row r="52" spans="1:17" s="442" customFormat="1" ht="14.4">
      <c r="A52" s="440" t="s">
        <v>1679</v>
      </c>
      <c r="B52" s="441"/>
      <c r="C52" s="1100" t="str">
        <f>YEAR(C7)&amp;"-"&amp;MONTH(C7)</f>
        <v>2025-9</v>
      </c>
      <c r="D52" s="1101">
        <f>EDATE(C52,-1)</f>
        <v>45870</v>
      </c>
      <c r="E52" s="1101">
        <f t="shared" ref="E52:O52" si="16">EDATE(D52,-1)</f>
        <v>45839</v>
      </c>
      <c r="F52" s="1101">
        <f t="shared" si="16"/>
        <v>45809</v>
      </c>
      <c r="G52" s="1101">
        <f t="shared" si="16"/>
        <v>45778</v>
      </c>
      <c r="H52" s="1101">
        <f t="shared" si="16"/>
        <v>45748</v>
      </c>
      <c r="I52" s="1101">
        <f t="shared" si="16"/>
        <v>45717</v>
      </c>
      <c r="J52" s="1101">
        <f t="shared" si="16"/>
        <v>45689</v>
      </c>
      <c r="K52" s="1101">
        <f t="shared" si="16"/>
        <v>45658</v>
      </c>
      <c r="L52" s="1101">
        <f t="shared" si="16"/>
        <v>45627</v>
      </c>
      <c r="M52" s="1101">
        <f t="shared" si="16"/>
        <v>45597</v>
      </c>
      <c r="N52" s="1101">
        <f t="shared" si="16"/>
        <v>45566</v>
      </c>
      <c r="O52" s="1101">
        <f t="shared" si="16"/>
        <v>45536</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3">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3329</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0"/>
      <c r="M4" s="2481"/>
      <c r="N4" s="2481"/>
      <c r="O4" s="2481"/>
      <c r="P4" s="3450" t="s">
        <v>1775</v>
      </c>
      <c r="Q4" s="3451"/>
      <c r="R4" s="3454" t="s">
        <v>1771</v>
      </c>
      <c r="S4" s="3455"/>
      <c r="T4" s="3454" t="s">
        <v>1772</v>
      </c>
      <c r="U4" s="3455"/>
      <c r="V4" s="3372" t="s">
        <v>1773</v>
      </c>
      <c r="W4" s="3372"/>
      <c r="X4" s="1262"/>
      <c r="Y4" s="3454" t="s">
        <v>1775</v>
      </c>
      <c r="Z4" s="3455"/>
      <c r="AA4" s="3449" t="s">
        <v>1771</v>
      </c>
      <c r="AB4" s="3416" t="s">
        <v>1772</v>
      </c>
      <c r="AC4" s="3449" t="s">
        <v>1773</v>
      </c>
    </row>
    <row r="5" spans="1:29">
      <c r="A5" s="348"/>
      <c r="B5" s="349"/>
      <c r="C5" s="3407" t="s">
        <v>1673</v>
      </c>
      <c r="D5" s="3408"/>
      <c r="E5" s="3456" t="s">
        <v>1674</v>
      </c>
      <c r="F5" s="3419"/>
      <c r="G5" s="3407" t="s">
        <v>1675</v>
      </c>
      <c r="H5" s="3408"/>
      <c r="I5" s="3407" t="s">
        <v>1676</v>
      </c>
      <c r="J5" s="3408"/>
      <c r="K5" s="537"/>
      <c r="L5" s="2480"/>
      <c r="M5" s="2481"/>
      <c r="N5" s="2481"/>
      <c r="O5" s="2481"/>
      <c r="P5" s="3452"/>
      <c r="Q5" s="3395"/>
      <c r="R5" s="3400"/>
      <c r="S5" s="3401"/>
      <c r="T5" s="3400"/>
      <c r="U5" s="3401"/>
      <c r="V5" s="3372"/>
      <c r="W5" s="3372"/>
      <c r="X5" s="1262"/>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2480"/>
      <c r="M6" s="2481"/>
      <c r="N6" s="2481"/>
      <c r="O6" s="2481"/>
      <c r="P6" s="3453"/>
      <c r="Q6" s="3397"/>
      <c r="R6" s="3400"/>
      <c r="S6" s="3401"/>
      <c r="T6" s="3402"/>
      <c r="U6" s="3403"/>
      <c r="V6" s="3372"/>
      <c r="W6" s="3372"/>
      <c r="X6" s="1262"/>
      <c r="Y6" s="3402"/>
      <c r="Z6" s="3403"/>
      <c r="AA6" s="3417"/>
      <c r="AB6" s="3417"/>
      <c r="AC6" s="3417"/>
    </row>
    <row r="7" spans="1:29" s="102" customFormat="1" ht="15" thickBot="1">
      <c r="A7" s="352" t="s">
        <v>1679</v>
      </c>
      <c r="B7" s="353"/>
      <c r="C7" s="354">
        <f>'数据-取费表'!B2</f>
        <v>45903</v>
      </c>
      <c r="D7" s="355">
        <v>100</v>
      </c>
      <c r="E7" s="356"/>
      <c r="F7" s="357">
        <f>SUMIF(48:48,YEAR(E7)&amp;"-"&amp;MONTH(E7),49:49)</f>
        <v>0</v>
      </c>
      <c r="G7" s="356"/>
      <c r="H7" s="355">
        <f>SUMIF(48:48,YEAR(G7)&amp;"-"&amp;MONTH(G7),49:49)</f>
        <v>0</v>
      </c>
      <c r="I7" s="356"/>
      <c r="J7" s="355">
        <f>SUMIF(48:48,YEAR(I7)&amp;"-"&amp;MONTH(I7),49:49)</f>
        <v>0</v>
      </c>
      <c r="K7" s="38"/>
      <c r="L7" s="2482"/>
      <c r="M7" s="2435"/>
      <c r="N7" s="2435"/>
      <c r="O7" s="2435"/>
      <c r="P7" s="3411" t="s">
        <v>1680</v>
      </c>
      <c r="Q7" s="3412"/>
      <c r="R7" s="664" t="s">
        <v>14</v>
      </c>
      <c r="S7" s="665">
        <f t="shared" ref="S7:S14" si="0">F7</f>
        <v>0</v>
      </c>
      <c r="T7" s="664" t="s">
        <v>14</v>
      </c>
      <c r="U7" s="665">
        <f t="shared" ref="U7:U14" si="1">H7</f>
        <v>0</v>
      </c>
      <c r="V7" s="664" t="s">
        <v>14</v>
      </c>
      <c r="W7" s="665">
        <f t="shared" ref="W7:W14" si="2">J7</f>
        <v>0</v>
      </c>
      <c r="X7" s="666"/>
      <c r="Y7" s="3411" t="s">
        <v>1680</v>
      </c>
      <c r="Z7" s="341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2"/>
      <c r="M8" s="2435"/>
      <c r="N8" s="2435"/>
      <c r="O8" s="2435"/>
      <c r="P8" s="3411" t="s">
        <v>1683</v>
      </c>
      <c r="Q8" s="3410"/>
      <c r="R8" s="664" t="s">
        <v>14</v>
      </c>
      <c r="S8" s="665">
        <f t="shared" si="0"/>
        <v>100</v>
      </c>
      <c r="T8" s="664" t="s">
        <v>14</v>
      </c>
      <c r="U8" s="665">
        <f t="shared" si="1"/>
        <v>100</v>
      </c>
      <c r="V8" s="664" t="s">
        <v>14</v>
      </c>
      <c r="W8" s="665">
        <f t="shared" si="2"/>
        <v>100</v>
      </c>
      <c r="X8" s="666"/>
      <c r="Y8" s="3411" t="s">
        <v>1683</v>
      </c>
      <c r="Z8" s="341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2"/>
      <c r="M9" s="2435"/>
      <c r="N9" s="2435"/>
      <c r="O9" s="2435"/>
      <c r="P9" s="3371"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8">
      <c r="A10" s="565"/>
      <c r="B10" s="566" t="s">
        <v>1688</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37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371"/>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5"/>
      <c r="N12" s="2435"/>
      <c r="O12" s="2435"/>
      <c r="P12" s="337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37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79.4">
      <c r="A14" s="345" t="s">
        <v>1690</v>
      </c>
      <c r="B14" s="554" t="s">
        <v>1833</v>
      </c>
      <c r="C14" s="1816"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378" t="s">
        <v>1691</v>
      </c>
      <c r="Q14" s="1260" t="str">
        <f t="shared" si="6"/>
        <v>交通便捷度</v>
      </c>
      <c r="R14" s="667" t="s">
        <v>14</v>
      </c>
      <c r="S14" s="668">
        <f t="shared" si="0"/>
        <v>100</v>
      </c>
      <c r="T14" s="667" t="s">
        <v>14</v>
      </c>
      <c r="U14" s="668">
        <f t="shared" si="1"/>
        <v>100</v>
      </c>
      <c r="V14" s="667" t="s">
        <v>14</v>
      </c>
      <c r="W14" s="668">
        <f t="shared" si="2"/>
        <v>100</v>
      </c>
      <c r="X14" s="1262"/>
      <c r="Y14" s="3378"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6"/>
      <c r="M15" s="2481"/>
      <c r="N15" s="2481"/>
      <c r="O15" s="2481"/>
      <c r="P15" s="3379"/>
      <c r="Q15" s="1260"/>
      <c r="R15" s="667"/>
      <c r="S15" s="668"/>
      <c r="T15" s="667"/>
      <c r="U15" s="668"/>
      <c r="V15" s="667"/>
      <c r="W15" s="668"/>
      <c r="X15" s="1262"/>
      <c r="Y15" s="3379"/>
      <c r="Z15" s="1261"/>
      <c r="AA15" s="1261">
        <v>1</v>
      </c>
      <c r="AB15" s="1261">
        <v>1</v>
      </c>
      <c r="AC15" s="1261">
        <v>1</v>
      </c>
    </row>
    <row r="16" spans="1:29" ht="248.4">
      <c r="A16" s="348"/>
      <c r="B16" s="556" t="s">
        <v>1812</v>
      </c>
      <c r="C16" s="175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379"/>
      <c r="Q16" s="1260" t="str">
        <f>B16</f>
        <v>公共配套设施</v>
      </c>
      <c r="R16" s="667" t="s">
        <v>14</v>
      </c>
      <c r="S16" s="668">
        <f>F16</f>
        <v>100</v>
      </c>
      <c r="T16" s="667" t="s">
        <v>14</v>
      </c>
      <c r="U16" s="668">
        <f>H16</f>
        <v>100</v>
      </c>
      <c r="V16" s="667" t="s">
        <v>14</v>
      </c>
      <c r="W16" s="668">
        <f>J16</f>
        <v>100</v>
      </c>
      <c r="X16" s="1262"/>
      <c r="Y16" s="3379"/>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6"/>
      <c r="M17" s="2481"/>
      <c r="N17" s="2481"/>
      <c r="O17" s="2481"/>
      <c r="P17" s="3379"/>
      <c r="Q17" s="1260"/>
      <c r="R17" s="667"/>
      <c r="S17" s="668"/>
      <c r="T17" s="667"/>
      <c r="U17" s="668"/>
      <c r="V17" s="667"/>
      <c r="W17" s="668"/>
      <c r="X17" s="1262"/>
      <c r="Y17" s="3379"/>
      <c r="Z17" s="1261"/>
      <c r="AA17" s="1261">
        <v>1</v>
      </c>
      <c r="AB17" s="1261">
        <v>1</v>
      </c>
      <c r="AC17" s="1261">
        <v>1</v>
      </c>
    </row>
    <row r="18" spans="1:29" ht="41.4">
      <c r="A18" s="348"/>
      <c r="B18" s="557"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379"/>
      <c r="Q18" s="1260" t="str">
        <f>B18</f>
        <v>基础设施水平</v>
      </c>
      <c r="R18" s="667" t="s">
        <v>14</v>
      </c>
      <c r="S18" s="668">
        <f>F18</f>
        <v>100</v>
      </c>
      <c r="T18" s="667" t="s">
        <v>14</v>
      </c>
      <c r="U18" s="668">
        <f>H18</f>
        <v>100</v>
      </c>
      <c r="V18" s="667" t="s">
        <v>14</v>
      </c>
      <c r="W18" s="668">
        <f>J18</f>
        <v>100</v>
      </c>
      <c r="X18" s="1262"/>
      <c r="Y18" s="3379"/>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1"/>
      <c r="L19" s="2486"/>
      <c r="M19" s="2481"/>
      <c r="N19" s="2481"/>
      <c r="O19" s="2481"/>
      <c r="P19" s="3379"/>
      <c r="Q19" s="1260"/>
      <c r="R19" s="667"/>
      <c r="S19" s="668"/>
      <c r="T19" s="667"/>
      <c r="U19" s="668"/>
      <c r="V19" s="667"/>
      <c r="W19" s="668"/>
      <c r="X19" s="1262"/>
      <c r="Y19" s="3379"/>
      <c r="Z19" s="1261"/>
      <c r="AA19" s="1261">
        <v>1</v>
      </c>
      <c r="AB19" s="1261">
        <v>1</v>
      </c>
      <c r="AC19" s="1261">
        <v>1</v>
      </c>
    </row>
    <row r="20" spans="1:29" ht="110.4">
      <c r="A20" s="348"/>
      <c r="B20" s="556" t="s">
        <v>1834</v>
      </c>
      <c r="C20" s="1751" t="str">
        <f>IF(B1="工业",估价对象房地状况!G7,估价对象房地状况!C9)</f>
        <v>周边约1公里范围内有庆丰公园，CBD历史文化公园，中国海关博物馆等，南侧有通惠河经过，环境状况较好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379"/>
      <c r="Q20" s="1260" t="str">
        <f>B20</f>
        <v>自然及人文环境</v>
      </c>
      <c r="R20" s="667" t="s">
        <v>14</v>
      </c>
      <c r="S20" s="668">
        <f>F20</f>
        <v>100</v>
      </c>
      <c r="T20" s="667" t="s">
        <v>14</v>
      </c>
      <c r="U20" s="668">
        <f>H20</f>
        <v>100</v>
      </c>
      <c r="V20" s="667" t="s">
        <v>14</v>
      </c>
      <c r="W20" s="668">
        <f>J20</f>
        <v>100</v>
      </c>
      <c r="X20" s="1262"/>
      <c r="Y20" s="3379"/>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6"/>
      <c r="M21" s="2481"/>
      <c r="N21" s="2481"/>
      <c r="O21" s="2481"/>
      <c r="P21" s="3379"/>
      <c r="Q21" s="1260"/>
      <c r="R21" s="667"/>
      <c r="S21" s="668"/>
      <c r="T21" s="667"/>
      <c r="U21" s="668"/>
      <c r="V21" s="667"/>
      <c r="W21" s="668"/>
      <c r="X21" s="1262"/>
      <c r="Y21" s="3379"/>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379"/>
      <c r="Q22" s="1260" t="str">
        <f>B22</f>
        <v>楼层</v>
      </c>
      <c r="R22" s="667" t="s">
        <v>14</v>
      </c>
      <c r="S22" s="668">
        <f>F22</f>
        <v>100</v>
      </c>
      <c r="T22" s="667" t="s">
        <v>14</v>
      </c>
      <c r="U22" s="668">
        <f>H22</f>
        <v>100</v>
      </c>
      <c r="V22" s="667" t="s">
        <v>14</v>
      </c>
      <c r="W22" s="668">
        <f>J22</f>
        <v>100</v>
      </c>
      <c r="X22" s="1262"/>
      <c r="Y22" s="3379"/>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379"/>
      <c r="Q23" s="1260">
        <f>B23</f>
        <v>111</v>
      </c>
      <c r="R23" s="667" t="s">
        <v>14</v>
      </c>
      <c r="S23" s="668">
        <f>F23</f>
        <v>100</v>
      </c>
      <c r="T23" s="667" t="s">
        <v>14</v>
      </c>
      <c r="U23" s="668">
        <f>H23</f>
        <v>100</v>
      </c>
      <c r="V23" s="667" t="s">
        <v>14</v>
      </c>
      <c r="W23" s="668">
        <f>J23</f>
        <v>100</v>
      </c>
      <c r="X23" s="1262"/>
      <c r="Y23" s="3379"/>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379"/>
      <c r="Q24" s="1260">
        <f t="shared" ref="Q24:Q36" si="11">B24</f>
        <v>111</v>
      </c>
      <c r="R24" s="667" t="s">
        <v>14</v>
      </c>
      <c r="S24" s="668">
        <f>F24</f>
        <v>100</v>
      </c>
      <c r="T24" s="667" t="s">
        <v>14</v>
      </c>
      <c r="U24" s="668">
        <f>H24</f>
        <v>100</v>
      </c>
      <c r="V24" s="667" t="s">
        <v>14</v>
      </c>
      <c r="W24" s="668">
        <f>J24</f>
        <v>100</v>
      </c>
      <c r="X24" s="1262"/>
      <c r="Y24" s="3379"/>
      <c r="Z24" s="1261">
        <f>Q24</f>
        <v>111</v>
      </c>
      <c r="AA24" s="1261">
        <f t="shared" si="3"/>
        <v>1</v>
      </c>
      <c r="AB24" s="1261">
        <f t="shared" si="4"/>
        <v>1</v>
      </c>
      <c r="AC24" s="1261">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5"/>
      <c r="N25" s="2435"/>
      <c r="O25" s="2435"/>
      <c r="P25" s="3379"/>
      <c r="Q25" s="530">
        <f t="shared" si="11"/>
        <v>111</v>
      </c>
      <c r="R25" s="664" t="s">
        <v>14</v>
      </c>
      <c r="S25" s="665">
        <f>F25</f>
        <v>100</v>
      </c>
      <c r="T25" s="664" t="s">
        <v>14</v>
      </c>
      <c r="U25" s="665">
        <f>H25</f>
        <v>100</v>
      </c>
      <c r="V25" s="664" t="s">
        <v>14</v>
      </c>
      <c r="W25" s="665">
        <f>J25</f>
        <v>100</v>
      </c>
      <c r="X25" s="666"/>
      <c r="Y25" s="3379"/>
      <c r="Z25" s="50">
        <f>Q25</f>
        <v>111</v>
      </c>
      <c r="AA25" s="1261">
        <f>D25/F25</f>
        <v>1</v>
      </c>
      <c r="AB25" s="1261">
        <f>D25/H25</f>
        <v>1</v>
      </c>
      <c r="AC25" s="1261">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57"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383"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383"/>
      <c r="Q28" s="1260" t="str">
        <f t="shared" si="11"/>
        <v>公共部分装修</v>
      </c>
      <c r="R28" s="667" t="s">
        <v>14</v>
      </c>
      <c r="S28" s="668">
        <f t="shared" si="12"/>
        <v>100</v>
      </c>
      <c r="T28" s="667" t="s">
        <v>14</v>
      </c>
      <c r="U28" s="668">
        <f t="shared" si="13"/>
        <v>100</v>
      </c>
      <c r="V28" s="667" t="s">
        <v>14</v>
      </c>
      <c r="W28" s="668">
        <f t="shared" si="14"/>
        <v>100</v>
      </c>
      <c r="X28" s="1262"/>
      <c r="Y28" s="3383"/>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383"/>
      <c r="Q29" s="1260" t="str">
        <f t="shared" si="11"/>
        <v>成新率</v>
      </c>
      <c r="R29" s="667" t="s">
        <v>14</v>
      </c>
      <c r="S29" s="668" t="e">
        <f t="shared" si="12"/>
        <v>#N/A</v>
      </c>
      <c r="T29" s="667" t="s">
        <v>14</v>
      </c>
      <c r="U29" s="668" t="e">
        <f t="shared" si="13"/>
        <v>#N/A</v>
      </c>
      <c r="V29" s="667" t="s">
        <v>14</v>
      </c>
      <c r="W29" s="668" t="e">
        <f t="shared" si="14"/>
        <v>#N/A</v>
      </c>
      <c r="X29" s="1262"/>
      <c r="Y29" s="3383"/>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383"/>
      <c r="Q30" s="1260" t="str">
        <f t="shared" si="11"/>
        <v>物业等级</v>
      </c>
      <c r="R30" s="667" t="s">
        <v>14</v>
      </c>
      <c r="S30" s="668">
        <f t="shared" si="12"/>
        <v>100</v>
      </c>
      <c r="T30" s="667" t="s">
        <v>14</v>
      </c>
      <c r="U30" s="668">
        <f t="shared" si="13"/>
        <v>100</v>
      </c>
      <c r="V30" s="667" t="s">
        <v>14</v>
      </c>
      <c r="W30" s="668">
        <f t="shared" si="14"/>
        <v>100</v>
      </c>
      <c r="X30" s="1262"/>
      <c r="Y30" s="3383"/>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5"/>
      <c r="N31" s="2435"/>
      <c r="O31" s="2435"/>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383" t="s">
        <v>1696</v>
      </c>
      <c r="Q32" s="1260" t="str">
        <f t="shared" si="11"/>
        <v>车位类型</v>
      </c>
      <c r="R32" s="667" t="s">
        <v>14</v>
      </c>
      <c r="S32" s="668">
        <f t="shared" si="12"/>
        <v>100</v>
      </c>
      <c r="T32" s="667" t="s">
        <v>14</v>
      </c>
      <c r="U32" s="668">
        <f t="shared" si="13"/>
        <v>100</v>
      </c>
      <c r="V32" s="667" t="s">
        <v>14</v>
      </c>
      <c r="W32" s="668">
        <f t="shared" si="14"/>
        <v>100</v>
      </c>
      <c r="X32" s="1262"/>
      <c r="Y32" s="3383"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383"/>
      <c r="Q33" s="1260" t="str">
        <f t="shared" si="11"/>
        <v>是否直接入户</v>
      </c>
      <c r="R33" s="667" t="s">
        <v>14</v>
      </c>
      <c r="S33" s="668">
        <f t="shared" si="12"/>
        <v>100</v>
      </c>
      <c r="T33" s="667" t="s">
        <v>14</v>
      </c>
      <c r="U33" s="668">
        <f t="shared" si="13"/>
        <v>100</v>
      </c>
      <c r="V33" s="667" t="s">
        <v>14</v>
      </c>
      <c r="W33" s="668">
        <f t="shared" si="14"/>
        <v>100</v>
      </c>
      <c r="X33" s="1262"/>
      <c r="Y33" s="3383"/>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383"/>
      <c r="Q34" s="1260">
        <f t="shared" si="11"/>
        <v>111</v>
      </c>
      <c r="R34" s="667" t="s">
        <v>14</v>
      </c>
      <c r="S34" s="668">
        <f t="shared" si="12"/>
        <v>100</v>
      </c>
      <c r="T34" s="667" t="s">
        <v>14</v>
      </c>
      <c r="U34" s="668">
        <f t="shared" si="13"/>
        <v>100</v>
      </c>
      <c r="V34" s="667" t="s">
        <v>14</v>
      </c>
      <c r="W34" s="668">
        <f t="shared" si="14"/>
        <v>100</v>
      </c>
      <c r="X34" s="1262"/>
      <c r="Y34" s="3383"/>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1">
        <f t="shared" si="3"/>
        <v>1</v>
      </c>
      <c r="AB35" s="1261">
        <f t="shared" si="4"/>
        <v>1</v>
      </c>
      <c r="AC35" s="1261">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383"/>
      <c r="Q36" s="1260">
        <f t="shared" si="11"/>
        <v>111</v>
      </c>
      <c r="R36" s="667" t="s">
        <v>14</v>
      </c>
      <c r="S36" s="668">
        <f t="shared" si="12"/>
        <v>100</v>
      </c>
      <c r="T36" s="667" t="s">
        <v>14</v>
      </c>
      <c r="U36" s="668">
        <f t="shared" si="13"/>
        <v>100</v>
      </c>
      <c r="V36" s="667" t="s">
        <v>14</v>
      </c>
      <c r="W36" s="668">
        <f t="shared" si="14"/>
        <v>100</v>
      </c>
      <c r="X36" s="1262"/>
      <c r="Y36" s="3383"/>
      <c r="Z36" s="1261">
        <f t="shared" si="15"/>
        <v>111</v>
      </c>
      <c r="AA36" s="1261">
        <f t="shared" si="3"/>
        <v>1</v>
      </c>
      <c r="AB36" s="1261">
        <f t="shared" si="4"/>
        <v>1</v>
      </c>
      <c r="AC36" s="1261">
        <f t="shared" si="5"/>
        <v>1</v>
      </c>
    </row>
    <row r="37" spans="1:29" ht="14.4">
      <c r="A37" s="416" t="s">
        <v>1844</v>
      </c>
      <c r="B37" s="1818" t="s">
        <v>3350</v>
      </c>
      <c r="C37" s="1078" t="s">
        <v>0</v>
      </c>
      <c r="D37" s="418"/>
      <c r="E37" s="419"/>
      <c r="F37" s="420"/>
      <c r="G37" s="421"/>
      <c r="H37" s="422"/>
      <c r="I37" s="419"/>
      <c r="J37" s="422"/>
      <c r="K37" s="545"/>
      <c r="L37" s="2488"/>
      <c r="M37" s="2481"/>
      <c r="N37" s="2481"/>
      <c r="O37" s="2481"/>
      <c r="P37" s="3371" t="str">
        <f>A37</f>
        <v>成交单价</v>
      </c>
      <c r="Q37" s="3371"/>
      <c r="R37" s="3372">
        <f>E37</f>
        <v>0</v>
      </c>
      <c r="S37" s="3372"/>
      <c r="T37" s="3372">
        <f>G37</f>
        <v>0</v>
      </c>
      <c r="U37" s="3372"/>
      <c r="V37" s="3372">
        <f>I37</f>
        <v>0</v>
      </c>
      <c r="W37" s="3372"/>
      <c r="X37" s="385"/>
      <c r="Y37" s="673"/>
      <c r="Z37" s="385"/>
      <c r="AA37" s="385"/>
      <c r="AB37" s="385"/>
      <c r="AC37" s="385"/>
    </row>
    <row r="38" spans="1:29" ht="1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8"/>
      <c r="M39" s="2481"/>
      <c r="N39" s="2481"/>
      <c r="O39" s="2481"/>
      <c r="P39" s="3446" t="str">
        <f>A39</f>
        <v>估价对象XX用房的比较价值（楼面单价，元/平方米）</v>
      </c>
      <c r="Q39" s="3447"/>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4.4">
      <c r="A48" s="440" t="s">
        <v>1851</v>
      </c>
      <c r="B48" s="441"/>
      <c r="C48" s="1100" t="str">
        <f>YEAR(C7)&amp;"-"&amp;MONTH(C7)</f>
        <v>2025-9</v>
      </c>
      <c r="D48" s="1101">
        <f>EDATE(C48,-1)</f>
        <v>45870</v>
      </c>
      <c r="E48" s="1101">
        <f t="shared" ref="E48:O48" si="16">EDATE(D48,-1)</f>
        <v>45839</v>
      </c>
      <c r="F48" s="1101">
        <f t="shared" si="16"/>
        <v>45809</v>
      </c>
      <c r="G48" s="1101">
        <f t="shared" si="16"/>
        <v>45778</v>
      </c>
      <c r="H48" s="1101">
        <f t="shared" si="16"/>
        <v>45748</v>
      </c>
      <c r="I48" s="1101">
        <f t="shared" si="16"/>
        <v>45717</v>
      </c>
      <c r="J48" s="1101">
        <f t="shared" si="16"/>
        <v>45689</v>
      </c>
      <c r="K48" s="1101">
        <f t="shared" si="16"/>
        <v>45658</v>
      </c>
      <c r="L48" s="1101">
        <f t="shared" si="16"/>
        <v>45627</v>
      </c>
      <c r="M48" s="1101">
        <f t="shared" si="16"/>
        <v>45597</v>
      </c>
      <c r="N48" s="1101">
        <f t="shared" si="16"/>
        <v>45566</v>
      </c>
      <c r="O48" s="1101">
        <f t="shared" si="16"/>
        <v>45536</v>
      </c>
      <c r="P48" s="2521"/>
      <c r="Q48" s="2504"/>
      <c r="R48" s="2504"/>
      <c r="S48" s="2504"/>
      <c r="T48" s="2504"/>
      <c r="U48" s="2504"/>
      <c r="V48" s="2504"/>
      <c r="W48" s="2504"/>
      <c r="X48" s="2504"/>
      <c r="Y48" s="2504"/>
      <c r="Z48" s="2504"/>
      <c r="AA48" s="2504"/>
      <c r="AB48" s="2504"/>
      <c r="AC48" s="2504"/>
    </row>
    <row r="49" spans="1:29" s="102" customFormat="1">
      <c r="A49" s="443"/>
      <c r="B49" s="444"/>
      <c r="C49" s="1094">
        <v>100</v>
      </c>
      <c r="D49" s="446"/>
      <c r="E49" s="446"/>
      <c r="F49" s="446"/>
      <c r="G49" s="446"/>
      <c r="H49" s="446"/>
      <c r="I49" s="446"/>
      <c r="J49" s="446"/>
      <c r="K49" s="446"/>
      <c r="L49" s="446"/>
      <c r="M49" s="447"/>
      <c r="N49" s="446"/>
      <c r="O49" s="447"/>
      <c r="P49" s="2522"/>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2"/>
      <c r="Q50" s="2502"/>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4"/>
      <c r="O51" s="2514"/>
      <c r="P51" s="2523"/>
      <c r="Q51" s="2502"/>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4"/>
      <c r="O52" s="2514"/>
      <c r="P52" s="2522"/>
      <c r="Q52" s="2502"/>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4.4"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9.4" thickTop="1">
      <c r="A55" s="367"/>
      <c r="B55" s="469" t="s">
        <v>1688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4.4"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4.4"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4.4"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4.4"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4.4"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 thickTop="1">
      <c r="A67" s="367"/>
      <c r="B67" s="477" t="s">
        <v>1813</v>
      </c>
      <c r="C67" s="581" t="s">
        <v>1799</v>
      </c>
      <c r="D67" s="581" t="s">
        <v>1800</v>
      </c>
      <c r="E67" s="581" t="s">
        <v>1801</v>
      </c>
      <c r="F67" s="581" t="s">
        <v>1802</v>
      </c>
      <c r="G67" s="581" t="s">
        <v>1803</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 thickTop="1">
      <c r="A71" s="367"/>
      <c r="B71" s="469" t="s">
        <v>1852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4.4" thickTop="1">
      <c r="A73" s="370"/>
      <c r="B73" s="469">
        <f>B23</f>
        <v>111</v>
      </c>
      <c r="C73" s="480"/>
      <c r="D73" s="480"/>
      <c r="E73" s="480"/>
      <c r="F73" s="480"/>
      <c r="G73" s="485"/>
      <c r="H73" s="485"/>
      <c r="I73" s="485"/>
      <c r="J73" s="485"/>
      <c r="K73" s="485"/>
      <c r="L73" s="510"/>
      <c r="M73" s="511"/>
      <c r="N73" s="2514"/>
      <c r="O73" s="2514"/>
      <c r="P73" s="2524"/>
      <c r="Q73" s="2502"/>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6"/>
      <c r="O74" s="2516"/>
      <c r="P74" s="2524"/>
      <c r="Q74" s="2502"/>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4"/>
      <c r="O75" s="2514"/>
      <c r="P75" s="2524"/>
      <c r="Q75" s="2502"/>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6"/>
      <c r="O76" s="2516"/>
      <c r="P76" s="2524"/>
      <c r="Q76" s="2502"/>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4.4"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7"/>
      <c r="B81" s="469" t="s">
        <v>1854</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4.4"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1740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4.4"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4.4"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4.4"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4.4"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4.4"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受贵公司委托，我公司对北京市朝阳区建国门外大街甲6号1幢房地产抵押价值进行了预评估。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估价对象为北京市朝阳区建国门外大街甲6号1幢房地产，为所有。根据《国有土地使用证》[]，估价对象（分摊）出让国有建设用地使用权面积为3497.08平方米，建筑面积为50178.66平方米。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3497.08平方米，规划建筑面积为50178.66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2025年9月3日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0"/>
      <c r="M4" s="2481"/>
      <c r="N4" s="2481"/>
      <c r="O4" s="2481"/>
      <c r="P4" s="3450" t="s">
        <v>1775</v>
      </c>
      <c r="Q4" s="3451"/>
      <c r="R4" s="3454" t="s">
        <v>1771</v>
      </c>
      <c r="S4" s="3455"/>
      <c r="T4" s="3454" t="s">
        <v>1772</v>
      </c>
      <c r="U4" s="3455"/>
      <c r="V4" s="3372" t="s">
        <v>1773</v>
      </c>
      <c r="W4" s="3372"/>
      <c r="X4" s="1262"/>
      <c r="Y4" s="3454" t="s">
        <v>1775</v>
      </c>
      <c r="Z4" s="3455"/>
      <c r="AA4" s="3449" t="s">
        <v>1771</v>
      </c>
      <c r="AB4" s="3416" t="s">
        <v>1772</v>
      </c>
      <c r="AC4" s="3449" t="s">
        <v>1773</v>
      </c>
    </row>
    <row r="5" spans="1:29">
      <c r="A5" s="348"/>
      <c r="B5" s="349"/>
      <c r="C5" s="3407" t="s">
        <v>1673</v>
      </c>
      <c r="D5" s="3408"/>
      <c r="E5" s="3456" t="s">
        <v>1674</v>
      </c>
      <c r="F5" s="3419"/>
      <c r="G5" s="3407" t="s">
        <v>1675</v>
      </c>
      <c r="H5" s="3408"/>
      <c r="I5" s="3407" t="s">
        <v>1676</v>
      </c>
      <c r="J5" s="3408"/>
      <c r="K5" s="537"/>
      <c r="L5" s="2480"/>
      <c r="M5" s="2481"/>
      <c r="N5" s="2481"/>
      <c r="O5" s="2481"/>
      <c r="P5" s="3452"/>
      <c r="Q5" s="3395"/>
      <c r="R5" s="3400"/>
      <c r="S5" s="3401"/>
      <c r="T5" s="3400"/>
      <c r="U5" s="3401"/>
      <c r="V5" s="3372"/>
      <c r="W5" s="3372"/>
      <c r="X5" s="1262"/>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2480"/>
      <c r="M6" s="2481"/>
      <c r="N6" s="2481"/>
      <c r="O6" s="2481"/>
      <c r="P6" s="3453"/>
      <c r="Q6" s="3397"/>
      <c r="R6" s="3400"/>
      <c r="S6" s="3401"/>
      <c r="T6" s="3402"/>
      <c r="U6" s="3403"/>
      <c r="V6" s="3372"/>
      <c r="W6" s="3372"/>
      <c r="X6" s="1262"/>
      <c r="Y6" s="3402"/>
      <c r="Z6" s="3403"/>
      <c r="AA6" s="3417"/>
      <c r="AB6" s="3417"/>
      <c r="AC6" s="3417"/>
    </row>
    <row r="7" spans="1:29" s="102" customFormat="1" ht="15" thickBot="1">
      <c r="A7" s="352" t="s">
        <v>1679</v>
      </c>
      <c r="B7" s="353"/>
      <c r="C7" s="354">
        <f>'数据-取费表'!B2</f>
        <v>45903</v>
      </c>
      <c r="D7" s="355">
        <v>100</v>
      </c>
      <c r="E7" s="356"/>
      <c r="F7" s="357">
        <f>SUMIF(46:46,YEAR(E7)&amp;"-"&amp;MONTH(E7),47:47)</f>
        <v>0</v>
      </c>
      <c r="G7" s="1819"/>
      <c r="H7" s="355">
        <f>SUMIF(46:46,YEAR(G7)&amp;"-"&amp;MONTH(G7),47:47)</f>
        <v>0</v>
      </c>
      <c r="I7" s="356"/>
      <c r="J7" s="355">
        <f>SUMIF(46:46,YEAR(I7)&amp;"-"&amp;MONTH(I7),47:47)</f>
        <v>0</v>
      </c>
      <c r="K7" s="38"/>
      <c r="L7" s="2482"/>
      <c r="M7" s="2435"/>
      <c r="N7" s="2435"/>
      <c r="O7" s="2435"/>
      <c r="P7" s="3411" t="s">
        <v>1680</v>
      </c>
      <c r="Q7" s="3412"/>
      <c r="R7" s="664" t="s">
        <v>14</v>
      </c>
      <c r="S7" s="665">
        <f t="shared" ref="S7:S14" si="0">F7</f>
        <v>0</v>
      </c>
      <c r="T7" s="664" t="s">
        <v>14</v>
      </c>
      <c r="U7" s="665">
        <f t="shared" ref="U7:U14" si="1">H7</f>
        <v>0</v>
      </c>
      <c r="V7" s="664" t="s">
        <v>14</v>
      </c>
      <c r="W7" s="665">
        <f t="shared" ref="W7:W14" si="2">J7</f>
        <v>0</v>
      </c>
      <c r="X7" s="666"/>
      <c r="Y7" s="3411" t="s">
        <v>1680</v>
      </c>
      <c r="Z7" s="341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2"/>
      <c r="M8" s="2435"/>
      <c r="N8" s="2435"/>
      <c r="O8" s="2435"/>
      <c r="P8" s="3411" t="s">
        <v>1683</v>
      </c>
      <c r="Q8" s="3410"/>
      <c r="R8" s="664" t="s">
        <v>14</v>
      </c>
      <c r="S8" s="665">
        <f t="shared" si="0"/>
        <v>100</v>
      </c>
      <c r="T8" s="664" t="s">
        <v>14</v>
      </c>
      <c r="U8" s="665">
        <f t="shared" si="1"/>
        <v>100</v>
      </c>
      <c r="V8" s="664" t="s">
        <v>14</v>
      </c>
      <c r="W8" s="665">
        <f t="shared" si="2"/>
        <v>100</v>
      </c>
      <c r="X8" s="666"/>
      <c r="Y8" s="3411" t="s">
        <v>1683</v>
      </c>
      <c r="Z8" s="341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2"/>
      <c r="M9" s="2435"/>
      <c r="N9" s="2435"/>
      <c r="O9" s="2534"/>
      <c r="P9" s="3371"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8">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37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371"/>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5"/>
      <c r="N12" s="2435"/>
      <c r="O12" s="2534"/>
      <c r="P12" s="337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6"/>
      <c r="M13" s="2481"/>
      <c r="N13" s="2481"/>
      <c r="O13" s="2536"/>
      <c r="P13" s="337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79.4">
      <c r="A14" s="379" t="s">
        <v>1690</v>
      </c>
      <c r="B14" s="58" t="s">
        <v>1833</v>
      </c>
      <c r="C14" s="1816"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378" t="s">
        <v>1691</v>
      </c>
      <c r="Q14" s="1260" t="str">
        <f t="shared" si="6"/>
        <v>交通便捷度</v>
      </c>
      <c r="R14" s="667" t="s">
        <v>14</v>
      </c>
      <c r="S14" s="668">
        <f t="shared" si="0"/>
        <v>100</v>
      </c>
      <c r="T14" s="667" t="s">
        <v>14</v>
      </c>
      <c r="U14" s="668">
        <f t="shared" si="1"/>
        <v>100</v>
      </c>
      <c r="V14" s="667" t="s">
        <v>14</v>
      </c>
      <c r="W14" s="668">
        <f t="shared" si="2"/>
        <v>100</v>
      </c>
      <c r="X14" s="1262"/>
      <c r="Y14" s="3378"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6"/>
      <c r="M15" s="2481"/>
      <c r="N15" s="2481"/>
      <c r="O15" s="2536"/>
      <c r="P15" s="3379"/>
      <c r="Q15" s="1260"/>
      <c r="R15" s="667"/>
      <c r="S15" s="668"/>
      <c r="T15" s="667"/>
      <c r="U15" s="668"/>
      <c r="V15" s="667"/>
      <c r="W15" s="668"/>
      <c r="X15" s="1262"/>
      <c r="Y15" s="3379"/>
      <c r="Z15" s="1261"/>
      <c r="AA15" s="1261">
        <v>1</v>
      </c>
      <c r="AB15" s="1261">
        <v>1</v>
      </c>
      <c r="AC15" s="1261">
        <v>1</v>
      </c>
    </row>
    <row r="16" spans="1:29" ht="248.4">
      <c r="A16" s="367"/>
      <c r="B16" s="390" t="s">
        <v>1812</v>
      </c>
      <c r="C16" s="175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379"/>
      <c r="Q16" s="1260" t="str">
        <f>B16</f>
        <v>公共配套设施</v>
      </c>
      <c r="R16" s="667" t="s">
        <v>14</v>
      </c>
      <c r="S16" s="668">
        <f>F16</f>
        <v>100</v>
      </c>
      <c r="T16" s="667" t="s">
        <v>14</v>
      </c>
      <c r="U16" s="668">
        <f>H16</f>
        <v>100</v>
      </c>
      <c r="V16" s="667" t="s">
        <v>14</v>
      </c>
      <c r="W16" s="668">
        <f>J16</f>
        <v>100</v>
      </c>
      <c r="X16" s="1262"/>
      <c r="Y16" s="3379"/>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6"/>
      <c r="M17" s="2481"/>
      <c r="N17" s="2481"/>
      <c r="O17" s="2536"/>
      <c r="P17" s="3379"/>
      <c r="Q17" s="1260"/>
      <c r="R17" s="667"/>
      <c r="S17" s="668"/>
      <c r="T17" s="667"/>
      <c r="U17" s="668"/>
      <c r="V17" s="667"/>
      <c r="W17" s="668"/>
      <c r="X17" s="1262"/>
      <c r="Y17" s="3379"/>
      <c r="Z17" s="1261"/>
      <c r="AA17" s="1261">
        <v>1</v>
      </c>
      <c r="AB17" s="1261">
        <v>1</v>
      </c>
      <c r="AC17" s="1261">
        <v>1</v>
      </c>
    </row>
    <row r="18" spans="1:29" ht="41.4">
      <c r="A18" s="367"/>
      <c r="B18" s="586" t="s">
        <v>1813</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379"/>
      <c r="Q18" s="1260" t="str">
        <f>B18</f>
        <v>基础设施水平</v>
      </c>
      <c r="R18" s="667" t="s">
        <v>14</v>
      </c>
      <c r="S18" s="668">
        <f>F18</f>
        <v>100</v>
      </c>
      <c r="T18" s="667" t="s">
        <v>14</v>
      </c>
      <c r="U18" s="668">
        <f>H18</f>
        <v>100</v>
      </c>
      <c r="V18" s="667" t="s">
        <v>14</v>
      </c>
      <c r="W18" s="668">
        <f>J18</f>
        <v>100</v>
      </c>
      <c r="X18" s="1262"/>
      <c r="Y18" s="3379"/>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1"/>
      <c r="L19" s="2486"/>
      <c r="M19" s="2481"/>
      <c r="N19" s="2481"/>
      <c r="O19" s="2536"/>
      <c r="P19" s="3379"/>
      <c r="Q19" s="1260"/>
      <c r="R19" s="667"/>
      <c r="S19" s="668"/>
      <c r="T19" s="667"/>
      <c r="U19" s="668"/>
      <c r="V19" s="667"/>
      <c r="W19" s="668"/>
      <c r="X19" s="1262"/>
      <c r="Y19" s="3379"/>
      <c r="Z19" s="1261"/>
      <c r="AA19" s="1261">
        <v>1</v>
      </c>
      <c r="AB19" s="1261">
        <v>1</v>
      </c>
      <c r="AC19" s="1261">
        <v>1</v>
      </c>
    </row>
    <row r="20" spans="1:29" ht="110.4">
      <c r="A20" s="367"/>
      <c r="B20" s="390" t="s">
        <v>1834</v>
      </c>
      <c r="C20" s="1751" t="str">
        <f>IF(B1="工业",估价对象房地状况!G7,估价对象房地状况!C9)</f>
        <v>周边约1公里范围内有庆丰公园，CBD历史文化公园，中国海关博物馆等，南侧有通惠河经过，环境状况较好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379"/>
      <c r="Q20" s="1260" t="str">
        <f>B20</f>
        <v>自然及人文环境</v>
      </c>
      <c r="R20" s="667" t="s">
        <v>14</v>
      </c>
      <c r="S20" s="668">
        <f>F20</f>
        <v>100</v>
      </c>
      <c r="T20" s="667" t="s">
        <v>14</v>
      </c>
      <c r="U20" s="668">
        <f>H20</f>
        <v>100</v>
      </c>
      <c r="V20" s="667" t="s">
        <v>14</v>
      </c>
      <c r="W20" s="668">
        <f>J20</f>
        <v>100</v>
      </c>
      <c r="X20" s="1262"/>
      <c r="Y20" s="3379"/>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6"/>
      <c r="M21" s="2481"/>
      <c r="N21" s="2481"/>
      <c r="O21" s="2536"/>
      <c r="P21" s="3379"/>
      <c r="Q21" s="1260"/>
      <c r="R21" s="667"/>
      <c r="S21" s="668"/>
      <c r="T21" s="667"/>
      <c r="U21" s="668"/>
      <c r="V21" s="667"/>
      <c r="W21" s="668"/>
      <c r="X21" s="1262"/>
      <c r="Y21" s="3379"/>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379"/>
      <c r="Q22" s="1260" t="str">
        <f>B22</f>
        <v>楼层</v>
      </c>
      <c r="R22" s="667" t="s">
        <v>14</v>
      </c>
      <c r="S22" s="668">
        <f>F22</f>
        <v>100</v>
      </c>
      <c r="T22" s="667" t="s">
        <v>14</v>
      </c>
      <c r="U22" s="668">
        <f>H22</f>
        <v>100</v>
      </c>
      <c r="V22" s="667" t="s">
        <v>14</v>
      </c>
      <c r="W22" s="668">
        <f>J22</f>
        <v>100</v>
      </c>
      <c r="X22" s="1262"/>
      <c r="Y22" s="3379"/>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379"/>
      <c r="Q23" s="1260">
        <f>B23</f>
        <v>111</v>
      </c>
      <c r="R23" s="667" t="s">
        <v>14</v>
      </c>
      <c r="S23" s="668">
        <f>F23</f>
        <v>100</v>
      </c>
      <c r="T23" s="667" t="s">
        <v>14</v>
      </c>
      <c r="U23" s="668">
        <f>H23</f>
        <v>100</v>
      </c>
      <c r="V23" s="667" t="s">
        <v>14</v>
      </c>
      <c r="W23" s="668">
        <f>J23</f>
        <v>100</v>
      </c>
      <c r="X23" s="1262"/>
      <c r="Y23" s="3379"/>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379"/>
      <c r="Q24" s="1260">
        <f t="shared" ref="Q24:Q34" si="11">B24</f>
        <v>111</v>
      </c>
      <c r="R24" s="667" t="s">
        <v>14</v>
      </c>
      <c r="S24" s="668">
        <f>F24</f>
        <v>100</v>
      </c>
      <c r="T24" s="667" t="s">
        <v>14</v>
      </c>
      <c r="U24" s="668">
        <f>H24</f>
        <v>100</v>
      </c>
      <c r="V24" s="667" t="s">
        <v>14</v>
      </c>
      <c r="W24" s="668">
        <f>J24</f>
        <v>100</v>
      </c>
      <c r="X24" s="1262"/>
      <c r="Y24" s="3379"/>
      <c r="Z24" s="1261">
        <f>Q24</f>
        <v>111</v>
      </c>
      <c r="AA24" s="1261">
        <f t="shared" si="3"/>
        <v>1</v>
      </c>
      <c r="AB24" s="1261">
        <f t="shared" si="4"/>
        <v>1</v>
      </c>
      <c r="AC24" s="1261">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2"/>
      <c r="M25" s="2435"/>
      <c r="N25" s="2435"/>
      <c r="O25" s="2534"/>
      <c r="P25" s="3379"/>
      <c r="Q25" s="530">
        <f t="shared" si="11"/>
        <v>111</v>
      </c>
      <c r="R25" s="664" t="s">
        <v>14</v>
      </c>
      <c r="S25" s="665">
        <f>F25</f>
        <v>100</v>
      </c>
      <c r="T25" s="664" t="s">
        <v>14</v>
      </c>
      <c r="U25" s="665">
        <f>H25</f>
        <v>100</v>
      </c>
      <c r="V25" s="664" t="s">
        <v>14</v>
      </c>
      <c r="W25" s="665">
        <f>J25</f>
        <v>100</v>
      </c>
      <c r="X25" s="666"/>
      <c r="Y25" s="3379"/>
      <c r="Z25" s="50">
        <f>Q25</f>
        <v>111</v>
      </c>
      <c r="AA25" s="1261">
        <f>D25/F25</f>
        <v>1</v>
      </c>
      <c r="AB25" s="1261">
        <f>D25/H25</f>
        <v>1</v>
      </c>
      <c r="AC25" s="1261">
        <f>D25/J25</f>
        <v>1</v>
      </c>
    </row>
    <row r="26" spans="1:29" ht="30">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6"/>
      <c r="M26" s="2481"/>
      <c r="N26" s="2481"/>
      <c r="O26" s="2536"/>
      <c r="P26" s="3457"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383"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383"/>
      <c r="Q28" s="1260" t="str">
        <f t="shared" si="11"/>
        <v>物业等级</v>
      </c>
      <c r="R28" s="667" t="s">
        <v>14</v>
      </c>
      <c r="S28" s="668">
        <f t="shared" si="12"/>
        <v>100</v>
      </c>
      <c r="T28" s="667" t="s">
        <v>14</v>
      </c>
      <c r="U28" s="668">
        <f t="shared" si="13"/>
        <v>100</v>
      </c>
      <c r="V28" s="667" t="s">
        <v>14</v>
      </c>
      <c r="W28" s="668">
        <f t="shared" si="14"/>
        <v>100</v>
      </c>
      <c r="X28" s="1262"/>
      <c r="Y28" s="3383"/>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383"/>
      <c r="Q29" s="1260" t="str">
        <f t="shared" si="11"/>
        <v>有无电梯</v>
      </c>
      <c r="R29" s="667" t="s">
        <v>14</v>
      </c>
      <c r="S29" s="668">
        <f t="shared" si="12"/>
        <v>100</v>
      </c>
      <c r="T29" s="667" t="s">
        <v>14</v>
      </c>
      <c r="U29" s="668">
        <f t="shared" si="13"/>
        <v>100</v>
      </c>
      <c r="V29" s="667" t="s">
        <v>14</v>
      </c>
      <c r="W29" s="668">
        <f t="shared" si="14"/>
        <v>100</v>
      </c>
      <c r="X29" s="1262"/>
      <c r="Y29" s="3383"/>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383"/>
      <c r="Q30" s="1260" t="str">
        <f t="shared" si="11"/>
        <v>建筑面积</v>
      </c>
      <c r="R30" s="667" t="s">
        <v>14</v>
      </c>
      <c r="S30" s="668" t="e">
        <f t="shared" si="12"/>
        <v>#N/A</v>
      </c>
      <c r="T30" s="667" t="s">
        <v>14</v>
      </c>
      <c r="U30" s="668" t="e">
        <f t="shared" si="13"/>
        <v>#N/A</v>
      </c>
      <c r="V30" s="667" t="s">
        <v>14</v>
      </c>
      <c r="W30" s="668" t="e">
        <f t="shared" si="14"/>
        <v>#N/A</v>
      </c>
      <c r="X30" s="1262"/>
      <c r="Y30" s="3383"/>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5"/>
      <c r="N31" s="2435"/>
      <c r="O31" s="2534"/>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383" t="s">
        <v>1696</v>
      </c>
      <c r="Q32" s="1260">
        <f t="shared" si="11"/>
        <v>111</v>
      </c>
      <c r="R32" s="667" t="s">
        <v>14</v>
      </c>
      <c r="S32" s="668">
        <f t="shared" si="12"/>
        <v>100</v>
      </c>
      <c r="T32" s="667" t="s">
        <v>14</v>
      </c>
      <c r="U32" s="668">
        <f t="shared" si="13"/>
        <v>100</v>
      </c>
      <c r="V32" s="667" t="s">
        <v>14</v>
      </c>
      <c r="W32" s="668">
        <f t="shared" si="14"/>
        <v>100</v>
      </c>
      <c r="X32" s="1262"/>
      <c r="Y32" s="3383"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383"/>
      <c r="Q33" s="1260">
        <f t="shared" si="11"/>
        <v>111</v>
      </c>
      <c r="R33" s="667" t="s">
        <v>14</v>
      </c>
      <c r="S33" s="668">
        <f t="shared" si="12"/>
        <v>100</v>
      </c>
      <c r="T33" s="667" t="s">
        <v>14</v>
      </c>
      <c r="U33" s="668">
        <f t="shared" si="13"/>
        <v>100</v>
      </c>
      <c r="V33" s="667" t="s">
        <v>14</v>
      </c>
      <c r="W33" s="668">
        <f t="shared" si="14"/>
        <v>100</v>
      </c>
      <c r="X33" s="1262"/>
      <c r="Y33" s="3383"/>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6"/>
      <c r="M34" s="2481"/>
      <c r="N34" s="2481"/>
      <c r="O34" s="2536"/>
      <c r="P34" s="3383"/>
      <c r="Q34" s="1260">
        <f t="shared" si="11"/>
        <v>111</v>
      </c>
      <c r="R34" s="667" t="s">
        <v>14</v>
      </c>
      <c r="S34" s="668">
        <f t="shared" si="12"/>
        <v>100</v>
      </c>
      <c r="T34" s="667" t="s">
        <v>14</v>
      </c>
      <c r="U34" s="668">
        <f t="shared" si="13"/>
        <v>100</v>
      </c>
      <c r="V34" s="667" t="s">
        <v>14</v>
      </c>
      <c r="W34" s="668">
        <f t="shared" si="14"/>
        <v>100</v>
      </c>
      <c r="X34" s="1262"/>
      <c r="Y34" s="3383"/>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4"/>
      <c r="L35" s="2488"/>
      <c r="M35" s="2481"/>
      <c r="N35" s="2481"/>
      <c r="O35" s="2481"/>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5" thickBot="1">
      <c r="A36" s="423" t="s">
        <v>1793</v>
      </c>
      <c r="B36" s="424"/>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8"/>
      <c r="M37" s="2481"/>
      <c r="N37" s="2481"/>
      <c r="O37" s="2481"/>
      <c r="P37" s="3446" t="str">
        <f>A37</f>
        <v>估价对象XX用房的比较价值（楼面单价，元/平方米）</v>
      </c>
      <c r="Q37" s="3447"/>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8" t="s">
        <v>1798</v>
      </c>
      <c r="B45" s="385"/>
      <c r="C45" s="659"/>
      <c r="D45" s="659"/>
      <c r="E45" s="659"/>
      <c r="F45" s="660"/>
      <c r="G45" s="660"/>
      <c r="H45" s="659"/>
      <c r="I45" s="659"/>
      <c r="J45" s="659"/>
      <c r="K45" s="661"/>
      <c r="L45" s="662"/>
      <c r="M45" s="659"/>
      <c r="N45" s="2531"/>
      <c r="O45" s="2531"/>
      <c r="P45" s="2531"/>
      <c r="Q45" s="2502"/>
      <c r="R45" s="2481"/>
      <c r="S45" s="2481"/>
      <c r="T45" s="2481"/>
      <c r="U45" s="2481"/>
      <c r="V45" s="2481"/>
      <c r="W45" s="2481"/>
      <c r="X45" s="2481"/>
      <c r="Y45" s="2481"/>
      <c r="Z45" s="2481"/>
      <c r="AA45" s="2481"/>
      <c r="AB45" s="2481"/>
      <c r="AC45" s="2481"/>
      <c r="AD45" s="2481"/>
    </row>
    <row r="46" spans="1:30" s="442" customFormat="1" ht="14.4">
      <c r="A46" s="440" t="s">
        <v>1679</v>
      </c>
      <c r="B46" s="441"/>
      <c r="C46" s="1100" t="str">
        <f>YEAR(C7)&amp;"-"&amp;MONTH(C7)</f>
        <v>2025-9</v>
      </c>
      <c r="D46" s="1101">
        <f>EDATE(C46,-1)</f>
        <v>45870</v>
      </c>
      <c r="E46" s="1101">
        <f t="shared" ref="E46:O46" si="16">EDATE(D46,-1)</f>
        <v>45839</v>
      </c>
      <c r="F46" s="1101">
        <f t="shared" si="16"/>
        <v>45809</v>
      </c>
      <c r="G46" s="1101">
        <f t="shared" si="16"/>
        <v>45778</v>
      </c>
      <c r="H46" s="1101">
        <f t="shared" si="16"/>
        <v>45748</v>
      </c>
      <c r="I46" s="1101">
        <f t="shared" si="16"/>
        <v>45717</v>
      </c>
      <c r="J46" s="1101">
        <f t="shared" si="16"/>
        <v>45689</v>
      </c>
      <c r="K46" s="1101">
        <f t="shared" si="16"/>
        <v>45658</v>
      </c>
      <c r="L46" s="1101">
        <f t="shared" si="16"/>
        <v>45627</v>
      </c>
      <c r="M46" s="1101">
        <f t="shared" si="16"/>
        <v>45597</v>
      </c>
      <c r="N46" s="1101">
        <f t="shared" si="16"/>
        <v>45566</v>
      </c>
      <c r="O46" s="1101">
        <f t="shared" si="16"/>
        <v>45536</v>
      </c>
      <c r="P46" s="2504"/>
      <c r="Q46" s="2504"/>
      <c r="R46" s="2504"/>
      <c r="S46" s="2504"/>
      <c r="T46" s="2504"/>
      <c r="U46" s="2504"/>
      <c r="V46" s="2504"/>
      <c r="W46" s="2504"/>
      <c r="X46" s="2504"/>
      <c r="Y46" s="2504"/>
      <c r="Z46" s="2504"/>
      <c r="AA46" s="2504"/>
      <c r="AB46" s="2504"/>
      <c r="AC46" s="2504"/>
      <c r="AD46" s="2504"/>
    </row>
    <row r="47" spans="1:30" s="102" customFormat="1">
      <c r="A47" s="443"/>
      <c r="B47" s="444"/>
      <c r="C47" s="1099">
        <v>100</v>
      </c>
      <c r="D47" s="446"/>
      <c r="E47" s="446"/>
      <c r="F47" s="446"/>
      <c r="G47" s="446"/>
      <c r="H47" s="446"/>
      <c r="I47" s="446"/>
      <c r="J47" s="446"/>
      <c r="K47" s="446"/>
      <c r="L47" s="446"/>
      <c r="M47" s="447"/>
      <c r="N47" s="446"/>
      <c r="O47" s="448"/>
      <c r="P47" s="2502"/>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2"/>
      <c r="Q48" s="2502"/>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4"/>
      <c r="O49" s="2514"/>
      <c r="P49" s="2538"/>
      <c r="Q49" s="2502"/>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4"/>
      <c r="O50" s="2514"/>
      <c r="P50" s="2502"/>
      <c r="Q50" s="2502"/>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4.4"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9.4" thickTop="1">
      <c r="A53" s="367"/>
      <c r="B53" s="469" t="s">
        <v>1688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4.4"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4.4"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4.4"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4.4"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4.4"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4.4"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 thickTop="1">
      <c r="A65" s="367"/>
      <c r="B65" s="477" t="s">
        <v>1813</v>
      </c>
      <c r="C65" s="581" t="s">
        <v>1799</v>
      </c>
      <c r="D65" s="581" t="s">
        <v>1800</v>
      </c>
      <c r="E65" s="581" t="s">
        <v>1801</v>
      </c>
      <c r="F65" s="581" t="s">
        <v>1802</v>
      </c>
      <c r="G65" s="581" t="s">
        <v>1803</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 thickTop="1">
      <c r="A69" s="367"/>
      <c r="B69" s="469" t="s">
        <v>1852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4.4"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70"/>
      <c r="B71" s="469">
        <f>B23</f>
        <v>111</v>
      </c>
      <c r="C71" s="480"/>
      <c r="D71" s="480"/>
      <c r="E71" s="480"/>
      <c r="F71" s="480"/>
      <c r="G71" s="485"/>
      <c r="H71" s="485"/>
      <c r="I71" s="485"/>
      <c r="J71" s="485"/>
      <c r="K71" s="485"/>
      <c r="L71" s="510"/>
      <c r="M71" s="511"/>
      <c r="N71" s="2514"/>
      <c r="O71" s="2514"/>
      <c r="P71" s="2514"/>
      <c r="Q71" s="2502"/>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6"/>
      <c r="O72" s="2516"/>
      <c r="P72" s="2514"/>
      <c r="Q72" s="2502"/>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4"/>
      <c r="O73" s="2514"/>
      <c r="P73" s="2514"/>
      <c r="Q73" s="2502"/>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6"/>
      <c r="O74" s="2516"/>
      <c r="P74" s="2514"/>
      <c r="Q74" s="2502"/>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4.4"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1694</v>
      </c>
      <c r="B77" s="460" t="s">
        <v>1740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4.4"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4.4"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4.4"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4.4"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4.4"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4.4"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4.4"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4.4"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0"/>
      <c r="M4" s="2481"/>
      <c r="N4" s="2481"/>
      <c r="O4" s="2481"/>
      <c r="P4" s="3450" t="s">
        <v>1775</v>
      </c>
      <c r="Q4" s="3451"/>
      <c r="R4" s="3454" t="s">
        <v>1771</v>
      </c>
      <c r="S4" s="3455"/>
      <c r="T4" s="3454" t="s">
        <v>1772</v>
      </c>
      <c r="U4" s="3455"/>
      <c r="V4" s="3372" t="s">
        <v>1773</v>
      </c>
      <c r="W4" s="3372"/>
      <c r="X4" s="1262"/>
      <c r="Y4" s="3454" t="s">
        <v>1775</v>
      </c>
      <c r="Z4" s="3455"/>
      <c r="AA4" s="3449" t="s">
        <v>1771</v>
      </c>
      <c r="AB4" s="3416" t="s">
        <v>1772</v>
      </c>
      <c r="AC4" s="3449" t="s">
        <v>1773</v>
      </c>
    </row>
    <row r="5" spans="1:29">
      <c r="A5" s="348"/>
      <c r="B5" s="349"/>
      <c r="C5" s="3407" t="s">
        <v>1673</v>
      </c>
      <c r="D5" s="3408"/>
      <c r="E5" s="3456" t="s">
        <v>1674</v>
      </c>
      <c r="F5" s="3419"/>
      <c r="G5" s="3407" t="s">
        <v>1675</v>
      </c>
      <c r="H5" s="3408"/>
      <c r="I5" s="3407" t="s">
        <v>1676</v>
      </c>
      <c r="J5" s="3408"/>
      <c r="K5" s="537"/>
      <c r="L5" s="2480"/>
      <c r="M5" s="2481"/>
      <c r="N5" s="2481"/>
      <c r="O5" s="2481"/>
      <c r="P5" s="3452"/>
      <c r="Q5" s="3395"/>
      <c r="R5" s="3400"/>
      <c r="S5" s="3401"/>
      <c r="T5" s="3400"/>
      <c r="U5" s="3401"/>
      <c r="V5" s="3372"/>
      <c r="W5" s="3372"/>
      <c r="X5" s="1262"/>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2480"/>
      <c r="M6" s="2481"/>
      <c r="N6" s="2481"/>
      <c r="O6" s="2481"/>
      <c r="P6" s="3453"/>
      <c r="Q6" s="3397"/>
      <c r="R6" s="3400"/>
      <c r="S6" s="3401"/>
      <c r="T6" s="3402"/>
      <c r="U6" s="3403"/>
      <c r="V6" s="3372"/>
      <c r="W6" s="3372"/>
      <c r="X6" s="1262"/>
      <c r="Y6" s="3402"/>
      <c r="Z6" s="3403"/>
      <c r="AA6" s="3417"/>
      <c r="AB6" s="3417"/>
      <c r="AC6" s="3417"/>
    </row>
    <row r="7" spans="1:29" s="102" customFormat="1" ht="15" thickBot="1">
      <c r="A7" s="352" t="s">
        <v>1679</v>
      </c>
      <c r="B7" s="353"/>
      <c r="C7" s="354">
        <f>'数据-取费表'!B2</f>
        <v>45903</v>
      </c>
      <c r="D7" s="355">
        <v>100</v>
      </c>
      <c r="E7" s="356"/>
      <c r="F7" s="357">
        <f>SUMIF(69:69,YEAR(E7)&amp;"-"&amp;INT((MONTH(E7)+2)/3),70:70)</f>
        <v>0</v>
      </c>
      <c r="G7" s="1819"/>
      <c r="H7" s="355">
        <f>SUMIF(69:69,YEAR(G7)&amp;"-"&amp;INT((MONTH(G7)+2)/3),70:70)</f>
        <v>0</v>
      </c>
      <c r="I7" s="1819"/>
      <c r="J7" s="355">
        <f>SUMIF(69:69,YEAR(I7)&amp;"-"&amp;INT((MONTH(I7)+2)/3),70:70)</f>
        <v>0</v>
      </c>
      <c r="K7" s="38"/>
      <c r="L7" s="2482"/>
      <c r="M7" s="2435"/>
      <c r="N7" s="2435"/>
      <c r="O7" s="2435"/>
      <c r="P7" s="3411" t="s">
        <v>1680</v>
      </c>
      <c r="Q7" s="3412"/>
      <c r="R7" s="664" t="s">
        <v>14</v>
      </c>
      <c r="S7" s="665">
        <f t="shared" ref="S7:S15" si="0">F7</f>
        <v>0</v>
      </c>
      <c r="T7" s="664" t="s">
        <v>14</v>
      </c>
      <c r="U7" s="665">
        <f t="shared" ref="U7:U15" si="1">H7</f>
        <v>0</v>
      </c>
      <c r="V7" s="664" t="s">
        <v>14</v>
      </c>
      <c r="W7" s="665">
        <f t="shared" ref="W7:W15" si="2">J7</f>
        <v>0</v>
      </c>
      <c r="X7" s="666"/>
      <c r="Y7" s="3411" t="s">
        <v>1680</v>
      </c>
      <c r="Z7" s="341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2"/>
      <c r="M8" s="2435"/>
      <c r="N8" s="2435"/>
      <c r="O8" s="2435"/>
      <c r="P8" s="3411" t="s">
        <v>1683</v>
      </c>
      <c r="Q8" s="3410"/>
      <c r="R8" s="664" t="s">
        <v>14</v>
      </c>
      <c r="S8" s="665">
        <f t="shared" si="0"/>
        <v>0</v>
      </c>
      <c r="T8" s="664" t="s">
        <v>14</v>
      </c>
      <c r="U8" s="665">
        <f t="shared" si="1"/>
        <v>0</v>
      </c>
      <c r="V8" s="664" t="s">
        <v>14</v>
      </c>
      <c r="W8" s="665">
        <f t="shared" si="2"/>
        <v>0</v>
      </c>
      <c r="X8" s="666"/>
      <c r="Y8" s="3411" t="s">
        <v>1683</v>
      </c>
      <c r="Z8" s="3410"/>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7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2"/>
      <c r="L10" s="2483"/>
      <c r="M10" s="2484"/>
      <c r="N10" s="2484"/>
      <c r="O10" s="2535"/>
      <c r="P10" s="3371"/>
      <c r="Q10" s="530" t="str">
        <f t="shared" si="6"/>
        <v>土地使用年限（年）</v>
      </c>
      <c r="R10" s="664" t="s">
        <v>14</v>
      </c>
      <c r="S10" s="665">
        <f t="shared" si="0"/>
        <v>122</v>
      </c>
      <c r="T10" s="664" t="s">
        <v>14</v>
      </c>
      <c r="U10" s="665">
        <f t="shared" si="1"/>
        <v>122</v>
      </c>
      <c r="V10" s="664" t="s">
        <v>14</v>
      </c>
      <c r="W10" s="665">
        <f t="shared" si="2"/>
        <v>122</v>
      </c>
      <c r="X10" s="666"/>
      <c r="Y10" s="3274"/>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371"/>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5"/>
      <c r="N12" s="2435"/>
      <c r="O12" s="2534"/>
      <c r="P12" s="3371"/>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371"/>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371"/>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378" t="s">
        <v>1691</v>
      </c>
      <c r="Q15" s="1260" t="str">
        <f t="shared" si="6"/>
        <v>居住社区成熟度</v>
      </c>
      <c r="R15" s="667" t="s">
        <v>14</v>
      </c>
      <c r="S15" s="668">
        <f t="shared" si="0"/>
        <v>100</v>
      </c>
      <c r="T15" s="667" t="s">
        <v>14</v>
      </c>
      <c r="U15" s="668">
        <f t="shared" si="1"/>
        <v>100</v>
      </c>
      <c r="V15" s="667" t="s">
        <v>14</v>
      </c>
      <c r="W15" s="668">
        <f t="shared" si="2"/>
        <v>100</v>
      </c>
      <c r="X15" s="1262"/>
      <c r="Y15" s="3378"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6"/>
      <c r="M16" s="2481"/>
      <c r="N16" s="2481"/>
      <c r="O16" s="2536"/>
      <c r="P16" s="3379"/>
      <c r="Q16" s="1260"/>
      <c r="R16" s="667"/>
      <c r="S16" s="668"/>
      <c r="T16" s="667"/>
      <c r="U16" s="668"/>
      <c r="V16" s="667"/>
      <c r="W16" s="668"/>
      <c r="X16" s="1262"/>
      <c r="Y16" s="3379"/>
      <c r="Z16" s="1261"/>
      <c r="AA16" s="1261">
        <v>1</v>
      </c>
      <c r="AB16" s="1261">
        <v>1</v>
      </c>
      <c r="AC16" s="1261">
        <v>1</v>
      </c>
    </row>
    <row r="17" spans="1:29" ht="15">
      <c r="A17" s="367"/>
      <c r="B17" s="390" t="s">
        <v>1777</v>
      </c>
      <c r="C17" s="1803">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379"/>
      <c r="Q17" s="1260" t="str">
        <f>B17</f>
        <v>商业繁华度</v>
      </c>
      <c r="R17" s="667" t="s">
        <v>14</v>
      </c>
      <c r="S17" s="668">
        <f>F17</f>
        <v>100</v>
      </c>
      <c r="T17" s="667" t="s">
        <v>14</v>
      </c>
      <c r="U17" s="668">
        <f>H17</f>
        <v>100</v>
      </c>
      <c r="V17" s="667" t="s">
        <v>14</v>
      </c>
      <c r="W17" s="668">
        <f>J17</f>
        <v>100</v>
      </c>
      <c r="X17" s="1262"/>
      <c r="Y17" s="3379"/>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6"/>
      <c r="M18" s="2481"/>
      <c r="N18" s="2481"/>
      <c r="O18" s="2536"/>
      <c r="P18" s="3379"/>
      <c r="Q18" s="1260"/>
      <c r="R18" s="667"/>
      <c r="S18" s="668"/>
      <c r="T18" s="667"/>
      <c r="U18" s="668"/>
      <c r="V18" s="667"/>
      <c r="W18" s="668"/>
      <c r="X18" s="1262"/>
      <c r="Y18" s="3379"/>
      <c r="Z18" s="1261"/>
      <c r="AA18" s="1261">
        <v>1</v>
      </c>
      <c r="AB18" s="1261">
        <v>1</v>
      </c>
      <c r="AC18" s="1261">
        <v>1</v>
      </c>
    </row>
    <row r="19" spans="1:29" ht="193.2">
      <c r="A19" s="367"/>
      <c r="B19" s="390" t="s">
        <v>1811</v>
      </c>
      <c r="C19" s="1803" t="str">
        <f>估价对象房地状况!C17</f>
        <v>估价对象地处北京商务中心区，北京商务中心区（CBD）是首都六大高端产业功能区之一区域内高品质写字楼项目聚集，如国贸中心、银泰中心、环球金融中心等，区域办公集聚程度好</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379"/>
      <c r="Q19" s="1260" t="str">
        <f>B19</f>
        <v>办公集聚程度</v>
      </c>
      <c r="R19" s="667" t="s">
        <v>14</v>
      </c>
      <c r="S19" s="668">
        <f>F19</f>
        <v>100</v>
      </c>
      <c r="T19" s="667" t="s">
        <v>14</v>
      </c>
      <c r="U19" s="668">
        <f>H19</f>
        <v>100</v>
      </c>
      <c r="V19" s="667" t="s">
        <v>14</v>
      </c>
      <c r="W19" s="668">
        <f>J19</f>
        <v>100</v>
      </c>
      <c r="X19" s="1262"/>
      <c r="Y19" s="3379"/>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6"/>
      <c r="M20" s="2481"/>
      <c r="N20" s="2481"/>
      <c r="O20" s="2536"/>
      <c r="P20" s="3379"/>
      <c r="Q20" s="1260"/>
      <c r="R20" s="667"/>
      <c r="S20" s="668"/>
      <c r="T20" s="667"/>
      <c r="U20" s="668"/>
      <c r="V20" s="667"/>
      <c r="W20" s="668"/>
      <c r="X20" s="1262"/>
      <c r="Y20" s="3379"/>
      <c r="Z20" s="1261"/>
      <c r="AA20" s="1261">
        <v>1</v>
      </c>
      <c r="AB20" s="1261">
        <v>1</v>
      </c>
      <c r="AC20" s="1261">
        <v>1</v>
      </c>
    </row>
    <row r="21" spans="1:29" ht="179.4">
      <c r="A21" s="367"/>
      <c r="B21" s="390" t="s">
        <v>1833</v>
      </c>
      <c r="C21" s="1751" t="str">
        <f>估价对象房地状况!C18</f>
        <v>周边1公里范围内有特8内路、348路、805快路、806路、814路、846路等多条公交线路及地铁1、10号线国贸站，公交便捷度好。综上分析，估价对象所在区位整体交通便捷度较好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379"/>
      <c r="Q21" s="1260" t="str">
        <f>B21</f>
        <v>交通便捷度</v>
      </c>
      <c r="R21" s="667" t="s">
        <v>14</v>
      </c>
      <c r="S21" s="668">
        <f>F21</f>
        <v>100</v>
      </c>
      <c r="T21" s="667" t="s">
        <v>14</v>
      </c>
      <c r="U21" s="668">
        <f>H21</f>
        <v>100</v>
      </c>
      <c r="V21" s="667" t="s">
        <v>14</v>
      </c>
      <c r="W21" s="668">
        <f>J21</f>
        <v>100</v>
      </c>
      <c r="X21" s="1262"/>
      <c r="Y21" s="3379"/>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6"/>
      <c r="M22" s="2481"/>
      <c r="N22" s="2481"/>
      <c r="O22" s="2536"/>
      <c r="P22" s="3379"/>
      <c r="Q22" s="1260"/>
      <c r="R22" s="667"/>
      <c r="S22" s="668"/>
      <c r="T22" s="667"/>
      <c r="U22" s="668"/>
      <c r="V22" s="667"/>
      <c r="W22" s="668"/>
      <c r="X22" s="1262"/>
      <c r="Y22" s="3379"/>
      <c r="Z22" s="1261"/>
      <c r="AA22" s="1261">
        <v>1</v>
      </c>
      <c r="AB22" s="1261">
        <v>1</v>
      </c>
      <c r="AC22" s="1261">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379"/>
      <c r="Q23" s="1260" t="str">
        <f t="shared" ref="Q23:Q37" si="8">B23</f>
        <v>区域土地利用方向</v>
      </c>
      <c r="R23" s="667" t="s">
        <v>14</v>
      </c>
      <c r="S23" s="668">
        <f>F23</f>
        <v>100</v>
      </c>
      <c r="T23" s="667" t="s">
        <v>14</v>
      </c>
      <c r="U23" s="668">
        <f>H23</f>
        <v>100</v>
      </c>
      <c r="V23" s="667" t="s">
        <v>14</v>
      </c>
      <c r="W23" s="668">
        <f>J23</f>
        <v>100</v>
      </c>
      <c r="X23" s="1262"/>
      <c r="Y23" s="3379"/>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6"/>
      <c r="M24" s="2481"/>
      <c r="N24" s="2481"/>
      <c r="O24" s="2536"/>
      <c r="P24" s="3379"/>
      <c r="Q24" s="1260"/>
      <c r="R24" s="667"/>
      <c r="S24" s="668"/>
      <c r="T24" s="667"/>
      <c r="U24" s="668"/>
      <c r="V24" s="667"/>
      <c r="W24" s="668"/>
      <c r="X24" s="1262"/>
      <c r="Y24" s="3379"/>
      <c r="Z24" s="1261"/>
      <c r="AA24" s="1261"/>
      <c r="AB24" s="1261"/>
      <c r="AC24" s="1261"/>
    </row>
    <row r="25" spans="1:29" ht="110.4">
      <c r="A25" s="348"/>
      <c r="B25" s="586" t="s">
        <v>1872</v>
      </c>
      <c r="C25" s="1803" t="str">
        <f>估价对象房地状况!C20</f>
        <v>周边约1公里范围内有庆丰公园，CBD历史文化公园，中国海关博物馆等，南侧有通惠河经过，环境状况较好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379"/>
      <c r="Q25" s="1260" t="str">
        <f t="shared" si="8"/>
        <v>自然及人文环境状况</v>
      </c>
      <c r="R25" s="667" t="s">
        <v>14</v>
      </c>
      <c r="S25" s="668">
        <f>F25</f>
        <v>100</v>
      </c>
      <c r="T25" s="667" t="s">
        <v>14</v>
      </c>
      <c r="U25" s="668">
        <f>H25</f>
        <v>100</v>
      </c>
      <c r="V25" s="667" t="s">
        <v>14</v>
      </c>
      <c r="W25" s="668">
        <f>J25</f>
        <v>100</v>
      </c>
      <c r="X25" s="1262"/>
      <c r="Y25" s="3379"/>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6"/>
      <c r="M26" s="2481"/>
      <c r="N26" s="2481"/>
      <c r="O26" s="2536"/>
      <c r="P26" s="3379"/>
      <c r="Q26" s="1260"/>
      <c r="R26" s="667"/>
      <c r="S26" s="668"/>
      <c r="T26" s="667"/>
      <c r="U26" s="668"/>
      <c r="V26" s="667"/>
      <c r="W26" s="668"/>
      <c r="X26" s="1262"/>
      <c r="Y26" s="3379"/>
      <c r="Z26" s="1261"/>
      <c r="AA26" s="1261">
        <v>1</v>
      </c>
      <c r="AB26" s="1261">
        <v>1</v>
      </c>
      <c r="AC26" s="1261">
        <v>1</v>
      </c>
    </row>
    <row r="27" spans="1:29" s="102" customFormat="1" ht="248.4">
      <c r="A27" s="443"/>
      <c r="B27" s="586" t="s">
        <v>1778</v>
      </c>
      <c r="C27" s="1751"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5"/>
      <c r="N27" s="2435"/>
      <c r="O27" s="2534"/>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2"/>
      <c r="M28" s="2435"/>
      <c r="N28" s="2435"/>
      <c r="O28" s="2534"/>
      <c r="P28" s="3379"/>
      <c r="Q28" s="530"/>
      <c r="R28" s="664"/>
      <c r="S28" s="665"/>
      <c r="T28" s="664"/>
      <c r="U28" s="665"/>
      <c r="V28" s="664"/>
      <c r="W28" s="665"/>
      <c r="X28" s="666"/>
      <c r="Y28" s="3379"/>
      <c r="Z28" s="50"/>
      <c r="AA28" s="1261">
        <v>1</v>
      </c>
      <c r="AB28" s="1261">
        <v>1</v>
      </c>
      <c r="AC28" s="1261">
        <v>1</v>
      </c>
    </row>
    <row r="29" spans="1:29" s="102" customFormat="1" ht="41.4">
      <c r="A29" s="443"/>
      <c r="B29" s="586"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5"/>
      <c r="N29" s="2435"/>
      <c r="O29" s="2534"/>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2"/>
      <c r="M30" s="2435"/>
      <c r="N30" s="2435"/>
      <c r="O30" s="2534"/>
      <c r="P30" s="3379"/>
      <c r="Q30" s="530"/>
      <c r="R30" s="664"/>
      <c r="S30" s="665"/>
      <c r="T30" s="664"/>
      <c r="U30" s="665"/>
      <c r="V30" s="664"/>
      <c r="W30" s="665"/>
      <c r="X30" s="666"/>
      <c r="Y30" s="3379"/>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379"/>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79"/>
      <c r="Z31" s="1261" t="str">
        <f t="shared" ref="Z31:Z45" si="13">Q31</f>
        <v>临街状况</v>
      </c>
      <c r="AA31" s="1261">
        <f t="shared" si="3"/>
        <v>1</v>
      </c>
      <c r="AB31" s="1261">
        <f t="shared" si="4"/>
        <v>1</v>
      </c>
      <c r="AC31" s="1261">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379"/>
      <c r="Q32" s="1260" t="str">
        <f t="shared" si="8"/>
        <v>毗邻道路的类型与等级</v>
      </c>
      <c r="R32" s="667" t="s">
        <v>14</v>
      </c>
      <c r="S32" s="668">
        <f t="shared" si="10"/>
        <v>100</v>
      </c>
      <c r="T32" s="667" t="s">
        <v>14</v>
      </c>
      <c r="U32" s="668">
        <f t="shared" si="11"/>
        <v>100</v>
      </c>
      <c r="V32" s="667" t="s">
        <v>14</v>
      </c>
      <c r="W32" s="668">
        <f t="shared" si="12"/>
        <v>100</v>
      </c>
      <c r="X32" s="1262"/>
      <c r="Y32" s="3379"/>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6"/>
      <c r="M33" s="2481"/>
      <c r="N33" s="2481"/>
      <c r="O33" s="2536"/>
      <c r="P33" s="3379"/>
      <c r="Q33" s="1260"/>
      <c r="R33" s="667"/>
      <c r="S33" s="668"/>
      <c r="T33" s="667"/>
      <c r="U33" s="668"/>
      <c r="V33" s="667"/>
      <c r="W33" s="668"/>
      <c r="X33" s="1262"/>
      <c r="Y33" s="3379"/>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379"/>
      <c r="Q34" s="1260" t="str">
        <f t="shared" si="8"/>
        <v>土地级别</v>
      </c>
      <c r="R34" s="667" t="s">
        <v>14</v>
      </c>
      <c r="S34" s="668">
        <f t="shared" si="10"/>
        <v>100</v>
      </c>
      <c r="T34" s="667" t="s">
        <v>14</v>
      </c>
      <c r="U34" s="668">
        <f t="shared" si="11"/>
        <v>100</v>
      </c>
      <c r="V34" s="667" t="s">
        <v>14</v>
      </c>
      <c r="W34" s="668">
        <f t="shared" si="12"/>
        <v>100</v>
      </c>
      <c r="X34" s="1262"/>
      <c r="Y34" s="3379"/>
      <c r="Z34" s="1261" t="str">
        <f t="shared" si="13"/>
        <v>土地级别</v>
      </c>
      <c r="AA34" s="1261">
        <f t="shared" si="3"/>
        <v>1</v>
      </c>
      <c r="AB34" s="1261">
        <f t="shared" si="4"/>
        <v>1</v>
      </c>
      <c r="AC34" s="1261">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379"/>
      <c r="Q35" s="1260">
        <f t="shared" si="8"/>
        <v>111</v>
      </c>
      <c r="R35" s="667" t="s">
        <v>14</v>
      </c>
      <c r="S35" s="668">
        <f t="shared" si="10"/>
        <v>100</v>
      </c>
      <c r="T35" s="667" t="s">
        <v>14</v>
      </c>
      <c r="U35" s="668">
        <f t="shared" si="11"/>
        <v>100</v>
      </c>
      <c r="V35" s="667" t="s">
        <v>14</v>
      </c>
      <c r="W35" s="668">
        <f t="shared" si="12"/>
        <v>100</v>
      </c>
      <c r="X35" s="1262"/>
      <c r="Y35" s="3379"/>
      <c r="Z35" s="1261">
        <f t="shared" si="13"/>
        <v>111</v>
      </c>
      <c r="AA35" s="1261">
        <f t="shared" si="3"/>
        <v>1</v>
      </c>
      <c r="AB35" s="1261">
        <f t="shared" si="4"/>
        <v>1</v>
      </c>
      <c r="AC35" s="1261">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57" t="s">
        <v>1696</v>
      </c>
      <c r="Q36" s="1260">
        <f t="shared" si="8"/>
        <v>111</v>
      </c>
      <c r="R36" s="667" t="s">
        <v>14</v>
      </c>
      <c r="S36" s="668">
        <f t="shared" si="10"/>
        <v>100</v>
      </c>
      <c r="T36" s="667" t="s">
        <v>14</v>
      </c>
      <c r="U36" s="668">
        <f t="shared" si="11"/>
        <v>100</v>
      </c>
      <c r="V36" s="667" t="s">
        <v>14</v>
      </c>
      <c r="W36" s="668">
        <f t="shared" si="12"/>
        <v>100</v>
      </c>
      <c r="X36" s="1262"/>
      <c r="Y36" s="3383" t="s">
        <v>1696</v>
      </c>
      <c r="Z36" s="1261">
        <f t="shared" si="13"/>
        <v>111</v>
      </c>
      <c r="AA36" s="1261">
        <f t="shared" si="3"/>
        <v>1</v>
      </c>
      <c r="AB36" s="1261">
        <f t="shared" si="4"/>
        <v>1</v>
      </c>
      <c r="AC36" s="1261">
        <f t="shared" si="5"/>
        <v>1</v>
      </c>
    </row>
    <row r="37" spans="1:29" s="408" customFormat="1" ht="15.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383"/>
      <c r="Q37" s="1260">
        <f t="shared" si="8"/>
        <v>111</v>
      </c>
      <c r="R37" s="669" t="s">
        <v>14</v>
      </c>
      <c r="S37" s="670">
        <f t="shared" si="10"/>
        <v>100</v>
      </c>
      <c r="T37" s="669" t="s">
        <v>14</v>
      </c>
      <c r="U37" s="670">
        <f t="shared" si="11"/>
        <v>100</v>
      </c>
      <c r="V37" s="669" t="s">
        <v>14</v>
      </c>
      <c r="W37" s="670">
        <f t="shared" si="12"/>
        <v>100</v>
      </c>
      <c r="X37" s="671"/>
      <c r="Y37" s="3383"/>
      <c r="Z37" s="672">
        <f t="shared" si="13"/>
        <v>111</v>
      </c>
      <c r="AA37" s="1261">
        <f t="shared" si="3"/>
        <v>1</v>
      </c>
      <c r="AB37" s="1261">
        <f t="shared" si="4"/>
        <v>1</v>
      </c>
      <c r="AC37" s="1261">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383"/>
      <c r="Q38" s="1260" t="str">
        <f>B38</f>
        <v>宗地面积</v>
      </c>
      <c r="R38" s="667" t="s">
        <v>14</v>
      </c>
      <c r="S38" s="668" t="e">
        <f t="shared" si="10"/>
        <v>#N/A</v>
      </c>
      <c r="T38" s="667" t="s">
        <v>14</v>
      </c>
      <c r="U38" s="668" t="e">
        <f t="shared" si="11"/>
        <v>#N/A</v>
      </c>
      <c r="V38" s="667" t="s">
        <v>14</v>
      </c>
      <c r="W38" s="668" t="e">
        <f t="shared" si="12"/>
        <v>#N/A</v>
      </c>
      <c r="X38" s="1262"/>
      <c r="Y38" s="3383"/>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6"/>
      <c r="M39" s="2481"/>
      <c r="N39" s="2481"/>
      <c r="O39" s="2536"/>
      <c r="P39" s="3383"/>
      <c r="Q39" s="1260" t="str">
        <f t="shared" ref="Q39:Q45" si="14">B39</f>
        <v>宗地形状</v>
      </c>
      <c r="R39" s="667" t="s">
        <v>14</v>
      </c>
      <c r="S39" s="668">
        <f t="shared" si="10"/>
        <v>100</v>
      </c>
      <c r="T39" s="667" t="s">
        <v>14</v>
      </c>
      <c r="U39" s="668">
        <f t="shared" si="11"/>
        <v>100</v>
      </c>
      <c r="V39" s="667" t="s">
        <v>14</v>
      </c>
      <c r="W39" s="668">
        <f t="shared" si="12"/>
        <v>100</v>
      </c>
      <c r="X39" s="1262"/>
      <c r="Y39" s="3383"/>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6"/>
      <c r="M40" s="2481"/>
      <c r="N40" s="2481"/>
      <c r="O40" s="2536"/>
      <c r="P40" s="3383"/>
      <c r="Q40" s="1260" t="str">
        <f t="shared" si="14"/>
        <v>临街宽度及深度</v>
      </c>
      <c r="R40" s="667" t="s">
        <v>14</v>
      </c>
      <c r="S40" s="668">
        <f t="shared" si="10"/>
        <v>100</v>
      </c>
      <c r="T40" s="667" t="s">
        <v>14</v>
      </c>
      <c r="U40" s="668">
        <f t="shared" si="11"/>
        <v>100</v>
      </c>
      <c r="V40" s="667" t="s">
        <v>14</v>
      </c>
      <c r="W40" s="668">
        <f t="shared" si="12"/>
        <v>100</v>
      </c>
      <c r="X40" s="1262"/>
      <c r="Y40" s="3383"/>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2"/>
      <c r="M41" s="2435"/>
      <c r="N41" s="2435"/>
      <c r="O41" s="2534"/>
      <c r="P41" s="3383"/>
      <c r="Q41" s="1260"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6"/>
      <c r="M42" s="2481"/>
      <c r="N42" s="2481"/>
      <c r="O42" s="2536"/>
      <c r="P42" s="3383" t="s">
        <v>1696</v>
      </c>
      <c r="Q42" s="1260" t="str">
        <f t="shared" si="14"/>
        <v>工程地质条件</v>
      </c>
      <c r="R42" s="667" t="s">
        <v>14</v>
      </c>
      <c r="S42" s="668">
        <f t="shared" si="10"/>
        <v>100</v>
      </c>
      <c r="T42" s="667" t="s">
        <v>14</v>
      </c>
      <c r="U42" s="668">
        <f t="shared" si="11"/>
        <v>100</v>
      </c>
      <c r="V42" s="667" t="s">
        <v>14</v>
      </c>
      <c r="W42" s="668">
        <f t="shared" si="12"/>
        <v>100</v>
      </c>
      <c r="X42" s="1262"/>
      <c r="Y42" s="3383" t="s">
        <v>1696</v>
      </c>
      <c r="Z42" s="1261" t="str">
        <f t="shared" si="13"/>
        <v>工程地质条件</v>
      </c>
      <c r="AA42" s="1261">
        <f t="shared" si="3"/>
        <v>1</v>
      </c>
      <c r="AB42" s="1261">
        <f t="shared" si="4"/>
        <v>1</v>
      </c>
      <c r="AC42" s="1261">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383"/>
      <c r="Q43" s="1260">
        <f t="shared" si="14"/>
        <v>111</v>
      </c>
      <c r="R43" s="667" t="s">
        <v>14</v>
      </c>
      <c r="S43" s="668">
        <f t="shared" si="10"/>
        <v>100</v>
      </c>
      <c r="T43" s="667" t="s">
        <v>14</v>
      </c>
      <c r="U43" s="668">
        <f t="shared" si="11"/>
        <v>100</v>
      </c>
      <c r="V43" s="667" t="s">
        <v>14</v>
      </c>
      <c r="W43" s="668">
        <f t="shared" si="12"/>
        <v>100</v>
      </c>
      <c r="X43" s="1262"/>
      <c r="Y43" s="3383"/>
      <c r="Z43" s="1261">
        <f t="shared" si="13"/>
        <v>111</v>
      </c>
      <c r="AA43" s="1261">
        <f t="shared" si="3"/>
        <v>1</v>
      </c>
      <c r="AB43" s="1261">
        <f t="shared" si="4"/>
        <v>1</v>
      </c>
      <c r="AC43" s="1261">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383"/>
      <c r="Q44" s="1260">
        <f t="shared" si="14"/>
        <v>111</v>
      </c>
      <c r="R44" s="667" t="s">
        <v>14</v>
      </c>
      <c r="S44" s="668">
        <f t="shared" si="10"/>
        <v>100</v>
      </c>
      <c r="T44" s="667" t="s">
        <v>14</v>
      </c>
      <c r="U44" s="668">
        <f t="shared" si="11"/>
        <v>100</v>
      </c>
      <c r="V44" s="667" t="s">
        <v>14</v>
      </c>
      <c r="W44" s="668">
        <f t="shared" si="12"/>
        <v>100</v>
      </c>
      <c r="X44" s="1262"/>
      <c r="Y44" s="3383"/>
      <c r="Z44" s="1261">
        <f t="shared" si="13"/>
        <v>111</v>
      </c>
      <c r="AA44" s="1261">
        <f t="shared" si="3"/>
        <v>1</v>
      </c>
      <c r="AB44" s="1261">
        <f t="shared" si="4"/>
        <v>1</v>
      </c>
      <c r="AC44" s="1261">
        <f t="shared" si="5"/>
        <v>1</v>
      </c>
    </row>
    <row r="45" spans="1:29" s="408" customFormat="1" ht="15.6"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383"/>
      <c r="Q45" s="1260">
        <f t="shared" si="14"/>
        <v>111</v>
      </c>
      <c r="R45" s="669" t="s">
        <v>14</v>
      </c>
      <c r="S45" s="670">
        <f t="shared" si="10"/>
        <v>100</v>
      </c>
      <c r="T45" s="669" t="s">
        <v>14</v>
      </c>
      <c r="U45" s="670">
        <f t="shared" si="11"/>
        <v>100</v>
      </c>
      <c r="V45" s="669" t="s">
        <v>14</v>
      </c>
      <c r="W45" s="670">
        <f t="shared" si="12"/>
        <v>100</v>
      </c>
      <c r="X45" s="671"/>
      <c r="Y45" s="3383"/>
      <c r="Z45" s="672">
        <f t="shared" si="13"/>
        <v>111</v>
      </c>
      <c r="AA45" s="1261">
        <f t="shared" si="3"/>
        <v>1</v>
      </c>
      <c r="AB45" s="1261">
        <f t="shared" si="4"/>
        <v>1</v>
      </c>
      <c r="AC45" s="1261">
        <f t="shared" si="5"/>
        <v>1</v>
      </c>
    </row>
    <row r="46" spans="1:29" ht="14.4">
      <c r="A46" s="416" t="s">
        <v>1844</v>
      </c>
      <c r="B46" s="1827" t="s">
        <v>1879</v>
      </c>
      <c r="C46" s="602" t="s">
        <v>0</v>
      </c>
      <c r="D46" s="418"/>
      <c r="E46" s="419"/>
      <c r="F46" s="420"/>
      <c r="G46" s="421"/>
      <c r="H46" s="422"/>
      <c r="I46" s="419"/>
      <c r="J46" s="422"/>
      <c r="K46" s="674"/>
      <c r="L46" s="2488"/>
      <c r="M46" s="2481"/>
      <c r="N46" s="2481"/>
      <c r="O46" s="2481"/>
      <c r="P46" s="3371" t="str">
        <f>A46</f>
        <v>成交单价</v>
      </c>
      <c r="Q46" s="3371"/>
      <c r="R46" s="3372">
        <f>E46</f>
        <v>0</v>
      </c>
      <c r="S46" s="3372"/>
      <c r="T46" s="3372">
        <f>G46</f>
        <v>0</v>
      </c>
      <c r="U46" s="3372"/>
      <c r="V46" s="3372">
        <f>I46</f>
        <v>0</v>
      </c>
      <c r="W46" s="3372"/>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88"/>
      <c r="M47" s="2481"/>
      <c r="N47" s="2481"/>
      <c r="O47" s="2481"/>
      <c r="P47" s="3371" t="str">
        <f>A47</f>
        <v>比较价值（元/平方米）</v>
      </c>
      <c r="Q47" s="3371"/>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8"/>
      <c r="M48" s="2481"/>
      <c r="N48" s="2481"/>
      <c r="O48" s="2481"/>
      <c r="P48" s="3446" t="str">
        <f>A48</f>
        <v>估价对象XX用房的比较价值（楼面单价，元/平方米）</v>
      </c>
      <c r="Q48" s="3447"/>
      <c r="R48" s="3460" t="e">
        <f>ROUND(IF(D47="简单平均",AVERAGE(R47:W47),R47*F47+T47*H47+V47*J47),0)</f>
        <v>#DIV/0!</v>
      </c>
      <c r="S48" s="3460"/>
      <c r="T48" s="3460"/>
      <c r="U48" s="3460"/>
      <c r="V48" s="3460"/>
      <c r="W48" s="3460"/>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4.4" thickBot="1">
      <c r="A54" s="2491"/>
      <c r="B54" s="2494"/>
      <c r="C54" s="657"/>
      <c r="D54" s="655"/>
      <c r="E54" s="655"/>
      <c r="F54" s="655"/>
      <c r="G54" s="655"/>
      <c r="H54" s="655"/>
      <c r="I54" s="655"/>
      <c r="J54" s="655"/>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1881</v>
      </c>
      <c r="B55" s="605" t="s">
        <v>1882</v>
      </c>
      <c r="C55" s="1828" t="s">
        <v>1883</v>
      </c>
      <c r="D55" s="1829" t="s">
        <v>1884</v>
      </c>
      <c r="E55" s="606" t="s">
        <v>1885</v>
      </c>
      <c r="F55" s="834" t="s">
        <v>1886</v>
      </c>
      <c r="G55" s="3388" t="s">
        <v>1887</v>
      </c>
      <c r="H55" s="3461"/>
      <c r="I55" s="127"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1890</v>
      </c>
      <c r="B56" s="609" t="e">
        <f>C48</f>
        <v>#DIV/0!</v>
      </c>
      <c r="C56" s="610">
        <v>1</v>
      </c>
      <c r="D56" s="887">
        <v>1</v>
      </c>
      <c r="E56" s="610">
        <f>'数据-汇总表'!E8+'数据-汇总表'!E9</f>
        <v>47705.27</v>
      </c>
      <c r="F56" s="830" t="e">
        <f t="shared" ref="F56:F64" si="15">ROUND(B56*E56/10000,0)</f>
        <v>#DIV/0!</v>
      </c>
      <c r="G56" s="3370"/>
      <c r="H56" s="3371"/>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v>
      </c>
      <c r="D57" s="888">
        <v>0.25</v>
      </c>
      <c r="E57" s="614"/>
      <c r="F57" s="830" t="e">
        <f t="shared" si="15"/>
        <v>#DIV/0!</v>
      </c>
      <c r="G57" s="2744" t="s">
        <v>1892</v>
      </c>
      <c r="H57" s="831">
        <f>项目基本情况!B37</f>
        <v>0</v>
      </c>
      <c r="I57" s="835">
        <f>SUMIF(修正!A57:A68,H57,修正!B57:B68)</f>
        <v>0</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v>
      </c>
      <c r="D58" s="888">
        <v>0.25</v>
      </c>
      <c r="E58" s="614"/>
      <c r="F58" s="830" t="e">
        <f t="shared" si="15"/>
        <v>#DIV/0!</v>
      </c>
      <c r="G58" s="2745"/>
      <c r="H58" s="831">
        <f>项目基本情况!B37</f>
        <v>0</v>
      </c>
      <c r="I58" s="835">
        <f>SUMIF(修正!A57:A68,H58,修正!C57:C68)</f>
        <v>0</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v>
      </c>
      <c r="D59" s="888">
        <v>0.25</v>
      </c>
      <c r="E59" s="614"/>
      <c r="F59" s="830" t="e">
        <f t="shared" si="15"/>
        <v>#DIV/0!</v>
      </c>
      <c r="G59" s="2745"/>
      <c r="H59" s="831">
        <f>项目基本情况!B37</f>
        <v>0</v>
      </c>
      <c r="I59" s="835">
        <f>SUMIF(修正!A57:A68,H59,修正!D57:D68)</f>
        <v>0</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0.3</v>
      </c>
      <c r="D60" s="888">
        <v>0.25</v>
      </c>
      <c r="E60" s="209">
        <f>'数据-汇总表'!E11</f>
        <v>0</v>
      </c>
      <c r="F60" s="830" t="e">
        <f t="shared" si="15"/>
        <v>#DIV/0!</v>
      </c>
      <c r="G60" s="1832" t="s">
        <v>1896</v>
      </c>
      <c r="H60" s="831" t="str">
        <f>项目基本情况!C37</f>
        <v>一级</v>
      </c>
      <c r="I60" s="835">
        <f>SUMIF(修正!A57:A68,H60,修正!E57:E68)</f>
        <v>0.3</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一级</v>
      </c>
      <c r="I61" s="835">
        <f>SUMIF(修正!A57:A68,H61,修正!F57:F68)</f>
        <v>0.3</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88">
        <v>0.25</v>
      </c>
      <c r="E62" s="209">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v>
      </c>
      <c r="D63" s="888">
        <v>0.25</v>
      </c>
      <c r="E63" s="209">
        <f>'数据-汇总表'!E14</f>
        <v>0</v>
      </c>
      <c r="F63" s="830" t="e">
        <f t="shared" si="15"/>
        <v>#DIV/0!</v>
      </c>
      <c r="G63" s="1832" t="s">
        <v>1892</v>
      </c>
      <c r="H63" s="831">
        <f>项目基本情况!B37</f>
        <v>0</v>
      </c>
      <c r="I63" s="835">
        <f>SUMIF(修正!A57:A68,H63,修正!G57:G68)</f>
        <v>0</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4.4" thickBot="1">
      <c r="A64" s="613" t="s">
        <v>1902</v>
      </c>
      <c r="B64" s="210" t="e">
        <f t="shared" si="17"/>
        <v>#DIV/0!</v>
      </c>
      <c r="C64" s="163">
        <f t="shared" si="16"/>
        <v>0.2</v>
      </c>
      <c r="D64" s="888">
        <v>0.25</v>
      </c>
      <c r="E64" s="209">
        <f>'数据-汇总表'!E15</f>
        <v>0</v>
      </c>
      <c r="F64" s="830" t="e">
        <f t="shared" si="15"/>
        <v>#DIV/0!</v>
      </c>
      <c r="G64" s="1833" t="s">
        <v>1896</v>
      </c>
      <c r="H64" s="841" t="str">
        <f>项目基本情况!C37</f>
        <v>一级</v>
      </c>
      <c r="I64" s="837">
        <f>SUMIF(修正!A57:A68,H64,修正!G57:G68)</f>
        <v>0.2</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thickBot="1">
      <c r="A65" s="615" t="s">
        <v>1903</v>
      </c>
      <c r="B65" s="616" t="s">
        <v>22</v>
      </c>
      <c r="C65" s="616" t="s">
        <v>23</v>
      </c>
      <c r="D65" s="616" t="s">
        <v>392</v>
      </c>
      <c r="E65" s="616">
        <f>IF(B46="楼面地价",SUM(E56:E64),'数据-汇总表'!D3)</f>
        <v>47705.27</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1"/>
      <c r="Q67" s="2481"/>
      <c r="R67" s="2481"/>
      <c r="S67" s="2481"/>
      <c r="T67" s="2481"/>
      <c r="U67" s="2481"/>
      <c r="V67" s="2481"/>
      <c r="W67" s="2481"/>
      <c r="X67" s="2481"/>
      <c r="Y67" s="2481"/>
      <c r="Z67" s="2481"/>
      <c r="AA67" s="2481"/>
      <c r="AB67" s="2481"/>
      <c r="AC67" s="2481"/>
    </row>
    <row r="68" spans="1:29" ht="22.2" thickBot="1">
      <c r="A68" s="658" t="s">
        <v>1798</v>
      </c>
      <c r="B68" s="385"/>
      <c r="C68" s="659"/>
      <c r="D68" s="659"/>
      <c r="E68" s="659"/>
      <c r="F68" s="660"/>
      <c r="G68" s="660"/>
      <c r="H68" s="659"/>
      <c r="I68" s="659"/>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4.4">
      <c r="A69" s="1627" t="s">
        <v>1904</v>
      </c>
      <c r="B69" s="1043"/>
      <c r="C69" s="1098" t="str">
        <f>YEAR(C67)&amp;"-"&amp;ROUNDUP(MONTH(C67)/3,0)</f>
        <v>2025-3</v>
      </c>
      <c r="D69" s="1098" t="str">
        <f>YEAR(D67)&amp;"-"&amp;ROUNDUP(MONTH(D67)/3,0)</f>
        <v>2025-2</v>
      </c>
      <c r="E69" s="1098" t="str">
        <f t="shared" ref="E69:O69" si="19">YEAR(E67)&amp;"-"&amp;ROUNDUP(MONTH(E67)/3,0)</f>
        <v>2025-1</v>
      </c>
      <c r="F69" s="1098" t="str">
        <f t="shared" si="19"/>
        <v>2024-4</v>
      </c>
      <c r="G69" s="1098" t="str">
        <f t="shared" si="19"/>
        <v>2024-3</v>
      </c>
      <c r="H69" s="1098" t="str">
        <f t="shared" si="19"/>
        <v>2024-2</v>
      </c>
      <c r="I69" s="1098" t="str">
        <f t="shared" si="19"/>
        <v>2024-1</v>
      </c>
      <c r="J69" s="1098" t="str">
        <f t="shared" si="19"/>
        <v>2023-4</v>
      </c>
      <c r="K69" s="1098" t="str">
        <f t="shared" si="19"/>
        <v>2023-3</v>
      </c>
      <c r="L69" s="1098" t="str">
        <f t="shared" si="19"/>
        <v>2023-2</v>
      </c>
      <c r="M69" s="1098" t="str">
        <f t="shared" si="19"/>
        <v>2023-1</v>
      </c>
      <c r="N69" s="1098" t="str">
        <f t="shared" si="19"/>
        <v>2022-4</v>
      </c>
      <c r="O69" s="1098" t="str">
        <f t="shared" si="19"/>
        <v>2022-3</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6"/>
      <c r="P71" s="2502"/>
      <c r="Q71" s="2502"/>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4"/>
      <c r="O72" s="2514"/>
      <c r="P72" s="2538"/>
      <c r="Q72" s="2502"/>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4"/>
      <c r="O73" s="2514"/>
      <c r="P73" s="2502"/>
      <c r="Q73" s="2502"/>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4.4"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9.4" thickTop="1">
      <c r="A76" s="367"/>
      <c r="B76" s="469" t="s">
        <v>1688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4.4"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4.4"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4.4"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4.4"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2"/>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2"/>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7"/>
      <c r="B105" s="469" t="s">
        <v>1815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7"/>
      <c r="B107" s="469" t="s">
        <v>1873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4.4"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4.4"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4.4"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4.4"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4.4"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1914</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1915</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1917</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4.4"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4.4"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4.4"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4.4"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0"/>
      <c r="M4" s="2481"/>
      <c r="N4" s="2481"/>
      <c r="O4" s="2481"/>
      <c r="P4" s="3450" t="s">
        <v>1775</v>
      </c>
      <c r="Q4" s="3451"/>
      <c r="R4" s="3454" t="s">
        <v>1771</v>
      </c>
      <c r="S4" s="3455"/>
      <c r="T4" s="3454" t="s">
        <v>1772</v>
      </c>
      <c r="U4" s="3455"/>
      <c r="V4" s="3372" t="s">
        <v>1773</v>
      </c>
      <c r="W4" s="3372"/>
      <c r="X4" s="1262"/>
      <c r="Y4" s="3454" t="s">
        <v>1775</v>
      </c>
      <c r="Z4" s="3455"/>
      <c r="AA4" s="3449" t="s">
        <v>1771</v>
      </c>
      <c r="AB4" s="3416" t="s">
        <v>1772</v>
      </c>
      <c r="AC4" s="3449" t="s">
        <v>1773</v>
      </c>
    </row>
    <row r="5" spans="1:29">
      <c r="A5" s="348"/>
      <c r="B5" s="349"/>
      <c r="C5" s="3407" t="s">
        <v>1673</v>
      </c>
      <c r="D5" s="3408"/>
      <c r="E5" s="3456" t="s">
        <v>1674</v>
      </c>
      <c r="F5" s="3419"/>
      <c r="G5" s="3407" t="s">
        <v>1675</v>
      </c>
      <c r="H5" s="3408"/>
      <c r="I5" s="3407" t="s">
        <v>1676</v>
      </c>
      <c r="J5" s="3408"/>
      <c r="K5" s="537"/>
      <c r="L5" s="2480"/>
      <c r="M5" s="2481"/>
      <c r="N5" s="2481"/>
      <c r="O5" s="2481"/>
      <c r="P5" s="3452"/>
      <c r="Q5" s="3395"/>
      <c r="R5" s="3400"/>
      <c r="S5" s="3401"/>
      <c r="T5" s="3400"/>
      <c r="U5" s="3401"/>
      <c r="V5" s="3372"/>
      <c r="W5" s="3372"/>
      <c r="X5" s="1262"/>
      <c r="Y5" s="3400"/>
      <c r="Z5" s="3401"/>
      <c r="AA5" s="3416"/>
      <c r="AB5" s="3416"/>
      <c r="AC5" s="3416"/>
    </row>
    <row r="6" spans="1:29" ht="15" thickBot="1">
      <c r="A6" s="350"/>
      <c r="B6" s="351"/>
      <c r="C6" s="3462" t="s">
        <v>1919</v>
      </c>
      <c r="D6" s="3463"/>
      <c r="E6" s="3464" t="s">
        <v>1919</v>
      </c>
      <c r="F6" s="3465"/>
      <c r="G6" s="3462" t="s">
        <v>1919</v>
      </c>
      <c r="H6" s="3463"/>
      <c r="I6" s="3462" t="s">
        <v>1919</v>
      </c>
      <c r="J6" s="3463"/>
      <c r="K6" s="537" t="s">
        <v>1678</v>
      </c>
      <c r="L6" s="2480"/>
      <c r="M6" s="2481"/>
      <c r="N6" s="2481"/>
      <c r="O6" s="2481"/>
      <c r="P6" s="3453"/>
      <c r="Q6" s="3397"/>
      <c r="R6" s="3400"/>
      <c r="S6" s="3401"/>
      <c r="T6" s="3402"/>
      <c r="U6" s="3403"/>
      <c r="V6" s="3372"/>
      <c r="W6" s="3372"/>
      <c r="X6" s="1262"/>
      <c r="Y6" s="3402"/>
      <c r="Z6" s="3403"/>
      <c r="AA6" s="3417"/>
      <c r="AB6" s="3417"/>
      <c r="AC6" s="3417"/>
    </row>
    <row r="7" spans="1:29" s="102" customFormat="1" ht="15" thickBot="1">
      <c r="A7" s="352" t="s">
        <v>1679</v>
      </c>
      <c r="B7" s="353"/>
      <c r="C7" s="354">
        <f>'数据-取费表'!B2</f>
        <v>45903</v>
      </c>
      <c r="D7" s="355">
        <v>100</v>
      </c>
      <c r="E7" s="356"/>
      <c r="F7" s="357">
        <f>SUMIF(65:65,YEAR(E7)&amp;"-"&amp;INT((MONTH(E7)+2)/3),66:66)</f>
        <v>0</v>
      </c>
      <c r="G7" s="1819"/>
      <c r="H7" s="355">
        <f>SUMIF(65:65,YEAR(G7)&amp;"-"&amp;INT((MONTH(G7)+2)/3),66:66)</f>
        <v>0</v>
      </c>
      <c r="I7" s="1819"/>
      <c r="J7" s="355">
        <f>SUMIF(65:65,YEAR(I7)&amp;"-"&amp;INT((MONTH(I7)+2)/3),66:66)</f>
        <v>0</v>
      </c>
      <c r="K7" s="38"/>
      <c r="L7" s="2482"/>
      <c r="M7" s="2435"/>
      <c r="N7" s="2435"/>
      <c r="O7" s="2435"/>
      <c r="P7" s="3411" t="s">
        <v>1680</v>
      </c>
      <c r="Q7" s="3412"/>
      <c r="R7" s="664" t="s">
        <v>14</v>
      </c>
      <c r="S7" s="665">
        <f t="shared" ref="S7:S15" si="0">F7</f>
        <v>0</v>
      </c>
      <c r="T7" s="664" t="s">
        <v>14</v>
      </c>
      <c r="U7" s="665">
        <f t="shared" ref="U7:U15" si="1">H7</f>
        <v>0</v>
      </c>
      <c r="V7" s="664" t="s">
        <v>14</v>
      </c>
      <c r="W7" s="665">
        <f t="shared" ref="W7:W15" si="2">J7</f>
        <v>0</v>
      </c>
      <c r="X7" s="666"/>
      <c r="Y7" s="3411" t="s">
        <v>1680</v>
      </c>
      <c r="Z7" s="341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2"/>
      <c r="M8" s="2435"/>
      <c r="N8" s="2435"/>
      <c r="O8" s="2435"/>
      <c r="P8" s="3411" t="s">
        <v>1683</v>
      </c>
      <c r="Q8" s="3410"/>
      <c r="R8" s="664" t="s">
        <v>14</v>
      </c>
      <c r="S8" s="665">
        <f t="shared" si="0"/>
        <v>0</v>
      </c>
      <c r="T8" s="664" t="s">
        <v>14</v>
      </c>
      <c r="U8" s="665">
        <f t="shared" si="1"/>
        <v>0</v>
      </c>
      <c r="V8" s="664" t="s">
        <v>14</v>
      </c>
      <c r="W8" s="665">
        <f t="shared" si="2"/>
        <v>0</v>
      </c>
      <c r="X8" s="666"/>
      <c r="Y8" s="3411" t="s">
        <v>1683</v>
      </c>
      <c r="Z8" s="3410"/>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7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2"/>
      <c r="L10" s="2483"/>
      <c r="M10" s="2484"/>
      <c r="N10" s="2484"/>
      <c r="O10" s="2535"/>
      <c r="P10" s="3371"/>
      <c r="Q10" s="530" t="str">
        <f t="shared" si="6"/>
        <v>土地使用年限（年）</v>
      </c>
      <c r="R10" s="664" t="s">
        <v>14</v>
      </c>
      <c r="S10" s="665">
        <f t="shared" si="0"/>
        <v>122</v>
      </c>
      <c r="T10" s="664" t="s">
        <v>14</v>
      </c>
      <c r="U10" s="665">
        <f t="shared" si="1"/>
        <v>122</v>
      </c>
      <c r="V10" s="664" t="s">
        <v>14</v>
      </c>
      <c r="W10" s="665">
        <f t="shared" si="2"/>
        <v>122</v>
      </c>
      <c r="X10" s="666"/>
      <c r="Y10" s="3274"/>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371"/>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5"/>
      <c r="N12" s="2435"/>
      <c r="O12" s="2534"/>
      <c r="P12" s="337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37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371"/>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378" t="s">
        <v>1691</v>
      </c>
      <c r="Q15" s="1260" t="str">
        <f t="shared" si="6"/>
        <v>产业集聚程度</v>
      </c>
      <c r="R15" s="667" t="s">
        <v>14</v>
      </c>
      <c r="S15" s="668">
        <f t="shared" si="0"/>
        <v>100</v>
      </c>
      <c r="T15" s="667" t="s">
        <v>14</v>
      </c>
      <c r="U15" s="668">
        <f t="shared" si="1"/>
        <v>100</v>
      </c>
      <c r="V15" s="667" t="s">
        <v>14</v>
      </c>
      <c r="W15" s="668">
        <f t="shared" si="2"/>
        <v>100</v>
      </c>
      <c r="X15" s="1262"/>
      <c r="Y15" s="3378"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6"/>
      <c r="M16" s="2481"/>
      <c r="N16" s="2481"/>
      <c r="O16" s="2536"/>
      <c r="P16" s="3379"/>
      <c r="Q16" s="1260"/>
      <c r="R16" s="667"/>
      <c r="S16" s="668"/>
      <c r="T16" s="667"/>
      <c r="U16" s="668"/>
      <c r="V16" s="667"/>
      <c r="W16" s="668"/>
      <c r="X16" s="1262"/>
      <c r="Y16" s="3379"/>
      <c r="Z16" s="1261"/>
      <c r="AA16" s="1261">
        <v>1</v>
      </c>
      <c r="AB16" s="1261">
        <v>1</v>
      </c>
      <c r="AC16" s="1261">
        <v>1</v>
      </c>
    </row>
    <row r="17" spans="1:29" ht="96.6">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379"/>
      <c r="Q17" s="1260" t="str">
        <f>B17</f>
        <v>交通便捷度</v>
      </c>
      <c r="R17" s="667" t="s">
        <v>14</v>
      </c>
      <c r="S17" s="668">
        <f>F17</f>
        <v>100</v>
      </c>
      <c r="T17" s="667" t="s">
        <v>14</v>
      </c>
      <c r="U17" s="668">
        <f>H17</f>
        <v>100</v>
      </c>
      <c r="V17" s="667" t="s">
        <v>14</v>
      </c>
      <c r="W17" s="668">
        <f>J17</f>
        <v>100</v>
      </c>
      <c r="X17" s="1262"/>
      <c r="Y17" s="337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6"/>
      <c r="M18" s="2481"/>
      <c r="N18" s="2481"/>
      <c r="O18" s="2536"/>
      <c r="P18" s="3379"/>
      <c r="Q18" s="1260"/>
      <c r="R18" s="667"/>
      <c r="S18" s="668"/>
      <c r="T18" s="667"/>
      <c r="U18" s="668"/>
      <c r="V18" s="667"/>
      <c r="W18" s="668"/>
      <c r="X18" s="1262"/>
      <c r="Y18" s="3379"/>
      <c r="Z18" s="1261"/>
      <c r="AA18" s="1261">
        <v>1</v>
      </c>
      <c r="AB18" s="1261">
        <v>1</v>
      </c>
      <c r="AC18" s="1261">
        <v>1</v>
      </c>
    </row>
    <row r="19" spans="1:29" ht="28.8">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379"/>
      <c r="Q19" s="1260" t="str">
        <f t="shared" ref="Q19:Q33" si="8">B19</f>
        <v>区域土地利用方向</v>
      </c>
      <c r="R19" s="667" t="s">
        <v>14</v>
      </c>
      <c r="S19" s="668">
        <f>F19</f>
        <v>100</v>
      </c>
      <c r="T19" s="667" t="s">
        <v>14</v>
      </c>
      <c r="U19" s="668">
        <f>H19</f>
        <v>100</v>
      </c>
      <c r="V19" s="667" t="s">
        <v>14</v>
      </c>
      <c r="W19" s="668">
        <f>J19</f>
        <v>100</v>
      </c>
      <c r="X19" s="1262"/>
      <c r="Y19" s="337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6"/>
      <c r="M20" s="2481"/>
      <c r="N20" s="2481"/>
      <c r="O20" s="2536"/>
      <c r="P20" s="3379"/>
      <c r="Q20" s="1260"/>
      <c r="R20" s="667"/>
      <c r="S20" s="668"/>
      <c r="T20" s="667"/>
      <c r="U20" s="668"/>
      <c r="V20" s="667"/>
      <c r="W20" s="668"/>
      <c r="X20" s="1262"/>
      <c r="Y20" s="3379"/>
      <c r="Z20" s="1261"/>
      <c r="AA20" s="1261"/>
      <c r="AB20" s="1261"/>
      <c r="AC20" s="1261"/>
    </row>
    <row r="21" spans="1:29" ht="82.8">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379"/>
      <c r="Q21" s="1260" t="str">
        <f t="shared" si="8"/>
        <v>环境状况</v>
      </c>
      <c r="R21" s="667" t="s">
        <v>14</v>
      </c>
      <c r="S21" s="668">
        <f>F21</f>
        <v>100</v>
      </c>
      <c r="T21" s="667" t="s">
        <v>14</v>
      </c>
      <c r="U21" s="668">
        <f>H21</f>
        <v>100</v>
      </c>
      <c r="V21" s="667" t="s">
        <v>14</v>
      </c>
      <c r="W21" s="668">
        <f>J21</f>
        <v>100</v>
      </c>
      <c r="X21" s="1262"/>
      <c r="Y21" s="337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6"/>
      <c r="M22" s="2481"/>
      <c r="N22" s="2481"/>
      <c r="O22" s="2536"/>
      <c r="P22" s="3379"/>
      <c r="Q22" s="1260"/>
      <c r="R22" s="667"/>
      <c r="S22" s="668"/>
      <c r="T22" s="667"/>
      <c r="U22" s="668"/>
      <c r="V22" s="667"/>
      <c r="W22" s="668"/>
      <c r="X22" s="1262"/>
      <c r="Y22" s="3379"/>
      <c r="Z22" s="1261"/>
      <c r="AA22" s="1261">
        <v>1</v>
      </c>
      <c r="AB22" s="1261">
        <v>1</v>
      </c>
      <c r="AC22" s="1261">
        <v>1</v>
      </c>
    </row>
    <row r="23" spans="1:29" s="102" customFormat="1" ht="41.4">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5"/>
      <c r="N23" s="2435"/>
      <c r="O23" s="2534"/>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2"/>
      <c r="M24" s="2435"/>
      <c r="N24" s="2435"/>
      <c r="O24" s="2534"/>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5"/>
      <c r="N25" s="2435"/>
      <c r="O25" s="2534"/>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2"/>
      <c r="M26" s="2435"/>
      <c r="N26" s="2435"/>
      <c r="O26" s="2534"/>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379"/>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79"/>
      <c r="Z27" s="1261" t="str">
        <f t="shared" ref="Z27:Z40" si="13">Q27</f>
        <v>临街状况</v>
      </c>
      <c r="AA27" s="1261">
        <f t="shared" si="3"/>
        <v>1</v>
      </c>
      <c r="AB27" s="1261">
        <f t="shared" si="4"/>
        <v>1</v>
      </c>
      <c r="AC27" s="1261">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379"/>
      <c r="Q28" s="1260" t="str">
        <f t="shared" si="8"/>
        <v>毗邻道路的类型与等级</v>
      </c>
      <c r="R28" s="667" t="s">
        <v>14</v>
      </c>
      <c r="S28" s="668">
        <f t="shared" si="10"/>
        <v>100</v>
      </c>
      <c r="T28" s="667" t="s">
        <v>14</v>
      </c>
      <c r="U28" s="668">
        <f t="shared" si="11"/>
        <v>100</v>
      </c>
      <c r="V28" s="667" t="s">
        <v>14</v>
      </c>
      <c r="W28" s="668">
        <f t="shared" si="12"/>
        <v>100</v>
      </c>
      <c r="X28" s="1262"/>
      <c r="Y28" s="337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6"/>
      <c r="M29" s="2481"/>
      <c r="N29" s="2481"/>
      <c r="O29" s="2536"/>
      <c r="P29" s="3379"/>
      <c r="Q29" s="1260"/>
      <c r="R29" s="667"/>
      <c r="S29" s="668"/>
      <c r="T29" s="667"/>
      <c r="U29" s="668"/>
      <c r="V29" s="667"/>
      <c r="W29" s="668"/>
      <c r="X29" s="1262"/>
      <c r="Y29" s="3379"/>
      <c r="Z29" s="1261"/>
      <c r="AA29" s="1261">
        <v>1</v>
      </c>
      <c r="AB29" s="1261">
        <v>1</v>
      </c>
      <c r="AC29" s="1261">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379"/>
      <c r="Q30" s="1260" t="str">
        <f t="shared" si="8"/>
        <v>土地级别</v>
      </c>
      <c r="R30" s="667" t="s">
        <v>14</v>
      </c>
      <c r="S30" s="668">
        <f t="shared" si="10"/>
        <v>100</v>
      </c>
      <c r="T30" s="667" t="s">
        <v>14</v>
      </c>
      <c r="U30" s="668">
        <f t="shared" si="11"/>
        <v>100</v>
      </c>
      <c r="V30" s="667" t="s">
        <v>14</v>
      </c>
      <c r="W30" s="668">
        <f t="shared" si="12"/>
        <v>100</v>
      </c>
      <c r="X30" s="1262"/>
      <c r="Y30" s="3379"/>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379"/>
      <c r="Q31" s="1260">
        <f t="shared" si="8"/>
        <v>111</v>
      </c>
      <c r="R31" s="667" t="s">
        <v>14</v>
      </c>
      <c r="S31" s="668">
        <f t="shared" si="10"/>
        <v>100</v>
      </c>
      <c r="T31" s="667" t="s">
        <v>14</v>
      </c>
      <c r="U31" s="668">
        <f t="shared" si="11"/>
        <v>100</v>
      </c>
      <c r="V31" s="667" t="s">
        <v>14</v>
      </c>
      <c r="W31" s="668">
        <f t="shared" si="12"/>
        <v>100</v>
      </c>
      <c r="X31" s="1262"/>
      <c r="Y31" s="3379"/>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57" t="s">
        <v>1696</v>
      </c>
      <c r="Q32" s="1260">
        <f t="shared" si="8"/>
        <v>111</v>
      </c>
      <c r="R32" s="667" t="s">
        <v>14</v>
      </c>
      <c r="S32" s="668">
        <f t="shared" si="10"/>
        <v>100</v>
      </c>
      <c r="T32" s="667" t="s">
        <v>14</v>
      </c>
      <c r="U32" s="668">
        <f t="shared" si="11"/>
        <v>100</v>
      </c>
      <c r="V32" s="667" t="s">
        <v>14</v>
      </c>
      <c r="W32" s="668">
        <f t="shared" si="12"/>
        <v>100</v>
      </c>
      <c r="X32" s="1262"/>
      <c r="Y32" s="3383" t="s">
        <v>1696</v>
      </c>
      <c r="Z32" s="1261">
        <f t="shared" si="13"/>
        <v>111</v>
      </c>
      <c r="AA32" s="1261">
        <f t="shared" si="3"/>
        <v>1</v>
      </c>
      <c r="AB32" s="1261">
        <f t="shared" si="4"/>
        <v>1</v>
      </c>
      <c r="AC32" s="1261">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383"/>
      <c r="Q33" s="1260">
        <f t="shared" si="8"/>
        <v>111</v>
      </c>
      <c r="R33" s="669" t="s">
        <v>14</v>
      </c>
      <c r="S33" s="670">
        <f t="shared" si="10"/>
        <v>100</v>
      </c>
      <c r="T33" s="669" t="s">
        <v>14</v>
      </c>
      <c r="U33" s="670">
        <f t="shared" si="11"/>
        <v>100</v>
      </c>
      <c r="V33" s="669" t="s">
        <v>14</v>
      </c>
      <c r="W33" s="670">
        <f t="shared" si="12"/>
        <v>100</v>
      </c>
      <c r="X33" s="671"/>
      <c r="Y33" s="3383"/>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383"/>
      <c r="Q34" s="1260" t="str">
        <f>B34</f>
        <v>宗地面积</v>
      </c>
      <c r="R34" s="667" t="s">
        <v>14</v>
      </c>
      <c r="S34" s="668" t="e">
        <f t="shared" si="10"/>
        <v>#N/A</v>
      </c>
      <c r="T34" s="667" t="s">
        <v>14</v>
      </c>
      <c r="U34" s="668" t="e">
        <f t="shared" si="11"/>
        <v>#N/A</v>
      </c>
      <c r="V34" s="667" t="s">
        <v>14</v>
      </c>
      <c r="W34" s="668" t="e">
        <f t="shared" si="12"/>
        <v>#N/A</v>
      </c>
      <c r="X34" s="1262"/>
      <c r="Y34" s="3383"/>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6"/>
      <c r="M35" s="2481"/>
      <c r="N35" s="2481"/>
      <c r="O35" s="2536"/>
      <c r="P35" s="3383"/>
      <c r="Q35" s="1260" t="str">
        <f t="shared" ref="Q35:Q40" si="14">B35</f>
        <v>宗地形状</v>
      </c>
      <c r="R35" s="667" t="s">
        <v>14</v>
      </c>
      <c r="S35" s="668">
        <f t="shared" si="10"/>
        <v>100</v>
      </c>
      <c r="T35" s="667" t="s">
        <v>14</v>
      </c>
      <c r="U35" s="668">
        <f t="shared" si="11"/>
        <v>100</v>
      </c>
      <c r="V35" s="667" t="s">
        <v>14</v>
      </c>
      <c r="W35" s="668">
        <f t="shared" si="12"/>
        <v>100</v>
      </c>
      <c r="X35" s="1262"/>
      <c r="Y35" s="3383"/>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2"/>
      <c r="M36" s="2435"/>
      <c r="N36" s="2435"/>
      <c r="O36" s="2534"/>
      <c r="P36" s="3383"/>
      <c r="Q36" s="1260"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6"/>
      <c r="M37" s="2481"/>
      <c r="N37" s="2481"/>
      <c r="O37" s="2536"/>
      <c r="P37" s="3383" t="s">
        <v>1696</v>
      </c>
      <c r="Q37" s="1260" t="str">
        <f t="shared" si="14"/>
        <v>工程地质条件</v>
      </c>
      <c r="R37" s="667" t="s">
        <v>14</v>
      </c>
      <c r="S37" s="668">
        <f t="shared" si="10"/>
        <v>100</v>
      </c>
      <c r="T37" s="667" t="s">
        <v>14</v>
      </c>
      <c r="U37" s="668">
        <f t="shared" si="11"/>
        <v>100</v>
      </c>
      <c r="V37" s="667" t="s">
        <v>14</v>
      </c>
      <c r="W37" s="668">
        <f t="shared" si="12"/>
        <v>100</v>
      </c>
      <c r="X37" s="1262"/>
      <c r="Y37" s="3383" t="s">
        <v>1696</v>
      </c>
      <c r="Z37" s="1261" t="str">
        <f t="shared" si="13"/>
        <v>工程地质条件</v>
      </c>
      <c r="AA37" s="1261">
        <f t="shared" si="3"/>
        <v>1</v>
      </c>
      <c r="AB37" s="1261">
        <f t="shared" si="4"/>
        <v>1</v>
      </c>
      <c r="AC37" s="1261">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383"/>
      <c r="Q38" s="1260">
        <f t="shared" si="14"/>
        <v>111</v>
      </c>
      <c r="R38" s="667" t="s">
        <v>14</v>
      </c>
      <c r="S38" s="668">
        <f t="shared" si="10"/>
        <v>100</v>
      </c>
      <c r="T38" s="667" t="s">
        <v>14</v>
      </c>
      <c r="U38" s="668">
        <f t="shared" si="11"/>
        <v>100</v>
      </c>
      <c r="V38" s="667" t="s">
        <v>14</v>
      </c>
      <c r="W38" s="668">
        <f t="shared" si="12"/>
        <v>100</v>
      </c>
      <c r="X38" s="1262"/>
      <c r="Y38" s="3383"/>
      <c r="Z38" s="1261">
        <f t="shared" si="13"/>
        <v>111</v>
      </c>
      <c r="AA38" s="1261">
        <f t="shared" si="3"/>
        <v>1</v>
      </c>
      <c r="AB38" s="1261">
        <f t="shared" si="4"/>
        <v>1</v>
      </c>
      <c r="AC38" s="1261">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383"/>
      <c r="Q39" s="1260">
        <f t="shared" si="14"/>
        <v>111</v>
      </c>
      <c r="R39" s="667" t="s">
        <v>14</v>
      </c>
      <c r="S39" s="668">
        <f t="shared" si="10"/>
        <v>100</v>
      </c>
      <c r="T39" s="667" t="s">
        <v>14</v>
      </c>
      <c r="U39" s="668">
        <f t="shared" si="11"/>
        <v>100</v>
      </c>
      <c r="V39" s="667" t="s">
        <v>14</v>
      </c>
      <c r="W39" s="668">
        <f t="shared" si="12"/>
        <v>100</v>
      </c>
      <c r="X39" s="1262"/>
      <c r="Y39" s="3383"/>
      <c r="Z39" s="1261">
        <f t="shared" si="13"/>
        <v>111</v>
      </c>
      <c r="AA39" s="1261">
        <f t="shared" si="3"/>
        <v>1</v>
      </c>
      <c r="AB39" s="1261">
        <f t="shared" si="4"/>
        <v>1</v>
      </c>
      <c r="AC39" s="1261">
        <f t="shared" si="5"/>
        <v>1</v>
      </c>
    </row>
    <row r="40" spans="1:31" s="408" customFormat="1" ht="15.6"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383"/>
      <c r="Q40" s="1260">
        <f t="shared" si="14"/>
        <v>111</v>
      </c>
      <c r="R40" s="669" t="s">
        <v>14</v>
      </c>
      <c r="S40" s="670">
        <f t="shared" si="10"/>
        <v>100</v>
      </c>
      <c r="T40" s="669" t="s">
        <v>14</v>
      </c>
      <c r="U40" s="670">
        <f t="shared" si="11"/>
        <v>100</v>
      </c>
      <c r="V40" s="669" t="s">
        <v>14</v>
      </c>
      <c r="W40" s="670">
        <f t="shared" si="12"/>
        <v>100</v>
      </c>
      <c r="X40" s="671"/>
      <c r="Y40" s="3383"/>
      <c r="Z40" s="672">
        <f t="shared" si="13"/>
        <v>111</v>
      </c>
      <c r="AA40" s="1261">
        <f t="shared" si="3"/>
        <v>1</v>
      </c>
      <c r="AB40" s="1261">
        <f t="shared" si="4"/>
        <v>1</v>
      </c>
      <c r="AC40" s="1261">
        <f t="shared" si="5"/>
        <v>1</v>
      </c>
    </row>
    <row r="41" spans="1:31" ht="14.4">
      <c r="A41" s="416" t="s">
        <v>1844</v>
      </c>
      <c r="B41" s="1827" t="s">
        <v>1922</v>
      </c>
      <c r="C41" s="602" t="s">
        <v>0</v>
      </c>
      <c r="D41" s="418"/>
      <c r="E41" s="419"/>
      <c r="F41" s="420"/>
      <c r="G41" s="421"/>
      <c r="H41" s="422"/>
      <c r="I41" s="419"/>
      <c r="J41" s="422"/>
      <c r="K41" s="674"/>
      <c r="L41" s="2488"/>
      <c r="M41" s="2481"/>
      <c r="N41" s="2481"/>
      <c r="O41" s="2481"/>
      <c r="P41" s="3371" t="str">
        <f>A41</f>
        <v>成交单价</v>
      </c>
      <c r="Q41" s="3371"/>
      <c r="R41" s="3372">
        <f>E41</f>
        <v>0</v>
      </c>
      <c r="S41" s="3372"/>
      <c r="T41" s="3372">
        <f>G41</f>
        <v>0</v>
      </c>
      <c r="U41" s="3372"/>
      <c r="V41" s="3372">
        <f>I41</f>
        <v>0</v>
      </c>
      <c r="W41" s="3372"/>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88"/>
      <c r="M42" s="2481"/>
      <c r="N42" s="2481"/>
      <c r="O42" s="2481"/>
      <c r="P42" s="3371" t="str">
        <f>A42</f>
        <v>比较价值（元/平方米）</v>
      </c>
      <c r="Q42" s="3371"/>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8"/>
      <c r="M43" s="2481"/>
      <c r="N43" s="2481"/>
      <c r="O43" s="2481"/>
      <c r="P43" s="3446" t="str">
        <f>A43</f>
        <v>估价对象XX用房的比较价值（楼面单价，元/平方米）</v>
      </c>
      <c r="Q43" s="3447"/>
      <c r="R43" s="3460" t="e">
        <f>ROUND(IF(D42="简单平均",AVERAGE(R42:W42),R42*F42+T42*H42+V42*J42),0)</f>
        <v>#DIV/0!</v>
      </c>
      <c r="S43" s="3460"/>
      <c r="T43" s="3460"/>
      <c r="U43" s="3460"/>
      <c r="V43" s="3460"/>
      <c r="W43" s="3460"/>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4.4" thickBot="1">
      <c r="A49" s="2491"/>
      <c r="B49" s="2494"/>
      <c r="C49" s="657"/>
      <c r="D49" s="655"/>
      <c r="E49" s="655"/>
      <c r="F49" s="655"/>
      <c r="G49" s="655"/>
      <c r="H49" s="655"/>
      <c r="I49" s="655"/>
      <c r="J49" s="655"/>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4" t="s">
        <v>1881</v>
      </c>
      <c r="B50" s="605" t="s">
        <v>1882</v>
      </c>
      <c r="C50" s="1828" t="s">
        <v>1883</v>
      </c>
      <c r="D50" s="1829" t="s">
        <v>1884</v>
      </c>
      <c r="E50" s="606" t="s">
        <v>1885</v>
      </c>
      <c r="F50" s="607" t="s">
        <v>1886</v>
      </c>
      <c r="G50" s="3388" t="s">
        <v>1887</v>
      </c>
      <c r="H50" s="3461"/>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1890</v>
      </c>
      <c r="B51" s="609" t="e">
        <f>C43</f>
        <v>#DIV/0!</v>
      </c>
      <c r="C51" s="610">
        <v>1</v>
      </c>
      <c r="D51" s="887">
        <v>1</v>
      </c>
      <c r="E51" s="610">
        <f>'数据-汇总表'!E8+'数据-汇总表'!E9</f>
        <v>47705.27</v>
      </c>
      <c r="F51" s="611" t="e">
        <f t="shared" ref="F51:F60" si="15">ROUND(B51*E51/10000,0)</f>
        <v>#DIV/0!</v>
      </c>
      <c r="G51" s="3370"/>
      <c r="H51" s="3371"/>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v>
      </c>
      <c r="D52" s="888">
        <v>0.25</v>
      </c>
      <c r="E52" s="614"/>
      <c r="F52" s="611" t="e">
        <f t="shared" si="15"/>
        <v>#DIV/0!</v>
      </c>
      <c r="G52" s="2744" t="s">
        <v>1892</v>
      </c>
      <c r="H52" s="831">
        <f>项目基本情况!B37</f>
        <v>0</v>
      </c>
      <c r="I52" s="724">
        <f>SUMIF(修正!A57:A68,H52,修正!B57:B68)</f>
        <v>0</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v>
      </c>
      <c r="D53" s="888">
        <v>0.25</v>
      </c>
      <c r="E53" s="614"/>
      <c r="F53" s="611" t="e">
        <f t="shared" si="15"/>
        <v>#DIV/0!</v>
      </c>
      <c r="G53" s="2745"/>
      <c r="H53" s="831">
        <f>项目基本情况!B37</f>
        <v>0</v>
      </c>
      <c r="I53" s="724">
        <f>SUMIF(修正!A57:A68,H53,修正!C57:C68)</f>
        <v>0</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v>
      </c>
      <c r="D54" s="888">
        <v>0.25</v>
      </c>
      <c r="E54" s="614"/>
      <c r="F54" s="611" t="e">
        <f t="shared" si="15"/>
        <v>#DIV/0!</v>
      </c>
      <c r="G54" s="2745"/>
      <c r="H54" s="831">
        <f>项目基本情况!B37</f>
        <v>0</v>
      </c>
      <c r="I54" s="724">
        <f>SUMIF(修正!A57:A68,H54,修正!D57:D68)</f>
        <v>0</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8"/>
      <c r="E55" s="614"/>
      <c r="F55" s="611"/>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0.3</v>
      </c>
      <c r="D56" s="888">
        <v>0.25</v>
      </c>
      <c r="E56" s="209">
        <f>'数据-汇总表'!E11</f>
        <v>0</v>
      </c>
      <c r="F56" s="611" t="e">
        <f t="shared" si="15"/>
        <v>#DIV/0!</v>
      </c>
      <c r="G56" s="1832" t="s">
        <v>1896</v>
      </c>
      <c r="H56" s="831" t="str">
        <f>项目基本情况!C37</f>
        <v>一级</v>
      </c>
      <c r="I56" s="724">
        <f>SUMIF(修正!A57:A68,H56,修正!E57:E68)</f>
        <v>0.3</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一级</v>
      </c>
      <c r="I57" s="724">
        <f>SUMIF(修正!A57:A68,H57,修正!F57:F68)</f>
        <v>0.3</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88">
        <v>0.25</v>
      </c>
      <c r="E58" s="209">
        <f>'数据-汇总表'!E13</f>
        <v>0</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v>
      </c>
      <c r="D59" s="888">
        <v>0.25</v>
      </c>
      <c r="E59" s="209">
        <f>'数据-汇总表'!E14</f>
        <v>0</v>
      </c>
      <c r="F59" s="611" t="e">
        <f t="shared" si="15"/>
        <v>#DIV/0!</v>
      </c>
      <c r="G59" s="1832" t="s">
        <v>1892</v>
      </c>
      <c r="H59" s="831">
        <f>项目基本情况!B37</f>
        <v>0</v>
      </c>
      <c r="I59" s="724">
        <f>SUMIF(修正!A57:A68,H59,修正!G57:G68)</f>
        <v>0</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4.4" thickBot="1">
      <c r="A60" s="613" t="s">
        <v>1902</v>
      </c>
      <c r="B60" s="210" t="e">
        <f t="shared" si="17"/>
        <v>#DIV/0!</v>
      </c>
      <c r="C60" s="163">
        <f t="shared" si="16"/>
        <v>0.2</v>
      </c>
      <c r="D60" s="888">
        <v>0.25</v>
      </c>
      <c r="E60" s="209">
        <f>'数据-汇总表'!E15</f>
        <v>0</v>
      </c>
      <c r="F60" s="611" t="e">
        <f t="shared" si="15"/>
        <v>#DIV/0!</v>
      </c>
      <c r="G60" s="1833" t="s">
        <v>1896</v>
      </c>
      <c r="H60" s="841" t="str">
        <f>项目基本情况!C37</f>
        <v>一级</v>
      </c>
      <c r="I60" s="724">
        <f>SUMIF(修正!A57:A68,H60,修正!G57:G68)</f>
        <v>0.2</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4.4" thickBot="1">
      <c r="A61" s="615" t="s">
        <v>1903</v>
      </c>
      <c r="B61" s="616" t="s">
        <v>22</v>
      </c>
      <c r="C61" s="616" t="s">
        <v>23</v>
      </c>
      <c r="D61" s="616" t="s">
        <v>392</v>
      </c>
      <c r="E61" s="616">
        <f>IF(B41="楼面地价",SUM(E51:E60),'数据-汇总表'!D3)</f>
        <v>3497.08</v>
      </c>
      <c r="F61" s="617"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1"/>
      <c r="Q63" s="2481"/>
      <c r="R63" s="2481"/>
      <c r="S63" s="2481"/>
      <c r="T63" s="2481"/>
      <c r="U63" s="2481"/>
      <c r="V63" s="2481"/>
      <c r="W63" s="2481"/>
      <c r="X63" s="2481"/>
      <c r="Y63" s="2481"/>
      <c r="Z63" s="2481"/>
      <c r="AA63" s="2481"/>
      <c r="AB63" s="2481"/>
      <c r="AC63" s="2481"/>
      <c r="AD63" s="2481"/>
      <c r="AE63" s="2481"/>
    </row>
    <row r="64" spans="1:31" ht="22.2" thickBot="1">
      <c r="A64" s="658" t="s">
        <v>1798</v>
      </c>
      <c r="B64" s="385"/>
      <c r="C64" s="659"/>
      <c r="D64" s="659"/>
      <c r="E64" s="659"/>
      <c r="F64" s="660"/>
      <c r="G64" s="660"/>
      <c r="H64" s="659"/>
      <c r="I64" s="659"/>
      <c r="J64" s="659"/>
      <c r="K64" s="661"/>
      <c r="L64" s="662"/>
      <c r="M64" s="659"/>
      <c r="N64" s="659"/>
      <c r="O64" s="883"/>
      <c r="P64" s="2531"/>
      <c r="Q64" s="2502"/>
      <c r="R64" s="2481"/>
      <c r="S64" s="2481"/>
      <c r="T64" s="2481"/>
      <c r="U64" s="2481"/>
      <c r="V64" s="2481"/>
      <c r="W64" s="2481"/>
      <c r="X64" s="2481"/>
      <c r="Y64" s="2481"/>
      <c r="Z64" s="2481"/>
      <c r="AA64" s="2481"/>
      <c r="AB64" s="2481"/>
      <c r="AC64" s="2481"/>
      <c r="AD64" s="2481"/>
      <c r="AE64" s="2481"/>
    </row>
    <row r="65" spans="1:31" s="442" customFormat="1" ht="14.4">
      <c r="A65" s="1627" t="s">
        <v>1904</v>
      </c>
      <c r="B65" s="1043"/>
      <c r="C65" s="1098" t="str">
        <f>YEAR(C63)&amp;"-"&amp;ROUNDUP(MONTH(C63)/3,0)</f>
        <v>2025-3</v>
      </c>
      <c r="D65" s="1098" t="str">
        <f t="shared" ref="D65:O65" si="19">YEAR(D63)&amp;"-"&amp;ROUNDUP(MONTH(D63)/3,0)</f>
        <v>2025-2</v>
      </c>
      <c r="E65" s="1098" t="str">
        <f t="shared" si="19"/>
        <v>2025-1</v>
      </c>
      <c r="F65" s="1098" t="str">
        <f t="shared" si="19"/>
        <v>2024-4</v>
      </c>
      <c r="G65" s="1098" t="str">
        <f t="shared" si="19"/>
        <v>2024-3</v>
      </c>
      <c r="H65" s="1098" t="str">
        <f t="shared" si="19"/>
        <v>2024-2</v>
      </c>
      <c r="I65" s="1098" t="str">
        <f t="shared" si="19"/>
        <v>2024-1</v>
      </c>
      <c r="J65" s="1098" t="str">
        <f t="shared" si="19"/>
        <v>2023-4</v>
      </c>
      <c r="K65" s="1098" t="str">
        <f t="shared" si="19"/>
        <v>2023-3</v>
      </c>
      <c r="L65" s="1098" t="str">
        <f t="shared" si="19"/>
        <v>2023-2</v>
      </c>
      <c r="M65" s="1098" t="str">
        <f t="shared" si="19"/>
        <v>2023-1</v>
      </c>
      <c r="N65" s="1098" t="str">
        <f t="shared" si="19"/>
        <v>2022-4</v>
      </c>
      <c r="O65" s="1098" t="str">
        <f t="shared" si="19"/>
        <v>2022-3</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2"/>
      <c r="Q67" s="2502"/>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4"/>
      <c r="O68" s="2514"/>
      <c r="P68" s="2538"/>
      <c r="Q68" s="2502"/>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4"/>
      <c r="O69" s="2514"/>
      <c r="P69" s="2502"/>
      <c r="Q69" s="2502"/>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7"/>
      <c r="B72" s="469" t="s">
        <v>1688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4.4"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4.4"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4.4"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4.4"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2"/>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2"/>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7"/>
      <c r="B97" s="469" t="s">
        <v>1815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7"/>
      <c r="B99" s="469" t="s">
        <v>1873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4.4"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4.4"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469" t="s">
        <v>2084</v>
      </c>
      <c r="D1" s="3470"/>
      <c r="E1" s="3470"/>
      <c r="F1" s="3470"/>
      <c r="G1" s="3470"/>
      <c r="H1" s="3470"/>
      <c r="I1" s="3470"/>
      <c r="J1" s="3470"/>
      <c r="K1" s="3470"/>
      <c r="L1" s="3470"/>
      <c r="M1" s="3470"/>
      <c r="N1" s="3470"/>
      <c r="O1" s="3470"/>
      <c r="P1" s="3470"/>
      <c r="Q1" s="3470"/>
      <c r="R1" s="3470"/>
      <c r="S1" s="3471"/>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2"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t="e">
        <f ca="1">SUMIF(B6:B13,"&lt;&gt;#ref!",B6:B13)</f>
        <v>#DIV/0!</v>
      </c>
      <c r="C2" s="1981" t="s">
        <v>2074</v>
      </c>
      <c r="D2" s="1981" t="s">
        <v>2075</v>
      </c>
      <c r="E2" s="2393">
        <f ca="1">SUMIF(E6:E13,"&lt;&gt;#ref!",E6:E13)</f>
        <v>0</v>
      </c>
      <c r="F2" s="2538"/>
      <c r="G2" s="2538"/>
      <c r="H2" s="2538"/>
      <c r="I2" s="2538"/>
      <c r="J2" s="2538"/>
      <c r="K2" s="2538"/>
      <c r="L2" s="2538"/>
      <c r="M2" s="2538"/>
      <c r="N2" s="2538"/>
      <c r="O2" s="2538"/>
      <c r="P2" s="2538"/>
    </row>
    <row r="3" spans="1:16" ht="15.6">
      <c r="A3" s="1981" t="s">
        <v>2076</v>
      </c>
      <c r="B3" s="2383" t="e">
        <f ca="1">ROUND(B2*10000/E2,0)</f>
        <v>#DIV/0!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t="e">
        <f ca="1">SUMIF(INDIRECT("'"&amp;A6&amp;"'"&amp;"!A:A"),"总价",INDIRECT("'"&amp;A6&amp;"'"&amp;"!B:B"))</f>
        <v>#DIV/0!</v>
      </c>
      <c r="C6" s="1981" t="s">
        <v>2074</v>
      </c>
      <c r="D6" s="2538"/>
      <c r="E6" s="2393" t="e">
        <f ca="1">SUMIF(INDIRECT("'"&amp;A6&amp;"'"&amp;"!C:C"),"建筑面积",INDIRECT("'"&amp;A6&amp;"'"&amp;"!D:D"))</f>
        <v>#REF!</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t="e">
        <f>SUM(D33:D34,D37:D42)</f>
        <v>#REF!</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3" t="s">
        <v>1935</v>
      </c>
      <c r="D2" s="162" t="s">
        <v>1936</v>
      </c>
      <c r="E2" s="3114"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3" t="s">
        <v>1941</v>
      </c>
      <c r="D3" s="162" t="s">
        <v>1942</v>
      </c>
      <c r="E3" s="3112" t="s">
        <v>2454</v>
      </c>
      <c r="F3" s="1845" t="s">
        <v>3423</v>
      </c>
      <c r="G3" s="705">
        <f>IF(F3="宗地容积率",'数据-汇总表'!I4,IF(F3="估价对象容积率",'数据-汇总表'!I6,'数据-汇总表'!I7))</f>
        <v>5.08</v>
      </c>
      <c r="H3" s="162" t="s">
        <v>1943</v>
      </c>
      <c r="I3" s="726"/>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479"/>
      <c r="B4" s="3480"/>
      <c r="C4" s="3480"/>
      <c r="D4" s="3481"/>
      <c r="E4" s="3481"/>
      <c r="F4" s="3481"/>
      <c r="G4" s="3481"/>
      <c r="H4" s="3481"/>
      <c r="I4" s="3481"/>
      <c r="J4" s="3482"/>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t="e">
        <f>ROUND(IF(E2="商业",C6*C7*C17+C20,(IF(E2="住宅",C6*C13*C17+C20,IF(E2="办公",C6*C12*C17+C20,C6+C20)))),0)</f>
        <v>#DIV/0!</v>
      </c>
      <c r="D5" s="1249" t="e">
        <f>ROUND(C6*C17+C20,0)</f>
        <v>#DIV/0!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5.08</v>
      </c>
      <c r="AA7" s="1130"/>
      <c r="AB7" s="1130"/>
      <c r="AC7" s="1131"/>
      <c r="AD7" s="1132"/>
      <c r="AE7" s="1132"/>
      <c r="AF7" s="1132"/>
      <c r="AG7" s="1132"/>
      <c r="AH7" s="1132"/>
      <c r="AI7" s="1132"/>
      <c r="AJ7" s="1133"/>
    </row>
    <row r="8" spans="1:36" ht="26.4">
      <c r="A8" s="3003"/>
      <c r="B8" s="162" t="s">
        <v>1957</v>
      </c>
      <c r="C8" s="1867" t="s">
        <v>3424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t="e">
        <f t="shared" si="0"/>
        <v>#DIV/0!</v>
      </c>
      <c r="U8" s="1127"/>
      <c r="V8" s="3057" t="e">
        <f t="shared" si="1"/>
        <v>#DIV/0!</v>
      </c>
      <c r="W8" s="3476" t="s">
        <v>1960</v>
      </c>
      <c r="X8" s="347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t="e">
        <f t="shared" si="0"/>
        <v>#DIV/0!</v>
      </c>
      <c r="U9" s="1127"/>
      <c r="V9" s="3057" t="e">
        <f t="shared" si="1"/>
        <v>#DIV/0!</v>
      </c>
      <c r="W9" s="3478"/>
      <c r="X9" s="3058" t="s">
        <v>3264</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t="e">
        <f t="shared" si="0"/>
        <v>#DIV/0!</v>
      </c>
      <c r="U10" s="1127"/>
      <c r="V10" s="3057" t="e">
        <f t="shared" si="1"/>
        <v>#DIV/0!</v>
      </c>
      <c r="W10" s="347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0.91279999999999994</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3.8">
      <c r="A20" s="3483" t="s">
        <v>3250</v>
      </c>
      <c r="B20" s="159" t="s">
        <v>1994</v>
      </c>
      <c r="C20" s="3025" t="e">
        <f>ROUND(IF(F21="与级别开发程度一致",0,(G21-E21)/C21),0)</f>
        <v>#DIV/0!</v>
      </c>
      <c r="D20" s="3040" t="s">
        <v>1998</v>
      </c>
      <c r="E20" s="3041"/>
      <c r="F20" s="3489" t="s">
        <v>1995</v>
      </c>
      <c r="G20" s="3490"/>
      <c r="H20" s="3026" t="s">
        <v>3426</v>
      </c>
      <c r="I20" s="3026" t="s">
        <v>3427</v>
      </c>
      <c r="J20" s="3027" t="s">
        <v>3428</v>
      </c>
      <c r="K20" s="1886" t="s">
        <v>3429</v>
      </c>
      <c r="L20" s="1886" t="s">
        <v>3430</v>
      </c>
      <c r="M20" s="1886" t="s">
        <v>3431</v>
      </c>
      <c r="N20" s="1886" t="s">
        <v>3432</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4"/>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t="s">
        <v>3425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0.8</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4">
        <v>44197</v>
      </c>
      <c r="F23" s="1893" t="s">
        <v>2003</v>
      </c>
      <c r="G23" s="715">
        <f>'数据-取费表'!B2</f>
        <v>45903</v>
      </c>
      <c r="H23" s="3042" t="s">
        <v>3252</v>
      </c>
      <c r="I23" s="3043" t="str">
        <f>IF(H23="季度增幅（自定义）",SUMIF(N25:N28,E2,O25:O28),"")</f>
        <v/>
      </c>
      <c r="J23" s="3135" t="s">
        <v>3251</v>
      </c>
      <c r="K23" s="1058"/>
      <c r="L23" s="1894" t="s">
        <v>2004</v>
      </c>
      <c r="M23" s="1238">
        <f>ROUND(SUMIF(地价!B2:G2,E2,地价!B16:G16),0)</f>
        <v>0</v>
      </c>
      <c r="N23" s="1895" t="s">
        <v>2005</v>
      </c>
      <c r="O23" s="716">
        <f>ROUNDDOWN(DATEDIF(E23,G23,"M")/3,0)</f>
        <v>18</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t="e">
        <f>ROUND(POWER(1+G24,J24-I24)*(POWER(1+G24,I24)-1)/(POWER(1+G24,J24)-1),4)</f>
        <v>#DIV/0!</v>
      </c>
      <c r="D24" s="1899" t="s">
        <v>2007</v>
      </c>
      <c r="E24" s="1245">
        <f>存贷款利率!E28/100</f>
        <v>4.3499999999999997E-2</v>
      </c>
      <c r="F24" s="1899" t="s">
        <v>1999</v>
      </c>
      <c r="G24" s="721">
        <f>SUMIF(M30:Q30,E2,M33:Q33)</f>
        <v>0.05</v>
      </c>
      <c r="H24" s="1899" t="s">
        <v>2008</v>
      </c>
      <c r="I24" s="722" t="e">
        <f>SUMIF('数据-取费表'!C6:C15,E2,'数据-取费表'!F6:F15)/COUNTIF('数据-取费表'!C6:C15,E2)</f>
        <v>#DIV/0!</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3331</v>
      </c>
      <c r="C25" s="461">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0</v>
      </c>
      <c r="E26" s="705">
        <f>ROUNDDOWN(G3,1)</f>
        <v>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5.0999999999999996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#DIV/0!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t="e">
        <f>ROUND(C5*C22*C23*C24*C25*C28,0)</f>
        <v>#DIV/0!</v>
      </c>
      <c r="D33" s="1937"/>
      <c r="E33" s="724" t="e">
        <f>ROUND(C33*D33/10000,0)</f>
        <v>#DIV/0!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#DIV/0!</v>
      </c>
      <c r="D34" s="1942"/>
      <c r="E34" s="724" t="e">
        <f>ROUND(IF(B25="楼层修正",SUM(V2:V16)*M40,C34*D34/10000),0)</f>
        <v>#DIV/0!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6">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7"/>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48"/>
      <c r="K37" s="3055" t="s">
        <v>3262</v>
      </c>
      <c r="L37" s="1961">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88"/>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88"/>
      <c r="B39" s="1881" t="s">
        <v>3255</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3161" t="e">
        <f>#REF!</f>
        <v>#REF!</v>
      </c>
      <c r="E40" s="163" t="e">
        <f t="shared" si="4"/>
        <v>#DIV/0!</v>
      </c>
      <c r="F40" s="167">
        <f>SUMIF(修正!A57:A68,G2,修正!E57:E68)</f>
        <v>0</v>
      </c>
      <c r="G40" s="163" t="e">
        <f>ROUND(IF(E2="工业",C40*$M$42,C40*$M$41),0)</f>
        <v>#DIV/0!</v>
      </c>
      <c r="H40" s="163" t="e">
        <f t="shared" si="5"/>
        <v>#REF!</v>
      </c>
      <c r="I40" s="163" t="e">
        <f t="shared" si="6"/>
        <v>#DIV/0!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t="e">
        <f>ROUND(D5*C22*C23*C44*C28*F42,0)</f>
        <v>#DIV/0!</v>
      </c>
      <c r="D42" s="3162" t="e">
        <f>#REF!</f>
        <v>#REF!</v>
      </c>
      <c r="E42" s="179" t="e">
        <f t="shared" si="4"/>
        <v>#DIV/0!</v>
      </c>
      <c r="F42" s="720">
        <f>SUMIF(修正!A57:A68,G2,修正!G57:G68)</f>
        <v>0</v>
      </c>
      <c r="G42" s="179" t="e">
        <f>ROUND(IF(E2="工业",C42*$M$42,C42*$M$41),0)</f>
        <v>#DIV/0!</v>
      </c>
      <c r="H42" s="179" t="e">
        <f t="shared" si="5"/>
        <v>#REF!</v>
      </c>
      <c r="I42" s="179"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t="e">
        <f>ROUND(POWER(1+E44,H44-G44)*(POWER(1+E44,G44)-1)/(POWER(1+E44,H44)-1),4)</f>
        <v>#DIV/0!</v>
      </c>
      <c r="D44" s="163" t="s">
        <v>1999</v>
      </c>
      <c r="E44" s="1988">
        <f>G24</f>
        <v>0.05</v>
      </c>
      <c r="F44" s="163" t="s">
        <v>2008</v>
      </c>
      <c r="G44" s="175" t="e">
        <f>I24</f>
        <v>#DIV/0!</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5.2">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05.6">
      <c r="A51" s="1967" t="s">
        <v>2053</v>
      </c>
      <c r="B51" s="1259" t="str">
        <f>估价对象房地状况!C18</f>
        <v>周边1公里范围内有特8内路、348路、805快路、806路、814路、846路等多条公交线路及地铁1、10号线国贸站，公交便捷度好。综上分析，估价对象所在区位整体交通便捷度较好</v>
      </c>
      <c r="C51" s="1884"/>
      <c r="D51" s="999">
        <f t="shared" si="7"/>
        <v>0</v>
      </c>
      <c r="E51" s="700"/>
      <c r="F51" s="1672"/>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c r="D52" s="999">
        <f t="shared" si="7"/>
        <v>0</v>
      </c>
      <c r="E52" s="700"/>
      <c r="F52" s="1672"/>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c r="D53" s="999">
        <f t="shared" si="7"/>
        <v>0</v>
      </c>
      <c r="E53" s="700"/>
      <c r="F53" s="1672"/>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t="str">
        <f>估价对象房地状况!C24</f>
        <v>次干道-朝运街</v>
      </c>
      <c r="C54" s="1884"/>
      <c r="D54" s="999">
        <f t="shared" si="7"/>
        <v>0</v>
      </c>
      <c r="E54" s="700"/>
      <c r="F54" s="1672"/>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7" t="s">
        <v>2057</v>
      </c>
      <c r="B55" s="1972" t="s">
        <v>2058</v>
      </c>
      <c r="C55" s="1884"/>
      <c r="D55" s="999">
        <f t="shared" si="7"/>
        <v>0</v>
      </c>
      <c r="E55" s="700"/>
      <c r="F55" s="1672"/>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132">
      <c r="A56" s="1973" t="s">
        <v>2059</v>
      </c>
      <c r="B56" s="1237"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884"/>
      <c r="D56" s="999">
        <f t="shared" si="7"/>
        <v>0</v>
      </c>
      <c r="E56" s="700"/>
      <c r="F56" s="1672"/>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v>
      </c>
      <c r="C57" s="1884"/>
      <c r="D57" s="999">
        <f t="shared" si="7"/>
        <v>0</v>
      </c>
      <c r="E57" s="700"/>
      <c r="F57" s="1672"/>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66.599999999999994" thickBot="1">
      <c r="A58" s="1974" t="s">
        <v>2061</v>
      </c>
      <c r="B58" s="1975" t="str">
        <f>估价对象房地状况!C20</f>
        <v>周边约1公里范围内有庆丰公园，CBD历史文化公园，中国海关博物馆等，南侧有通惠河经过，环境状况较好</v>
      </c>
      <c r="C58" s="1884"/>
      <c r="D58" s="999">
        <f t="shared" si="7"/>
        <v>0</v>
      </c>
      <c r="E58" s="701"/>
      <c r="F58" s="1672"/>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105.6">
      <c r="A61" s="1967" t="s">
        <v>2064</v>
      </c>
      <c r="B61" s="1970" t="str">
        <f>估价对象房地状况!C17</f>
        <v>估价对象地处北京商务中心区，北京商务中心区（CBD）是首都六大高端产业功能区之一区域内高品质写字楼项目聚集，如国贸中心、银泰中心、环球金融中心等，区域办公集聚程度好</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05.6">
      <c r="A62" s="1967" t="s">
        <v>2053</v>
      </c>
      <c r="B62" s="1259" t="str">
        <f>估价对象房地状况!C18</f>
        <v>周边1公里范围内有特8内路、348路、805快路、806路、814路、846路等多条公交线路及地铁1、10号线国贸站，公交便捷度好。综上分析，估价对象所在区位整体交通便捷度较好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次干道-朝运街</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32">
      <c r="A67" s="1967" t="s">
        <v>2059</v>
      </c>
      <c r="B67" s="1237"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66.599999999999994" thickBot="1">
      <c r="A69" s="1974" t="s">
        <v>2061</v>
      </c>
      <c r="B69" s="1976" t="str">
        <f>估价对象房地状况!C20</f>
        <v>周边约1公里范围内有庆丰公园，CBD历史文化公园，中国海关博物馆等，南侧有通惠河经过，环境状况较好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05.6">
      <c r="A73" s="1967" t="s">
        <v>2053</v>
      </c>
      <c r="B73" s="1259" t="str">
        <f>估价对象房地状况!C18</f>
        <v>周边1公里范围内有特8内路、348路、805快路、806路、814路、846路等多条公交线路及地铁1、10号线国贸站，公交便捷度好。综上分析，估价对象所在区位整体交通便捷度较好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t="str">
        <f>估价对象房地状况!C24</f>
        <v>次干道-朝运街</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132">
      <c r="A76" s="1967" t="s">
        <v>2059</v>
      </c>
      <c r="B76" s="1237"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66">
      <c r="A79" s="1967" t="s">
        <v>2061</v>
      </c>
      <c r="B79" s="1970" t="str">
        <f>估价对象房地状况!C20</f>
        <v>周边约1公里范围内有庆丰公园，CBD历史文化公园，中国海关博物馆等，南侧有通惠河经过，环境状况较好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3266</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3267</v>
      </c>
      <c r="B92" s="2305"/>
      <c r="C92" s="2305" t="s">
        <v>3276</v>
      </c>
      <c r="D92" s="2305" t="s">
        <v>3277</v>
      </c>
      <c r="E92" s="3046" t="s">
        <v>3278</v>
      </c>
      <c r="F92" s="3076" t="s">
        <v>3279</v>
      </c>
      <c r="G92" s="2305" t="s">
        <v>3280</v>
      </c>
      <c r="H92" s="3083" t="s">
        <v>3283</v>
      </c>
      <c r="I92" s="2305" t="s">
        <v>3284</v>
      </c>
      <c r="J92" s="2147" t="s">
        <v>3285</v>
      </c>
      <c r="K92" s="2147" t="s">
        <v>3286</v>
      </c>
      <c r="L92" s="2147" t="s">
        <v>3287</v>
      </c>
      <c r="M92" s="2147" t="s">
        <v>3288</v>
      </c>
      <c r="N92" s="2147" t="s">
        <v>3289</v>
      </c>
    </row>
    <row r="93" spans="1:37" ht="24">
      <c r="A93" s="3064" t="s">
        <v>3268</v>
      </c>
      <c r="B93" s="1218"/>
      <c r="C93" s="1884"/>
      <c r="D93" s="2305">
        <f>SUMIF($J$92:$N$92,C93,J93:N93)</f>
        <v>0</v>
      </c>
      <c r="E93" s="3077">
        <f>ROUND(SUM(D93:D101),4)</f>
        <v>0</v>
      </c>
      <c r="F93" s="1672">
        <f>IF(E2="公共服务",SUMIF(L1:L12,G2,N1:N12),"——")</f>
        <v>0</v>
      </c>
      <c r="G93" s="3068"/>
      <c r="H93" s="3113">
        <f>IFERROR(ROUNDDOWN($F$93*I93/2,4),"——")</f>
        <v>0</v>
      </c>
      <c r="I93" s="3062">
        <v>0.25</v>
      </c>
      <c r="J93" s="1909">
        <f t="shared" ref="J93:J101" si="27">K93+$G93</f>
        <v>0</v>
      </c>
      <c r="K93" s="1909">
        <f t="shared" ref="K93:K101" si="28">$L93+$G93</f>
        <v>0</v>
      </c>
      <c r="L93" s="1909">
        <v>0</v>
      </c>
      <c r="M93" s="1909">
        <f t="shared" ref="M93:N101" si="29">L93-$G93</f>
        <v>0</v>
      </c>
      <c r="N93" s="1909">
        <f t="shared" si="29"/>
        <v>0</v>
      </c>
    </row>
    <row r="94" spans="1:37" ht="105.6">
      <c r="A94" s="3074" t="s">
        <v>3269</v>
      </c>
      <c r="B94" s="3065" t="str">
        <f>估价对象房地状况!C18</f>
        <v>周边1公里范围内有特8内路、348路、805快路、806路、814路、846路等多条公交线路及地铁1、10号线国贸站，公交便捷度好。综上分析，估价对象所在区位整体交通便捷度较好</v>
      </c>
      <c r="C94" s="1884"/>
      <c r="D94" s="2305">
        <f t="shared" ref="D94:D101" si="30">SUMIF($J$60:$N$60,C94,J94:N94)</f>
        <v>0</v>
      </c>
      <c r="E94" s="3078"/>
      <c r="F94" s="1672"/>
      <c r="G94" s="3068"/>
      <c r="H94" s="3113">
        <f>IFERROR(ROUNDDOWN($F$93*I94/2,4),"——")</f>
        <v>0</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f t="shared" ref="H95:H101" si="31">IFERROR(ROUNDDOWN($F$93*I95/2,4),"——")</f>
        <v>0</v>
      </c>
      <c r="I95" s="3062">
        <v>0.11</v>
      </c>
      <c r="J95" s="1909">
        <f t="shared" si="27"/>
        <v>0</v>
      </c>
      <c r="K95" s="1909">
        <f t="shared" si="28"/>
        <v>0</v>
      </c>
      <c r="L95" s="1909">
        <v>0</v>
      </c>
      <c r="M95" s="1909">
        <f t="shared" si="29"/>
        <v>0</v>
      </c>
      <c r="N95" s="1909">
        <f t="shared" si="29"/>
        <v>0</v>
      </c>
    </row>
    <row r="96" spans="1:37" ht="37.200000000000003">
      <c r="A96" s="3074" t="s">
        <v>3270</v>
      </c>
      <c r="B96" s="3080" t="s">
        <v>3281</v>
      </c>
      <c r="C96" s="1884"/>
      <c r="D96" s="2305">
        <f t="shared" si="30"/>
        <v>0</v>
      </c>
      <c r="E96" s="3078"/>
      <c r="F96" s="1672"/>
      <c r="G96" s="3068"/>
      <c r="H96" s="3113">
        <f t="shared" si="31"/>
        <v>0</v>
      </c>
      <c r="I96" s="3062">
        <v>0.05</v>
      </c>
      <c r="J96" s="1909">
        <f t="shared" si="27"/>
        <v>0</v>
      </c>
      <c r="K96" s="1909">
        <f t="shared" si="28"/>
        <v>0</v>
      </c>
      <c r="L96" s="1909">
        <v>0</v>
      </c>
      <c r="M96" s="1909">
        <f t="shared" si="29"/>
        <v>0</v>
      </c>
      <c r="N96" s="1909">
        <f t="shared" si="29"/>
        <v>0</v>
      </c>
    </row>
    <row r="97" spans="1:14" ht="24">
      <c r="A97" s="3074" t="s">
        <v>3271</v>
      </c>
      <c r="B97" s="3065" t="str">
        <f>估价对象房地状况!C24</f>
        <v>次干道-朝运街</v>
      </c>
      <c r="C97" s="1884"/>
      <c r="D97" s="2305">
        <f t="shared" si="30"/>
        <v>0</v>
      </c>
      <c r="E97" s="3078"/>
      <c r="F97" s="1672"/>
      <c r="G97" s="3068"/>
      <c r="H97" s="3113">
        <f t="shared" si="31"/>
        <v>0</v>
      </c>
      <c r="I97" s="3062">
        <v>0.05</v>
      </c>
      <c r="J97" s="1909">
        <f t="shared" si="27"/>
        <v>0</v>
      </c>
      <c r="K97" s="1909">
        <f t="shared" si="28"/>
        <v>0</v>
      </c>
      <c r="L97" s="1909">
        <v>0</v>
      </c>
      <c r="M97" s="1909">
        <f t="shared" si="29"/>
        <v>0</v>
      </c>
      <c r="N97" s="1909">
        <f t="shared" si="29"/>
        <v>0</v>
      </c>
    </row>
    <row r="98" spans="1:14" ht="36">
      <c r="A98" s="3074" t="s">
        <v>3272</v>
      </c>
      <c r="B98" s="3081" t="s">
        <v>3282</v>
      </c>
      <c r="C98" s="1884"/>
      <c r="D98" s="2305">
        <f t="shared" si="30"/>
        <v>0</v>
      </c>
      <c r="E98" s="3078"/>
      <c r="F98" s="1672"/>
      <c r="G98" s="3068"/>
      <c r="H98" s="3113">
        <f t="shared" si="31"/>
        <v>0</v>
      </c>
      <c r="I98" s="3062">
        <v>0.06</v>
      </c>
      <c r="J98" s="1909">
        <f t="shared" si="27"/>
        <v>0</v>
      </c>
      <c r="K98" s="1909">
        <f t="shared" si="28"/>
        <v>0</v>
      </c>
      <c r="L98" s="1909">
        <v>0</v>
      </c>
      <c r="M98" s="1909">
        <f t="shared" si="29"/>
        <v>0</v>
      </c>
      <c r="N98" s="1909">
        <f t="shared" si="29"/>
        <v>0</v>
      </c>
    </row>
    <row r="99" spans="1:14" ht="132">
      <c r="A99" s="3074" t="s">
        <v>3273</v>
      </c>
      <c r="B99" s="3065"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884"/>
      <c r="D99" s="2305">
        <f t="shared" si="30"/>
        <v>0</v>
      </c>
      <c r="E99" s="3078"/>
      <c r="F99" s="1672"/>
      <c r="G99" s="3068"/>
      <c r="H99" s="3113">
        <f t="shared" si="31"/>
        <v>0</v>
      </c>
      <c r="I99" s="3062">
        <v>0.06</v>
      </c>
      <c r="J99" s="1909">
        <f t="shared" si="27"/>
        <v>0</v>
      </c>
      <c r="K99" s="1909">
        <f t="shared" si="28"/>
        <v>0</v>
      </c>
      <c r="L99" s="1909">
        <v>0</v>
      </c>
      <c r="M99" s="1909">
        <f t="shared" si="29"/>
        <v>0</v>
      </c>
      <c r="N99" s="1909">
        <f t="shared" si="29"/>
        <v>0</v>
      </c>
    </row>
    <row r="100" spans="1:14" ht="26.4">
      <c r="A100" s="3074" t="s">
        <v>3274</v>
      </c>
      <c r="B100" s="3065" t="str">
        <f>估价对象房地状况!C22</f>
        <v>估价对象所在区域基础设施水平</v>
      </c>
      <c r="C100" s="1884"/>
      <c r="D100" s="2305">
        <f t="shared" si="30"/>
        <v>0</v>
      </c>
      <c r="E100" s="3078"/>
      <c r="F100" s="1672"/>
      <c r="G100" s="3068"/>
      <c r="H100" s="3113">
        <f t="shared" si="31"/>
        <v>0</v>
      </c>
      <c r="I100" s="3062">
        <v>0.09</v>
      </c>
      <c r="J100" s="1909">
        <f t="shared" si="27"/>
        <v>0</v>
      </c>
      <c r="K100" s="1909">
        <f t="shared" si="28"/>
        <v>0</v>
      </c>
      <c r="L100" s="1909">
        <v>0</v>
      </c>
      <c r="M100" s="1909">
        <f t="shared" si="29"/>
        <v>0</v>
      </c>
      <c r="N100" s="1909">
        <f t="shared" si="29"/>
        <v>0</v>
      </c>
    </row>
    <row r="101" spans="1:14" ht="66.599999999999994" thickBot="1">
      <c r="A101" s="3075" t="s">
        <v>3275</v>
      </c>
      <c r="B101" s="3082" t="str">
        <f>估价对象房地状况!C20</f>
        <v>周边约1公里范围内有庆丰公园，CBD历史文化公园，中国海关博物馆等，南侧有通惠河经过，环境状况较好</v>
      </c>
      <c r="C101" s="1884"/>
      <c r="D101" s="2305">
        <f t="shared" si="30"/>
        <v>0</v>
      </c>
      <c r="E101" s="3079"/>
      <c r="F101" s="1672"/>
      <c r="G101" s="3068"/>
      <c r="H101" s="3113">
        <f t="shared" si="31"/>
        <v>0</v>
      </c>
      <c r="I101" s="3063">
        <v>7.0000000000000007E-2</v>
      </c>
      <c r="J101" s="1909">
        <f t="shared" si="27"/>
        <v>0</v>
      </c>
      <c r="K101" s="1909">
        <f t="shared" si="28"/>
        <v>0</v>
      </c>
      <c r="L101" s="1909">
        <v>0</v>
      </c>
      <c r="M101" s="1909">
        <f t="shared" si="29"/>
        <v>0</v>
      </c>
      <c r="N101" s="1909">
        <f t="shared" si="29"/>
        <v>0</v>
      </c>
    </row>
    <row r="103" spans="1:14">
      <c r="A103" s="3485" t="s">
        <v>3290</v>
      </c>
      <c r="B103" s="3485"/>
      <c r="C103" s="3485"/>
      <c r="D103" s="3485"/>
      <c r="E103" s="3485"/>
      <c r="F103" s="3485"/>
      <c r="G103" s="3485"/>
      <c r="H103" s="3485"/>
      <c r="I103" s="3485"/>
      <c r="J103" s="3485"/>
      <c r="K103" s="1664"/>
      <c r="L103" s="1664"/>
      <c r="M103" s="1664"/>
      <c r="N103" s="1664"/>
    </row>
    <row r="104" spans="1:14">
      <c r="A104" s="3486" t="s">
        <v>3291</v>
      </c>
      <c r="B104" s="3486" t="s">
        <v>3292</v>
      </c>
      <c r="C104" s="3084" t="s">
        <v>3293</v>
      </c>
      <c r="D104" s="3085"/>
      <c r="E104" s="3085"/>
      <c r="F104" s="3085"/>
      <c r="G104" s="3085"/>
      <c r="H104" s="3085"/>
      <c r="I104" s="3085"/>
      <c r="J104" s="3086"/>
      <c r="K104" s="3087"/>
      <c r="L104" s="3087"/>
      <c r="M104" s="3087"/>
      <c r="N104" s="3087"/>
    </row>
    <row r="105" spans="1:14">
      <c r="A105" s="3486"/>
      <c r="B105" s="3486"/>
      <c r="C105" s="3088" t="s">
        <v>3294</v>
      </c>
      <c r="D105" s="3088" t="s">
        <v>3295</v>
      </c>
      <c r="E105" s="3088" t="s">
        <v>3296</v>
      </c>
      <c r="F105" s="3088" t="s">
        <v>3297</v>
      </c>
      <c r="G105" s="3088" t="s">
        <v>3298</v>
      </c>
      <c r="H105" s="3088" t="s">
        <v>3299</v>
      </c>
      <c r="I105" s="3088" t="s">
        <v>3300</v>
      </c>
      <c r="J105" s="3088" t="s">
        <v>3301</v>
      </c>
      <c r="K105" s="3088" t="s">
        <v>3302</v>
      </c>
      <c r="L105" s="3088" t="s">
        <v>3303</v>
      </c>
      <c r="M105" s="3088" t="s">
        <v>3304</v>
      </c>
      <c r="N105" s="3088" t="s">
        <v>3305</v>
      </c>
    </row>
    <row r="106" spans="1:14">
      <c r="A106" s="3472"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3"/>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3"/>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3"/>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3"/>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3"/>
      <c r="B111" s="3088" t="s">
        <v>3264</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74"/>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75" t="s">
        <v>3307</v>
      </c>
      <c r="B113" s="3475"/>
      <c r="C113" s="3475"/>
      <c r="D113" s="3475"/>
      <c r="E113" s="3475"/>
      <c r="F113" s="3475"/>
      <c r="G113" s="3475"/>
      <c r="H113" s="3475"/>
      <c r="I113" s="3475"/>
      <c r="J113" s="3475"/>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5.08</v>
      </c>
      <c r="C116" s="3093" t="s">
        <v>3309</v>
      </c>
      <c r="D116" s="3094">
        <f>SUMPRODUCT((A118:A122=F116)*(B117:M117=H116)*B118:M122)</f>
        <v>0</v>
      </c>
      <c r="E116" s="162" t="s">
        <v>3310</v>
      </c>
      <c r="F116" s="3095" t="str">
        <f>E2</f>
        <v>公共服务</v>
      </c>
      <c r="G116" s="162" t="s">
        <v>3311</v>
      </c>
      <c r="H116" s="3095">
        <f>G2</f>
        <v>0</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3324</v>
      </c>
      <c r="B118" s="3083">
        <f>ROUND(0.9968-0.011*B116,4)</f>
        <v>0.94089999999999996</v>
      </c>
      <c r="C118" s="3083">
        <f>B118</f>
        <v>0.94089999999999996</v>
      </c>
      <c r="D118" s="3083">
        <f>ROUND(0.949-0.014*B116,4)</f>
        <v>0.87790000000000001</v>
      </c>
      <c r="E118" s="3083">
        <f>D118</f>
        <v>0.87790000000000001</v>
      </c>
      <c r="F118" s="3083">
        <f>E118</f>
        <v>0.87790000000000001</v>
      </c>
      <c r="G118" s="3083">
        <f>F118</f>
        <v>0.87790000000000001</v>
      </c>
      <c r="H118" s="3083">
        <f>G118</f>
        <v>0.87790000000000001</v>
      </c>
      <c r="I118" s="3083">
        <f>ROUND(0.8486-0.018*B116,4)</f>
        <v>0.75719999999999998</v>
      </c>
      <c r="J118" s="3083">
        <f t="shared" ref="J118:M122" si="35">I118</f>
        <v>0.75719999999999998</v>
      </c>
      <c r="K118" s="3083">
        <f t="shared" si="35"/>
        <v>0.75719999999999998</v>
      </c>
      <c r="L118" s="3083">
        <f t="shared" si="35"/>
        <v>0.75719999999999998</v>
      </c>
      <c r="M118" s="3103">
        <f t="shared" si="35"/>
        <v>0.75719999999999998</v>
      </c>
      <c r="N118" s="3091"/>
    </row>
    <row r="119" spans="1:14">
      <c r="A119" s="3051" t="s">
        <v>3325</v>
      </c>
      <c r="B119" s="3083">
        <f>ROUND(0.993-0.0112*B116,4)</f>
        <v>0.93610000000000004</v>
      </c>
      <c r="C119" s="3083">
        <f>B119</f>
        <v>0.93610000000000004</v>
      </c>
      <c r="D119" s="3083">
        <f>ROUND(0.9415-0.0142*B116,4)</f>
        <v>0.86939999999999995</v>
      </c>
      <c r="E119" s="3083">
        <f t="shared" ref="E119:H120" si="36">D119</f>
        <v>0.86939999999999995</v>
      </c>
      <c r="F119" s="3083">
        <f t="shared" si="36"/>
        <v>0.86939999999999995</v>
      </c>
      <c r="G119" s="3083">
        <f t="shared" si="36"/>
        <v>0.86939999999999995</v>
      </c>
      <c r="H119" s="3083">
        <f t="shared" si="36"/>
        <v>0.86939999999999995</v>
      </c>
      <c r="I119" s="3083">
        <f>ROUND(0.838-0.0182*B116,4)</f>
        <v>0.74550000000000005</v>
      </c>
      <c r="J119" s="3083">
        <f t="shared" si="35"/>
        <v>0.74550000000000005</v>
      </c>
      <c r="K119" s="3083">
        <f t="shared" si="35"/>
        <v>0.74550000000000005</v>
      </c>
      <c r="L119" s="3083">
        <f t="shared" si="35"/>
        <v>0.74550000000000005</v>
      </c>
      <c r="M119" s="3103">
        <f t="shared" si="35"/>
        <v>0.74550000000000005</v>
      </c>
      <c r="N119" s="3091"/>
    </row>
    <row r="120" spans="1:14">
      <c r="A120" s="3051" t="s">
        <v>3326</v>
      </c>
      <c r="B120" s="3083">
        <f>ROUND(0.9448-0.0115*B116,4)</f>
        <v>0.88639999999999997</v>
      </c>
      <c r="C120" s="3083">
        <f>B120</f>
        <v>0.88639999999999997</v>
      </c>
      <c r="D120" s="3083">
        <f>ROUND(0.937-0.0145*B116,4)</f>
        <v>0.86329999999999996</v>
      </c>
      <c r="E120" s="3083">
        <f t="shared" si="36"/>
        <v>0.86329999999999996</v>
      </c>
      <c r="F120" s="3083">
        <f t="shared" si="36"/>
        <v>0.86329999999999996</v>
      </c>
      <c r="G120" s="3083">
        <f t="shared" si="36"/>
        <v>0.86329999999999996</v>
      </c>
      <c r="H120" s="3083">
        <f t="shared" si="36"/>
        <v>0.86329999999999996</v>
      </c>
      <c r="I120" s="3083">
        <f>ROUND(0.7965-0.0185*B116,4)</f>
        <v>0.70250000000000001</v>
      </c>
      <c r="J120" s="3083">
        <f t="shared" si="35"/>
        <v>0.70250000000000001</v>
      </c>
      <c r="K120" s="3083">
        <f t="shared" si="35"/>
        <v>0.70250000000000001</v>
      </c>
      <c r="L120" s="3083">
        <f t="shared" si="35"/>
        <v>0.70250000000000001</v>
      </c>
      <c r="M120" s="3103">
        <f t="shared" si="35"/>
        <v>0.70250000000000001</v>
      </c>
      <c r="N120" s="3091"/>
    </row>
    <row r="121" spans="1:14" ht="13.8" thickBot="1">
      <c r="A121" s="3104" t="s">
        <v>3327</v>
      </c>
      <c r="B121" s="3105">
        <f>ROUND(0.7836-0.012*B116,4)</f>
        <v>0.72260000000000002</v>
      </c>
      <c r="C121" s="3105">
        <f>B121</f>
        <v>0.72260000000000002</v>
      </c>
      <c r="D121" s="3105">
        <f>ROUND(0.753-0.015*B116,4)</f>
        <v>0.67679999999999996</v>
      </c>
      <c r="E121" s="3105">
        <f>D121</f>
        <v>0.67679999999999996</v>
      </c>
      <c r="F121" s="3105">
        <f>E121</f>
        <v>0.67679999999999996</v>
      </c>
      <c r="G121" s="3105">
        <f>ROUND(0.6612-0.018*B116,4)</f>
        <v>0.56979999999999997</v>
      </c>
      <c r="H121" s="3105">
        <f>G121</f>
        <v>0.56979999999999997</v>
      </c>
      <c r="I121" s="3105">
        <f>ROUND(0.5905-0.019*B116,4)</f>
        <v>0.49399999999999999</v>
      </c>
      <c r="J121" s="3105">
        <f t="shared" si="35"/>
        <v>0.49399999999999999</v>
      </c>
      <c r="K121" s="3105">
        <f t="shared" si="35"/>
        <v>0.49399999999999999</v>
      </c>
      <c r="L121" s="3105">
        <f t="shared" si="35"/>
        <v>0.49399999999999999</v>
      </c>
      <c r="M121" s="3106">
        <f t="shared" si="35"/>
        <v>0.49399999999999999</v>
      </c>
      <c r="N121" s="3091"/>
    </row>
    <row r="122" spans="1:14">
      <c r="A122" s="3107" t="s">
        <v>2608</v>
      </c>
      <c r="B122" s="3083">
        <f>ROUND(0.9404-0.0106*B116,4)</f>
        <v>0.88660000000000005</v>
      </c>
      <c r="C122" s="3083">
        <f>B122</f>
        <v>0.88660000000000005</v>
      </c>
      <c r="D122" s="3083">
        <f>ROUND(0.8955-0.0135*B116,4)</f>
        <v>0.82689999999999997</v>
      </c>
      <c r="E122" s="3083">
        <f t="shared" ref="E122:H122" si="37">D122</f>
        <v>0.82689999999999997</v>
      </c>
      <c r="F122" s="3083">
        <f t="shared" si="37"/>
        <v>0.82689999999999997</v>
      </c>
      <c r="G122" s="3083">
        <f t="shared" si="37"/>
        <v>0.82689999999999997</v>
      </c>
      <c r="H122" s="3083">
        <f t="shared" si="37"/>
        <v>0.82689999999999997</v>
      </c>
      <c r="I122" s="3083">
        <f>ROUND(0.7632-0.0166*B116,4)</f>
        <v>0.67889999999999995</v>
      </c>
      <c r="J122" s="3083">
        <f t="shared" si="35"/>
        <v>0.67889999999999995</v>
      </c>
      <c r="K122" s="3083">
        <f t="shared" si="35"/>
        <v>0.67889999999999995</v>
      </c>
      <c r="L122" s="3083">
        <f t="shared" si="35"/>
        <v>0.67889999999999995</v>
      </c>
      <c r="M122" s="3103">
        <f t="shared" si="35"/>
        <v>0.67889999999999995</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00" t="s">
        <v>2603</v>
      </c>
      <c r="B20" s="3495" t="s">
        <v>2624</v>
      </c>
      <c r="C20" s="2836" t="s">
        <v>2435</v>
      </c>
      <c r="D20" s="2837"/>
      <c r="E20" s="2838">
        <v>1</v>
      </c>
      <c r="F20" s="2839" t="s">
        <v>2436</v>
      </c>
      <c r="G20" s="2839"/>
    </row>
    <row r="21" spans="1:13" ht="19.5" customHeight="1">
      <c r="A21" s="3501"/>
      <c r="B21" s="3494"/>
      <c r="C21" s="2840" t="s">
        <v>2437</v>
      </c>
      <c r="D21" s="2841"/>
      <c r="E21" s="2842">
        <v>1</v>
      </c>
      <c r="F21" s="2839" t="s">
        <v>2438</v>
      </c>
      <c r="G21" s="2839"/>
    </row>
    <row r="22" spans="1:13" ht="19.5" customHeight="1">
      <c r="A22" s="3501"/>
      <c r="B22" s="3494"/>
      <c r="C22" s="2840" t="s">
        <v>2439</v>
      </c>
      <c r="D22" s="2841"/>
      <c r="E22" s="2842">
        <v>0.9</v>
      </c>
      <c r="F22" s="2839" t="s">
        <v>2440</v>
      </c>
      <c r="G22" s="2839"/>
    </row>
    <row r="23" spans="1:13" ht="19.5" customHeight="1">
      <c r="A23" s="3501"/>
      <c r="B23" s="3494"/>
      <c r="C23" s="2840" t="s">
        <v>2441</v>
      </c>
      <c r="D23" s="2841"/>
      <c r="E23" s="2842">
        <v>0.9</v>
      </c>
      <c r="F23" s="2839" t="s">
        <v>2442</v>
      </c>
      <c r="G23" s="2839"/>
    </row>
    <row r="24" spans="1:13" ht="19.5" customHeight="1">
      <c r="A24" s="3501"/>
      <c r="B24" s="3494"/>
      <c r="C24" s="2840" t="s">
        <v>2443</v>
      </c>
      <c r="D24" s="2841"/>
      <c r="E24" s="2842">
        <v>0.8</v>
      </c>
      <c r="F24" s="2839" t="s">
        <v>2444</v>
      </c>
      <c r="G24" s="2839"/>
    </row>
    <row r="25" spans="1:13" ht="19.5" customHeight="1" thickBot="1">
      <c r="A25" s="3502"/>
      <c r="B25" s="3496"/>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497" t="s">
        <v>2627</v>
      </c>
      <c r="B27" s="3495" t="s">
        <v>2608</v>
      </c>
      <c r="C27" s="2836" t="s">
        <v>2448</v>
      </c>
      <c r="D27" s="2837"/>
      <c r="E27" s="2838">
        <v>1</v>
      </c>
      <c r="F27" s="2839" t="s">
        <v>2449</v>
      </c>
      <c r="G27" s="2839"/>
    </row>
    <row r="28" spans="1:13" ht="19.5" customHeight="1">
      <c r="A28" s="3498"/>
      <c r="B28" s="3494"/>
      <c r="C28" s="2840" t="s">
        <v>2450</v>
      </c>
      <c r="D28" s="2841"/>
      <c r="E28" s="2842">
        <v>1</v>
      </c>
      <c r="F28" s="2839" t="s">
        <v>2451</v>
      </c>
      <c r="G28" s="2839"/>
    </row>
    <row r="29" spans="1:13" ht="19.5" customHeight="1">
      <c r="A29" s="3498"/>
      <c r="B29" s="3494"/>
      <c r="C29" s="2840" t="s">
        <v>2452</v>
      </c>
      <c r="D29" s="2841"/>
      <c r="E29" s="2842">
        <v>0.8</v>
      </c>
      <c r="F29" s="2839" t="s">
        <v>2453</v>
      </c>
      <c r="G29" s="2839"/>
    </row>
    <row r="30" spans="1:13" ht="19.5" customHeight="1">
      <c r="A30" s="3498"/>
      <c r="B30" s="3494"/>
      <c r="C30" s="2840" t="s">
        <v>2454</v>
      </c>
      <c r="D30" s="2841"/>
      <c r="E30" s="2842">
        <v>0.8</v>
      </c>
      <c r="F30" s="2839" t="s">
        <v>2455</v>
      </c>
      <c r="G30" s="2839"/>
    </row>
    <row r="31" spans="1:13" ht="19.5" customHeight="1">
      <c r="A31" s="3498"/>
      <c r="B31" s="3494"/>
      <c r="C31" s="2840" t="s">
        <v>2456</v>
      </c>
      <c r="D31" s="2841"/>
      <c r="E31" s="2842">
        <v>0.8</v>
      </c>
      <c r="F31" s="2839" t="s">
        <v>2457</v>
      </c>
      <c r="G31" s="2839"/>
    </row>
    <row r="32" spans="1:13" ht="19.5" customHeight="1">
      <c r="A32" s="3498"/>
      <c r="B32" s="3494"/>
      <c r="C32" s="2840" t="s">
        <v>2458</v>
      </c>
      <c r="D32" s="2841"/>
      <c r="E32" s="2842">
        <v>0.7</v>
      </c>
      <c r="F32" s="2839" t="s">
        <v>2459</v>
      </c>
      <c r="G32" s="2839"/>
    </row>
    <row r="33" spans="1:7" ht="19.5" customHeight="1">
      <c r="A33" s="3498"/>
      <c r="B33" s="3494"/>
      <c r="C33" s="2840" t="s">
        <v>2460</v>
      </c>
      <c r="D33" s="2841"/>
      <c r="E33" s="2842">
        <v>0.8</v>
      </c>
      <c r="F33" s="2839" t="s">
        <v>2461</v>
      </c>
      <c r="G33" s="2839"/>
    </row>
    <row r="34" spans="1:7" ht="19.5" customHeight="1">
      <c r="A34" s="3498"/>
      <c r="B34" s="3494"/>
      <c r="C34" s="2840" t="s">
        <v>2462</v>
      </c>
      <c r="D34" s="2841"/>
      <c r="E34" s="2842">
        <v>0.6</v>
      </c>
      <c r="F34" s="2839" t="s">
        <v>2463</v>
      </c>
      <c r="G34" s="2839"/>
    </row>
    <row r="35" spans="1:7" ht="19.5" customHeight="1">
      <c r="A35" s="3498"/>
      <c r="B35" s="3494"/>
      <c r="C35" s="2840" t="s">
        <v>2464</v>
      </c>
      <c r="D35" s="2841"/>
      <c r="E35" s="2842">
        <v>0.2</v>
      </c>
      <c r="F35" s="2839" t="s">
        <v>2465</v>
      </c>
      <c r="G35" s="2839"/>
    </row>
    <row r="36" spans="1:7" ht="19.5" customHeight="1">
      <c r="A36" s="3498"/>
      <c r="B36" s="3494"/>
      <c r="C36" s="2840" t="s">
        <v>2466</v>
      </c>
      <c r="D36" s="2841"/>
      <c r="E36" s="2842">
        <v>0.2</v>
      </c>
      <c r="F36" s="2839" t="s">
        <v>2467</v>
      </c>
      <c r="G36" s="2839"/>
    </row>
    <row r="37" spans="1:7" ht="19.5" customHeight="1">
      <c r="A37" s="3498"/>
      <c r="B37" s="3492" t="s">
        <v>2628</v>
      </c>
      <c r="C37" s="2840" t="s">
        <v>2468</v>
      </c>
      <c r="D37" s="2841"/>
      <c r="E37" s="2842">
        <v>0.6</v>
      </c>
      <c r="F37" s="2839" t="s">
        <v>2469</v>
      </c>
      <c r="G37" s="2839"/>
    </row>
    <row r="38" spans="1:7" ht="19.5" customHeight="1">
      <c r="A38" s="3498"/>
      <c r="B38" s="3494"/>
      <c r="C38" s="2840" t="s">
        <v>2470</v>
      </c>
      <c r="D38" s="2841"/>
      <c r="E38" s="2842">
        <v>0.6</v>
      </c>
      <c r="F38" s="2839" t="s">
        <v>2471</v>
      </c>
      <c r="G38" s="2839"/>
    </row>
    <row r="39" spans="1:7" ht="19.5" customHeight="1" thickBot="1">
      <c r="A39" s="3499"/>
      <c r="B39" s="3496"/>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00" t="s">
        <v>2606</v>
      </c>
      <c r="B41" s="3495" t="s">
        <v>2630</v>
      </c>
      <c r="C41" s="2836" t="s">
        <v>2475</v>
      </c>
      <c r="D41" s="2837"/>
      <c r="E41" s="2838">
        <v>1</v>
      </c>
      <c r="F41" s="2839" t="s">
        <v>2476</v>
      </c>
      <c r="G41" s="2839"/>
    </row>
    <row r="42" spans="1:7" ht="19.5" customHeight="1">
      <c r="A42" s="3501"/>
      <c r="B42" s="3494"/>
      <c r="C42" s="2840" t="s">
        <v>2477</v>
      </c>
      <c r="D42" s="2841"/>
      <c r="E42" s="2842">
        <v>1</v>
      </c>
      <c r="F42" s="2839" t="s">
        <v>2478</v>
      </c>
      <c r="G42" s="2839"/>
    </row>
    <row r="43" spans="1:7" ht="19.5" customHeight="1">
      <c r="A43" s="3501"/>
      <c r="B43" s="3493"/>
      <c r="C43" s="2840" t="s">
        <v>2479</v>
      </c>
      <c r="D43" s="2841"/>
      <c r="E43" s="2842">
        <v>1.5</v>
      </c>
      <c r="F43" s="2839" t="s">
        <v>2480</v>
      </c>
      <c r="G43" s="2839"/>
    </row>
    <row r="44" spans="1:7" ht="19.5" customHeight="1">
      <c r="A44" s="3501"/>
      <c r="B44" s="2851" t="s">
        <v>2631</v>
      </c>
      <c r="C44" s="2840" t="s">
        <v>2632</v>
      </c>
      <c r="D44" s="2841"/>
      <c r="E44" s="2842">
        <v>2</v>
      </c>
      <c r="F44" s="2839" t="s">
        <v>2481</v>
      </c>
      <c r="G44" s="2839"/>
    </row>
    <row r="45" spans="1:7" ht="19.5" customHeight="1">
      <c r="A45" s="3501"/>
      <c r="B45" s="3492" t="s">
        <v>2633</v>
      </c>
      <c r="C45" s="2840" t="s">
        <v>2482</v>
      </c>
      <c r="D45" s="2841"/>
      <c r="E45" s="2842">
        <v>1</v>
      </c>
      <c r="F45" s="2839" t="s">
        <v>2483</v>
      </c>
      <c r="G45" s="2839"/>
    </row>
    <row r="46" spans="1:7" ht="19.5" customHeight="1">
      <c r="A46" s="3501"/>
      <c r="B46" s="3494"/>
      <c r="C46" s="2840" t="s">
        <v>2484</v>
      </c>
      <c r="D46" s="2841"/>
      <c r="E46" s="2842">
        <v>1</v>
      </c>
      <c r="F46" s="2839" t="s">
        <v>2485</v>
      </c>
      <c r="G46" s="2839"/>
    </row>
    <row r="47" spans="1:7" ht="19.5" customHeight="1">
      <c r="A47" s="3501"/>
      <c r="B47" s="3494"/>
      <c r="C47" s="2840" t="s">
        <v>2486</v>
      </c>
      <c r="D47" s="2841"/>
      <c r="E47" s="2842">
        <v>1</v>
      </c>
      <c r="F47" s="2839" t="s">
        <v>2487</v>
      </c>
      <c r="G47" s="2839"/>
    </row>
    <row r="48" spans="1:7" ht="19.5" customHeight="1">
      <c r="A48" s="3501"/>
      <c r="B48" s="3494"/>
      <c r="C48" s="2840" t="s">
        <v>2488</v>
      </c>
      <c r="D48" s="2841"/>
      <c r="E48" s="2842">
        <v>1</v>
      </c>
      <c r="F48" s="2839" t="s">
        <v>2489</v>
      </c>
      <c r="G48" s="2839"/>
    </row>
    <row r="49" spans="1:7" ht="19.5" customHeight="1">
      <c r="A49" s="3501"/>
      <c r="B49" s="3494"/>
      <c r="C49" s="2840" t="s">
        <v>2490</v>
      </c>
      <c r="D49" s="2841"/>
      <c r="E49" s="2842">
        <v>1</v>
      </c>
      <c r="F49" s="2839" t="s">
        <v>2491</v>
      </c>
      <c r="G49" s="2839"/>
    </row>
    <row r="50" spans="1:7" ht="19.5" customHeight="1">
      <c r="A50" s="3501"/>
      <c r="B50" s="3494"/>
      <c r="C50" s="2840" t="s">
        <v>2492</v>
      </c>
      <c r="D50" s="2841"/>
      <c r="E50" s="2842">
        <v>1</v>
      </c>
      <c r="F50" s="2839" t="s">
        <v>2493</v>
      </c>
      <c r="G50" s="2839"/>
    </row>
    <row r="51" spans="1:7" ht="19.5" customHeight="1" thickBot="1">
      <c r="A51" s="3502"/>
      <c r="B51" s="3496"/>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4.4">
      <c r="A72" s="2851"/>
      <c r="B72" s="2851"/>
      <c r="C72" s="2851" t="s">
        <v>2646</v>
      </c>
      <c r="D72" s="2851"/>
      <c r="E72" s="2851" t="s">
        <v>2617</v>
      </c>
      <c r="F72" s="2851" t="s">
        <v>2617</v>
      </c>
    </row>
    <row r="73" spans="1:7" ht="14.4">
      <c r="A73" s="2851">
        <v>1</v>
      </c>
      <c r="B73" s="3492" t="s">
        <v>2647</v>
      </c>
      <c r="C73" s="2825" t="s">
        <v>2648</v>
      </c>
      <c r="D73" s="2825" t="s">
        <v>2649</v>
      </c>
      <c r="E73" s="2851">
        <v>0.2</v>
      </c>
      <c r="F73" s="2851">
        <v>25</v>
      </c>
    </row>
    <row r="74" spans="1:7" ht="24">
      <c r="A74" s="2851">
        <v>2</v>
      </c>
      <c r="B74" s="3494"/>
      <c r="C74" s="2825" t="s">
        <v>2650</v>
      </c>
      <c r="D74" s="2825" t="s">
        <v>2651</v>
      </c>
      <c r="E74" s="2851">
        <v>0.2</v>
      </c>
      <c r="F74" s="2851">
        <v>25</v>
      </c>
    </row>
    <row r="75" spans="1:7" ht="24">
      <c r="A75" s="2851">
        <v>3</v>
      </c>
      <c r="B75" s="3494"/>
      <c r="C75" s="2825" t="s">
        <v>2652</v>
      </c>
      <c r="D75" s="2825" t="s">
        <v>2653</v>
      </c>
      <c r="E75" s="2851">
        <v>0.2</v>
      </c>
      <c r="F75" s="2851">
        <v>25</v>
      </c>
    </row>
    <row r="76" spans="1:7" ht="14.4">
      <c r="A76" s="2851">
        <v>4</v>
      </c>
      <c r="B76" s="3494"/>
      <c r="C76" s="2825" t="s">
        <v>2654</v>
      </c>
      <c r="D76" s="2825" t="s">
        <v>2655</v>
      </c>
      <c r="E76" s="2851">
        <v>0.15</v>
      </c>
      <c r="F76" s="2851">
        <v>20</v>
      </c>
    </row>
    <row r="77" spans="1:7" ht="24">
      <c r="A77" s="2851">
        <v>5</v>
      </c>
      <c r="B77" s="3494"/>
      <c r="C77" s="2825" t="s">
        <v>2656</v>
      </c>
      <c r="D77" s="2825" t="s">
        <v>2657</v>
      </c>
      <c r="E77" s="2851">
        <v>0.15</v>
      </c>
      <c r="F77" s="2851">
        <v>20</v>
      </c>
    </row>
    <row r="78" spans="1:7" ht="24">
      <c r="A78" s="2851">
        <v>6</v>
      </c>
      <c r="B78" s="3494"/>
      <c r="C78" s="2825" t="s">
        <v>2658</v>
      </c>
      <c r="D78" s="2825" t="s">
        <v>2659</v>
      </c>
      <c r="E78" s="2851">
        <v>0.15</v>
      </c>
      <c r="F78" s="2851">
        <v>20</v>
      </c>
    </row>
    <row r="79" spans="1:7" ht="24">
      <c r="A79" s="2851">
        <v>7</v>
      </c>
      <c r="B79" s="3494"/>
      <c r="C79" s="2825" t="s">
        <v>2660</v>
      </c>
      <c r="D79" s="2825" t="s">
        <v>2661</v>
      </c>
      <c r="E79" s="2851">
        <v>0.15</v>
      </c>
      <c r="F79" s="2851">
        <v>20</v>
      </c>
    </row>
    <row r="80" spans="1:7" ht="24">
      <c r="A80" s="2851">
        <v>8</v>
      </c>
      <c r="B80" s="3494"/>
      <c r="C80" s="2825" t="s">
        <v>2662</v>
      </c>
      <c r="D80" s="2825" t="s">
        <v>2663</v>
      </c>
      <c r="E80" s="2851">
        <v>0.1</v>
      </c>
      <c r="F80" s="2851">
        <v>15</v>
      </c>
    </row>
    <row r="81" spans="1:6" ht="24">
      <c r="A81" s="2851">
        <v>9</v>
      </c>
      <c r="B81" s="3494"/>
      <c r="C81" s="2825" t="s">
        <v>2664</v>
      </c>
      <c r="D81" s="2825" t="s">
        <v>2665</v>
      </c>
      <c r="E81" s="2851">
        <v>0.1</v>
      </c>
      <c r="F81" s="2851">
        <v>15</v>
      </c>
    </row>
    <row r="82" spans="1:6" ht="24">
      <c r="A82" s="2851">
        <v>10</v>
      </c>
      <c r="B82" s="3494"/>
      <c r="C82" s="2825" t="s">
        <v>2666</v>
      </c>
      <c r="D82" s="2825" t="s">
        <v>2667</v>
      </c>
      <c r="E82" s="2851">
        <v>0.1</v>
      </c>
      <c r="F82" s="2851">
        <v>15</v>
      </c>
    </row>
    <row r="83" spans="1:6" ht="24">
      <c r="A83" s="2851">
        <v>11</v>
      </c>
      <c r="B83" s="3494"/>
      <c r="C83" s="2825" t="s">
        <v>2668</v>
      </c>
      <c r="D83" s="2825" t="s">
        <v>2669</v>
      </c>
      <c r="E83" s="2851">
        <v>0.1</v>
      </c>
      <c r="F83" s="2851">
        <v>15</v>
      </c>
    </row>
    <row r="84" spans="1:6" ht="24">
      <c r="A84" s="2851">
        <v>12</v>
      </c>
      <c r="B84" s="3494"/>
      <c r="C84" s="2825" t="s">
        <v>2670</v>
      </c>
      <c r="D84" s="2825" t="s">
        <v>2671</v>
      </c>
      <c r="E84" s="2851">
        <v>0.1</v>
      </c>
      <c r="F84" s="2851">
        <v>15</v>
      </c>
    </row>
    <row r="85" spans="1:6" ht="24">
      <c r="A85" s="2851">
        <v>13</v>
      </c>
      <c r="B85" s="3494"/>
      <c r="C85" s="2825" t="s">
        <v>2672</v>
      </c>
      <c r="D85" s="2825" t="s">
        <v>2673</v>
      </c>
      <c r="E85" s="2851">
        <v>0.1</v>
      </c>
      <c r="F85" s="2851">
        <v>15</v>
      </c>
    </row>
    <row r="86" spans="1:6" ht="24">
      <c r="A86" s="2851">
        <v>14</v>
      </c>
      <c r="B86" s="3494"/>
      <c r="C86" s="2825" t="s">
        <v>2674</v>
      </c>
      <c r="D86" s="2825" t="s">
        <v>2675</v>
      </c>
      <c r="E86" s="2851">
        <v>0.1</v>
      </c>
      <c r="F86" s="2851">
        <v>15</v>
      </c>
    </row>
    <row r="87" spans="1:6" ht="24">
      <c r="A87" s="2851">
        <v>15</v>
      </c>
      <c r="B87" s="3494"/>
      <c r="C87" s="2825" t="s">
        <v>2676</v>
      </c>
      <c r="D87" s="2825" t="s">
        <v>2677</v>
      </c>
      <c r="E87" s="2851">
        <v>0.1</v>
      </c>
      <c r="F87" s="2851">
        <v>15</v>
      </c>
    </row>
    <row r="88" spans="1:6" ht="24">
      <c r="A88" s="2851">
        <v>16</v>
      </c>
      <c r="B88" s="3494"/>
      <c r="C88" s="2825" t="s">
        <v>2678</v>
      </c>
      <c r="D88" s="2825" t="s">
        <v>2679</v>
      </c>
      <c r="E88" s="2851">
        <v>0.1</v>
      </c>
      <c r="F88" s="2851">
        <v>15</v>
      </c>
    </row>
    <row r="89" spans="1:6" ht="24">
      <c r="A89" s="2851">
        <v>17</v>
      </c>
      <c r="B89" s="3493"/>
      <c r="C89" s="2825" t="s">
        <v>2680</v>
      </c>
      <c r="D89" s="2825" t="s">
        <v>2681</v>
      </c>
      <c r="E89" s="2851">
        <v>0.1</v>
      </c>
      <c r="F89" s="2851">
        <v>15</v>
      </c>
    </row>
    <row r="90" spans="1:6" ht="14.4">
      <c r="A90" s="2851">
        <v>18</v>
      </c>
      <c r="B90" s="3492" t="s">
        <v>2682</v>
      </c>
      <c r="C90" s="2825" t="s">
        <v>2683</v>
      </c>
      <c r="D90" s="2825" t="s">
        <v>2684</v>
      </c>
      <c r="E90" s="2851">
        <v>0.2</v>
      </c>
      <c r="F90" s="2851">
        <v>25</v>
      </c>
    </row>
    <row r="91" spans="1:6" ht="24">
      <c r="A91" s="2851">
        <v>19</v>
      </c>
      <c r="B91" s="3494"/>
      <c r="C91" s="2825" t="s">
        <v>2685</v>
      </c>
      <c r="D91" s="2825" t="s">
        <v>2686</v>
      </c>
      <c r="E91" s="2851">
        <v>0.2</v>
      </c>
      <c r="F91" s="2851">
        <v>25</v>
      </c>
    </row>
    <row r="92" spans="1:6" ht="14.4">
      <c r="A92" s="2851">
        <v>20</v>
      </c>
      <c r="B92" s="3494"/>
      <c r="C92" s="2825" t="s">
        <v>2687</v>
      </c>
      <c r="D92" s="2825" t="s">
        <v>2688</v>
      </c>
      <c r="E92" s="2851">
        <v>0.15</v>
      </c>
      <c r="F92" s="2851">
        <v>20</v>
      </c>
    </row>
    <row r="93" spans="1:6" ht="24">
      <c r="A93" s="2851">
        <v>21</v>
      </c>
      <c r="B93" s="3494"/>
      <c r="C93" s="2825" t="s">
        <v>2689</v>
      </c>
      <c r="D93" s="2825" t="s">
        <v>2690</v>
      </c>
      <c r="E93" s="2851">
        <v>0.15</v>
      </c>
      <c r="F93" s="2851">
        <v>20</v>
      </c>
    </row>
    <row r="94" spans="1:6" ht="24">
      <c r="A94" s="2851">
        <v>22</v>
      </c>
      <c r="B94" s="3494"/>
      <c r="C94" s="2825" t="s">
        <v>2691</v>
      </c>
      <c r="D94" s="2825" t="s">
        <v>2692</v>
      </c>
      <c r="E94" s="2851">
        <v>0.15</v>
      </c>
      <c r="F94" s="2851">
        <v>20</v>
      </c>
    </row>
    <row r="95" spans="1:6" ht="36">
      <c r="A95" s="2851">
        <v>23</v>
      </c>
      <c r="B95" s="3494"/>
      <c r="C95" s="2825" t="s">
        <v>2693</v>
      </c>
      <c r="D95" s="2825" t="s">
        <v>2694</v>
      </c>
      <c r="E95" s="2851">
        <v>0.15</v>
      </c>
      <c r="F95" s="2851">
        <v>20</v>
      </c>
    </row>
    <row r="96" spans="1:6" ht="24">
      <c r="A96" s="2851">
        <v>24</v>
      </c>
      <c r="B96" s="3494"/>
      <c r="C96" s="2825" t="s">
        <v>2695</v>
      </c>
      <c r="D96" s="2825" t="s">
        <v>2696</v>
      </c>
      <c r="E96" s="2851">
        <v>0.1</v>
      </c>
      <c r="F96" s="2851">
        <v>15</v>
      </c>
    </row>
    <row r="97" spans="1:6" ht="24">
      <c r="A97" s="2851">
        <v>25</v>
      </c>
      <c r="B97" s="3494"/>
      <c r="C97" s="2825" t="s">
        <v>2697</v>
      </c>
      <c r="D97" s="2825" t="s">
        <v>2698</v>
      </c>
      <c r="E97" s="2851">
        <v>0.1</v>
      </c>
      <c r="F97" s="2851">
        <v>15</v>
      </c>
    </row>
    <row r="98" spans="1:6" ht="24">
      <c r="A98" s="2851">
        <v>26</v>
      </c>
      <c r="B98" s="3494"/>
      <c r="C98" s="2825" t="s">
        <v>2699</v>
      </c>
      <c r="D98" s="2825" t="s">
        <v>2700</v>
      </c>
      <c r="E98" s="2851">
        <v>0.1</v>
      </c>
      <c r="F98" s="2851">
        <v>15</v>
      </c>
    </row>
    <row r="99" spans="1:6" ht="24">
      <c r="A99" s="2851">
        <v>27</v>
      </c>
      <c r="B99" s="3494"/>
      <c r="C99" s="2825" t="s">
        <v>2701</v>
      </c>
      <c r="D99" s="2825" t="s">
        <v>2702</v>
      </c>
      <c r="E99" s="2851">
        <v>0.1</v>
      </c>
      <c r="F99" s="2851">
        <v>15</v>
      </c>
    </row>
    <row r="100" spans="1:6" ht="24">
      <c r="A100" s="2851">
        <v>28</v>
      </c>
      <c r="B100" s="3494"/>
      <c r="C100" s="2825" t="s">
        <v>2703</v>
      </c>
      <c r="D100" s="2825" t="s">
        <v>2704</v>
      </c>
      <c r="E100" s="2851">
        <v>0.1</v>
      </c>
      <c r="F100" s="2851">
        <v>15</v>
      </c>
    </row>
    <row r="101" spans="1:6" ht="24">
      <c r="A101" s="2851">
        <v>29</v>
      </c>
      <c r="B101" s="3494"/>
      <c r="C101" s="2825" t="s">
        <v>2705</v>
      </c>
      <c r="D101" s="2825" t="s">
        <v>2706</v>
      </c>
      <c r="E101" s="2851">
        <v>0.1</v>
      </c>
      <c r="F101" s="2851">
        <v>15</v>
      </c>
    </row>
    <row r="102" spans="1:6" ht="24">
      <c r="A102" s="2851">
        <v>30</v>
      </c>
      <c r="B102" s="3494"/>
      <c r="C102" s="2825" t="s">
        <v>2707</v>
      </c>
      <c r="D102" s="2825" t="s">
        <v>2708</v>
      </c>
      <c r="E102" s="2851">
        <v>0.1</v>
      </c>
      <c r="F102" s="2851">
        <v>15</v>
      </c>
    </row>
    <row r="103" spans="1:6" ht="24">
      <c r="A103" s="2851">
        <v>31</v>
      </c>
      <c r="B103" s="3494"/>
      <c r="C103" s="2825" t="s">
        <v>2709</v>
      </c>
      <c r="D103" s="2825" t="s">
        <v>2710</v>
      </c>
      <c r="E103" s="2851">
        <v>0.1</v>
      </c>
      <c r="F103" s="2851">
        <v>15</v>
      </c>
    </row>
    <row r="104" spans="1:6" ht="24">
      <c r="A104" s="2851">
        <v>32</v>
      </c>
      <c r="B104" s="3494"/>
      <c r="C104" s="2825" t="s">
        <v>2711</v>
      </c>
      <c r="D104" s="2825" t="s">
        <v>2712</v>
      </c>
      <c r="E104" s="2851">
        <v>0.1</v>
      </c>
      <c r="F104" s="2851">
        <v>15</v>
      </c>
    </row>
    <row r="105" spans="1:6" ht="24">
      <c r="A105" s="2851">
        <v>33</v>
      </c>
      <c r="B105" s="3494"/>
      <c r="C105" s="2825" t="s">
        <v>2713</v>
      </c>
      <c r="D105" s="2825" t="s">
        <v>2714</v>
      </c>
      <c r="E105" s="2851">
        <v>0.1</v>
      </c>
      <c r="F105" s="2851">
        <v>15</v>
      </c>
    </row>
    <row r="106" spans="1:6" ht="24">
      <c r="A106" s="2851">
        <v>34</v>
      </c>
      <c r="B106" s="3493"/>
      <c r="C106" s="2825" t="s">
        <v>2715</v>
      </c>
      <c r="D106" s="2825" t="s">
        <v>2716</v>
      </c>
      <c r="E106" s="2851">
        <v>0.1</v>
      </c>
      <c r="F106" s="2851">
        <v>15</v>
      </c>
    </row>
    <row r="107" spans="1:6" ht="36">
      <c r="A107" s="2851">
        <v>35</v>
      </c>
      <c r="B107" s="3492" t="s">
        <v>2717</v>
      </c>
      <c r="C107" s="2851" t="s">
        <v>2718</v>
      </c>
      <c r="D107" s="2825" t="s">
        <v>2719</v>
      </c>
      <c r="E107" s="2851">
        <v>0.15</v>
      </c>
      <c r="F107" s="2851">
        <v>20</v>
      </c>
    </row>
    <row r="108" spans="1:6" ht="24">
      <c r="A108" s="2851">
        <v>36</v>
      </c>
      <c r="B108" s="3494"/>
      <c r="C108" s="2851" t="s">
        <v>2720</v>
      </c>
      <c r="D108" s="2825" t="s">
        <v>2721</v>
      </c>
      <c r="E108" s="2851">
        <v>0.15</v>
      </c>
      <c r="F108" s="2851">
        <v>20</v>
      </c>
    </row>
    <row r="109" spans="1:6" ht="24">
      <c r="A109" s="2851">
        <v>37</v>
      </c>
      <c r="B109" s="3494"/>
      <c r="C109" s="2851" t="s">
        <v>2722</v>
      </c>
      <c r="D109" s="2825" t="s">
        <v>2723</v>
      </c>
      <c r="E109" s="2851">
        <v>0.15</v>
      </c>
      <c r="F109" s="2851">
        <v>20</v>
      </c>
    </row>
    <row r="110" spans="1:6" ht="24">
      <c r="A110" s="2851">
        <v>38</v>
      </c>
      <c r="B110" s="3494"/>
      <c r="C110" s="2851" t="s">
        <v>2724</v>
      </c>
      <c r="D110" s="2825" t="s">
        <v>2725</v>
      </c>
      <c r="E110" s="2851">
        <v>0.1</v>
      </c>
      <c r="F110" s="2851">
        <v>15</v>
      </c>
    </row>
    <row r="111" spans="1:6" ht="24">
      <c r="A111" s="2851">
        <v>39</v>
      </c>
      <c r="B111" s="3494"/>
      <c r="C111" s="2851" t="s">
        <v>2726</v>
      </c>
      <c r="D111" s="2825" t="s">
        <v>2727</v>
      </c>
      <c r="E111" s="2851">
        <v>0.1</v>
      </c>
      <c r="F111" s="2851">
        <v>15</v>
      </c>
    </row>
    <row r="112" spans="1:6" ht="24">
      <c r="A112" s="2851">
        <v>40</v>
      </c>
      <c r="B112" s="3493"/>
      <c r="C112" s="2851" t="s">
        <v>2728</v>
      </c>
      <c r="D112" s="2825" t="s">
        <v>2729</v>
      </c>
      <c r="E112" s="2851">
        <v>0.1</v>
      </c>
      <c r="F112" s="2851">
        <v>15</v>
      </c>
    </row>
    <row r="113" spans="1:6" ht="24">
      <c r="A113" s="2851">
        <v>41</v>
      </c>
      <c r="B113" s="3491" t="s">
        <v>2730</v>
      </c>
      <c r="C113" s="2851" t="s">
        <v>2731</v>
      </c>
      <c r="D113" s="2825" t="s">
        <v>2732</v>
      </c>
      <c r="E113" s="2851">
        <v>0.1</v>
      </c>
      <c r="F113" s="2851">
        <v>15</v>
      </c>
    </row>
    <row r="114" spans="1:6" ht="24">
      <c r="A114" s="2851">
        <v>42</v>
      </c>
      <c r="B114" s="3491"/>
      <c r="C114" s="2851" t="s">
        <v>2733</v>
      </c>
      <c r="D114" s="2825" t="s">
        <v>2734</v>
      </c>
      <c r="E114" s="2851">
        <v>0.1</v>
      </c>
      <c r="F114" s="2851">
        <v>15</v>
      </c>
    </row>
    <row r="115" spans="1:6" ht="24">
      <c r="A115" s="2851">
        <v>43</v>
      </c>
      <c r="B115" s="3491"/>
      <c r="C115" s="2851" t="s">
        <v>2735</v>
      </c>
      <c r="D115" s="2825" t="s">
        <v>2736</v>
      </c>
      <c r="E115" s="2851">
        <v>0.1</v>
      </c>
      <c r="F115" s="2851">
        <v>15</v>
      </c>
    </row>
    <row r="116" spans="1:6" ht="24">
      <c r="A116" s="2851">
        <v>44</v>
      </c>
      <c r="B116" s="3492" t="s">
        <v>2737</v>
      </c>
      <c r="C116" s="2851" t="s">
        <v>2738</v>
      </c>
      <c r="D116" s="2825" t="s">
        <v>2739</v>
      </c>
      <c r="E116" s="2851">
        <v>0.1</v>
      </c>
      <c r="F116" s="2851">
        <v>15</v>
      </c>
    </row>
    <row r="117" spans="1:6" ht="24">
      <c r="A117" s="2851">
        <v>45</v>
      </c>
      <c r="B117" s="3493"/>
      <c r="C117" s="2825" t="s">
        <v>2740</v>
      </c>
      <c r="D117" s="2825" t="s">
        <v>2741</v>
      </c>
      <c r="E117" s="2851">
        <v>0.1</v>
      </c>
      <c r="F117" s="2851">
        <v>15</v>
      </c>
    </row>
    <row r="118" spans="1:6" ht="24">
      <c r="A118" s="2851">
        <v>46</v>
      </c>
      <c r="B118" s="3492" t="s">
        <v>2742</v>
      </c>
      <c r="C118" s="2851" t="s">
        <v>2743</v>
      </c>
      <c r="D118" s="2825" t="s">
        <v>2744</v>
      </c>
      <c r="E118" s="2851">
        <v>0.1</v>
      </c>
      <c r="F118" s="2851">
        <v>15</v>
      </c>
    </row>
    <row r="119" spans="1:6" ht="24">
      <c r="A119" s="2851">
        <v>47</v>
      </c>
      <c r="B119" s="3493"/>
      <c r="C119" s="2851" t="s">
        <v>2745</v>
      </c>
      <c r="D119" s="2825" t="s">
        <v>2746</v>
      </c>
      <c r="E119" s="2851">
        <v>0.1</v>
      </c>
      <c r="F119" s="2851">
        <v>15</v>
      </c>
    </row>
    <row r="120" spans="1:6" ht="24">
      <c r="A120" s="2851">
        <v>48</v>
      </c>
      <c r="B120" s="3492" t="s">
        <v>2747</v>
      </c>
      <c r="C120" s="2851" t="s">
        <v>2748</v>
      </c>
      <c r="D120" s="2825" t="s">
        <v>2749</v>
      </c>
      <c r="E120" s="2851">
        <v>0.1</v>
      </c>
      <c r="F120" s="2851">
        <v>15</v>
      </c>
    </row>
    <row r="121" spans="1:6" ht="24">
      <c r="A121" s="2851">
        <v>49</v>
      </c>
      <c r="B121" s="3493"/>
      <c r="C121" s="2851" t="s">
        <v>2750</v>
      </c>
      <c r="D121" s="2825" t="s">
        <v>2751</v>
      </c>
      <c r="E121" s="2851">
        <v>0.1</v>
      </c>
      <c r="F121" s="2851">
        <v>15</v>
      </c>
    </row>
    <row r="122" spans="1:6" ht="24">
      <c r="A122" s="2851">
        <v>50</v>
      </c>
      <c r="B122" s="3491" t="s">
        <v>2752</v>
      </c>
      <c r="C122" s="2851" t="s">
        <v>2753</v>
      </c>
      <c r="D122" s="2825" t="s">
        <v>2754</v>
      </c>
      <c r="E122" s="2851">
        <v>0.1</v>
      </c>
      <c r="F122" s="2851">
        <v>15</v>
      </c>
    </row>
    <row r="123" spans="1:6" ht="24">
      <c r="A123" s="2851">
        <v>51</v>
      </c>
      <c r="B123" s="3491"/>
      <c r="C123" s="2851" t="s">
        <v>2755</v>
      </c>
      <c r="D123" s="2825" t="s">
        <v>2756</v>
      </c>
      <c r="E123" s="2851">
        <v>0.1</v>
      </c>
      <c r="F123" s="2851">
        <v>15</v>
      </c>
    </row>
    <row r="124" spans="1:6" ht="24">
      <c r="A124" s="2851">
        <v>52</v>
      </c>
      <c r="B124" s="3491" t="s">
        <v>2757</v>
      </c>
      <c r="C124" s="2851" t="s">
        <v>2758</v>
      </c>
      <c r="D124" s="2825" t="s">
        <v>2759</v>
      </c>
      <c r="E124" s="2851">
        <v>0.1</v>
      </c>
      <c r="F124" s="2851">
        <v>15</v>
      </c>
    </row>
    <row r="125" spans="1:6" ht="24">
      <c r="A125" s="2851">
        <v>53</v>
      </c>
      <c r="B125" s="3491"/>
      <c r="C125" s="2851" t="s">
        <v>2760</v>
      </c>
      <c r="D125" s="2825" t="s">
        <v>2761</v>
      </c>
      <c r="E125" s="2851">
        <v>0.1</v>
      </c>
      <c r="F125" s="2851">
        <v>15</v>
      </c>
    </row>
    <row r="126" spans="1:6" ht="24">
      <c r="A126" s="2851">
        <v>54</v>
      </c>
      <c r="B126" s="2851" t="s">
        <v>2762</v>
      </c>
      <c r="C126" s="2851" t="s">
        <v>2763</v>
      </c>
      <c r="D126" s="2825" t="s">
        <v>2764</v>
      </c>
      <c r="E126" s="2851">
        <v>0.1</v>
      </c>
      <c r="F126" s="2851">
        <v>15</v>
      </c>
    </row>
    <row r="127" spans="1:6" ht="24">
      <c r="A127" s="2851">
        <v>55</v>
      </c>
      <c r="B127" s="3491" t="s">
        <v>2765</v>
      </c>
      <c r="C127" s="2851" t="s">
        <v>2766</v>
      </c>
      <c r="D127" s="2825" t="s">
        <v>2767</v>
      </c>
      <c r="E127" s="2851">
        <v>0.1</v>
      </c>
      <c r="F127" s="2851">
        <v>15</v>
      </c>
    </row>
    <row r="128" spans="1:6" ht="24">
      <c r="A128" s="2851">
        <v>56</v>
      </c>
      <c r="B128" s="3491"/>
      <c r="C128" s="2851" t="s">
        <v>2768</v>
      </c>
      <c r="D128" s="2825" t="s">
        <v>2769</v>
      </c>
      <c r="E128" s="2851">
        <v>0.1</v>
      </c>
      <c r="F128" s="2851">
        <v>15</v>
      </c>
    </row>
    <row r="129" spans="1:6" ht="24">
      <c r="A129" s="2851">
        <v>57</v>
      </c>
      <c r="B129" s="3491"/>
      <c r="C129" s="2851" t="s">
        <v>2770</v>
      </c>
      <c r="D129" s="2825" t="s">
        <v>2771</v>
      </c>
      <c r="E129" s="2851">
        <v>0.1</v>
      </c>
      <c r="F129" s="2851">
        <v>15</v>
      </c>
    </row>
    <row r="130" spans="1:6" ht="24">
      <c r="A130" s="2851">
        <v>58</v>
      </c>
      <c r="B130" s="3491" t="s">
        <v>2772</v>
      </c>
      <c r="C130" s="2851" t="s">
        <v>2773</v>
      </c>
      <c r="D130" s="2825" t="s">
        <v>2774</v>
      </c>
      <c r="E130" s="2851">
        <v>0.1</v>
      </c>
      <c r="F130" s="2851">
        <v>15</v>
      </c>
    </row>
    <row r="131" spans="1:6" ht="24">
      <c r="A131" s="2851">
        <v>59</v>
      </c>
      <c r="B131" s="3491"/>
      <c r="C131" s="2851" t="s">
        <v>2775</v>
      </c>
      <c r="D131" s="2825" t="s">
        <v>2776</v>
      </c>
      <c r="E131" s="2851">
        <v>0.1</v>
      </c>
      <c r="F131" s="2851">
        <v>15</v>
      </c>
    </row>
    <row r="132" spans="1:6" ht="24">
      <c r="A132" s="2851">
        <v>60</v>
      </c>
      <c r="B132" s="3492" t="s">
        <v>2777</v>
      </c>
      <c r="C132" s="2851" t="s">
        <v>2778</v>
      </c>
      <c r="D132" s="2825" t="s">
        <v>2779</v>
      </c>
      <c r="E132" s="2851">
        <v>0.1</v>
      </c>
      <c r="F132" s="2851">
        <v>15</v>
      </c>
    </row>
    <row r="133" spans="1:6" ht="24">
      <c r="A133" s="2851">
        <v>61</v>
      </c>
      <c r="B133" s="3493"/>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24">
      <c r="A135" s="2851">
        <v>63</v>
      </c>
      <c r="B135" s="3491" t="s">
        <v>2785</v>
      </c>
      <c r="C135" s="2851" t="s">
        <v>2786</v>
      </c>
      <c r="D135" s="2825" t="s">
        <v>2787</v>
      </c>
      <c r="E135" s="2851">
        <v>0.1</v>
      </c>
      <c r="F135" s="2851">
        <v>15</v>
      </c>
    </row>
    <row r="136" spans="1:6" ht="24">
      <c r="A136" s="2851">
        <v>64</v>
      </c>
      <c r="B136" s="3491"/>
      <c r="C136" s="2851" t="s">
        <v>2788</v>
      </c>
      <c r="D136" s="2825" t="s">
        <v>2789</v>
      </c>
      <c r="E136" s="2851">
        <v>0.1</v>
      </c>
      <c r="F136" s="2851">
        <v>15</v>
      </c>
    </row>
    <row r="137" spans="1:6" ht="24">
      <c r="A137" s="2851">
        <v>65</v>
      </c>
      <c r="B137" s="2851" t="s">
        <v>2790</v>
      </c>
      <c r="C137" s="2851" t="s">
        <v>2791</v>
      </c>
      <c r="D137" s="2825" t="s">
        <v>2792</v>
      </c>
      <c r="E137" s="2851">
        <v>0.1</v>
      </c>
      <c r="F137" s="2851">
        <v>15</v>
      </c>
    </row>
    <row r="138" spans="1:6" ht="14.4">
      <c r="A138" s="2851"/>
      <c r="B138" s="2851"/>
      <c r="C138" s="2851"/>
      <c r="D138" s="2851"/>
      <c r="E138" s="2851" t="s">
        <v>2793</v>
      </c>
      <c r="F138" s="2851"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2794</v>
      </c>
      <c r="B1" s="2859"/>
      <c r="C1" s="2859"/>
      <c r="D1" s="2859"/>
      <c r="E1" s="2859"/>
      <c r="F1" s="2859"/>
      <c r="G1" s="2859"/>
      <c r="H1" s="2859"/>
      <c r="I1" s="2859"/>
      <c r="J1" s="2859"/>
      <c r="K1" s="2859"/>
      <c r="L1" s="2859"/>
      <c r="M1" s="2859"/>
      <c r="N1" s="704"/>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0</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0</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67996</v>
      </c>
      <c r="C2" s="2" t="s">
        <v>106</v>
      </c>
      <c r="D2" s="191"/>
      <c r="E2" s="191"/>
      <c r="F2" s="191"/>
      <c r="G2" s="191"/>
    </row>
    <row r="3" spans="1:7" s="192" customFormat="1" ht="18" customHeight="1" thickBot="1">
      <c r="A3" s="195" t="s">
        <v>58</v>
      </c>
      <c r="B3" s="196">
        <f ca="1">ROUND(B2*10000/'数据-汇总表'!E3,0)</f>
        <v>13551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1004</v>
      </c>
      <c r="D10" s="792">
        <f>'数据-汇总表'!E6</f>
        <v>50178.659999999996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1004</v>
      </c>
      <c r="D19" s="204">
        <f>'数据-汇总表'!E3</f>
        <v>50178.659999999996</v>
      </c>
      <c r="E19" s="203">
        <f>'数据-取费表'!B31</f>
        <v>200</v>
      </c>
      <c r="F19" s="223"/>
      <c r="G19" s="1" t="s">
        <v>436</v>
      </c>
    </row>
    <row r="20" spans="1:7" s="206" customFormat="1" ht="13.5" customHeight="1">
      <c r="A20" s="728" t="s">
        <v>419</v>
      </c>
      <c r="B20" s="202" t="s">
        <v>77</v>
      </c>
      <c r="C20" s="224">
        <f>ROUND((C5+C19)*F20,0)</f>
        <v>432</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2024</v>
      </c>
      <c r="D22" s="227">
        <f ca="1">C26</f>
        <v>8.9999999999999998E-4</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1911</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93</v>
      </c>
      <c r="D24" s="230"/>
      <c r="E24" s="230"/>
      <c r="F24" s="231"/>
      <c r="G24" s="232" t="s">
        <v>82</v>
      </c>
    </row>
    <row r="25" spans="1:7" s="206" customFormat="1" ht="24">
      <c r="A25" s="731" t="s">
        <v>348</v>
      </c>
      <c r="B25" s="207" t="s">
        <v>420</v>
      </c>
      <c r="C25" s="1039">
        <f ca="1">ROUND(IF('数据-取费表'!B22&lt;=1,C20*F22*'数据-取费表'!B23/2,C20*(POWER((1+F22),'数据-取费表'!B23/2)-1)),0)</f>
        <v>20</v>
      </c>
      <c r="D25" s="230"/>
      <c r="E25" s="233"/>
      <c r="F25" s="231"/>
      <c r="G25" s="234" t="s">
        <v>83</v>
      </c>
    </row>
    <row r="26" spans="1:7" s="206" customFormat="1">
      <c r="A26" s="731" t="s">
        <v>350</v>
      </c>
      <c r="B26" s="207" t="s">
        <v>422</v>
      </c>
      <c r="C26" s="230">
        <f ca="1">ROUND(IF('数据-取费表'!B22&lt;=1,F21*F22*'数据-取费表'!B23/2,F21*(POWER((1+F22),'数据-取费表'!B23/2)-1)),4)</f>
        <v>8.9999999999999998E-4</v>
      </c>
      <c r="D26" s="230"/>
      <c r="E26" s="233"/>
      <c r="F26" s="231"/>
      <c r="G26" s="235"/>
    </row>
    <row r="27" spans="1:7" s="206" customFormat="1" ht="26.4">
      <c r="A27" s="728" t="s">
        <v>342</v>
      </c>
      <c r="B27" s="236" t="s">
        <v>85</v>
      </c>
      <c r="C27" s="237">
        <f>C28</f>
        <v>3307</v>
      </c>
      <c r="D27" s="227">
        <f>C29</f>
        <v>3.0000000000000001E-3</v>
      </c>
      <c r="E27" s="228" t="s">
        <v>99</v>
      </c>
      <c r="F27" s="238">
        <f>'数据-取费表'!Q16</f>
        <v>0.15</v>
      </c>
      <c r="G27" s="239" t="s">
        <v>431</v>
      </c>
    </row>
    <row r="28" spans="1:7" s="206" customFormat="1" ht="13.5" customHeight="1">
      <c r="A28" s="731" t="s">
        <v>349</v>
      </c>
      <c r="B28" s="240" t="s">
        <v>424</v>
      </c>
      <c r="C28" s="241">
        <f>ROUND((C5+C19+C20)*F27*'数据-取费表'!B21/'数据-取费表'!B20,0)</f>
        <v>3307</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29668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30534</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27598</v>
      </c>
      <c r="D34" s="209"/>
      <c r="E34" s="212"/>
      <c r="F34" s="249">
        <f>IF('数据-取费表'!B24=0,1,'数据-取费表'!N16)</f>
        <v>1</v>
      </c>
      <c r="G34" s="211" t="s">
        <v>89</v>
      </c>
    </row>
    <row r="35" spans="1:7" ht="13.5" customHeight="1">
      <c r="A35" s="731" t="s">
        <v>351</v>
      </c>
      <c r="B35" s="207" t="s">
        <v>33</v>
      </c>
      <c r="C35" s="212">
        <f>ROUND(C34*F35,0)</f>
        <v>1380</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1004</v>
      </c>
      <c r="D37" s="209">
        <f>'数据-汇总表'!E3</f>
        <v>50178.659999999996</v>
      </c>
      <c r="E37" s="241">
        <f>'数据-取费表'!B35</f>
        <v>200</v>
      </c>
      <c r="F37" s="251"/>
      <c r="G37" s="253" t="s">
        <v>92</v>
      </c>
    </row>
    <row r="38" spans="1:7" ht="13.5" customHeight="1">
      <c r="A38" s="731" t="s">
        <v>354</v>
      </c>
      <c r="B38" s="207" t="s">
        <v>36</v>
      </c>
      <c r="C38" s="212">
        <f>ROUND(C34*F38,0)</f>
        <v>552</v>
      </c>
      <c r="D38" s="212"/>
      <c r="E38" s="212"/>
      <c r="F38" s="251">
        <f>'数据-取费表'!B36</f>
        <v>0.02</v>
      </c>
      <c r="G38" s="211" t="s">
        <v>90</v>
      </c>
    </row>
    <row r="39" spans="1:7" s="206" customFormat="1" ht="13.5" customHeight="1">
      <c r="A39" s="728" t="s">
        <v>338</v>
      </c>
      <c r="B39" s="202" t="s">
        <v>77</v>
      </c>
      <c r="C39" s="224">
        <f>ROUND(C33*F20,0)</f>
        <v>611</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1412</v>
      </c>
      <c r="D41" s="227">
        <f ca="1">C44</f>
        <v>8.9999999999999998E-4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1384</v>
      </c>
      <c r="D42" s="230"/>
      <c r="E42" s="230"/>
      <c r="F42" s="231"/>
      <c r="G42" s="3367" t="s">
        <v>94</v>
      </c>
    </row>
    <row r="43" spans="1:7" ht="13.5" customHeight="1">
      <c r="A43" s="731" t="s">
        <v>347</v>
      </c>
      <c r="B43" s="207" t="s">
        <v>426</v>
      </c>
      <c r="C43" s="230">
        <f ca="1">ROUND(IF('数据-取费表'!B22&lt;=1,C39*F22*'数据-取费表'!B21/2,C39*(POWER((1+F22),'数据-取费表'!B21/2)-1)),0)</f>
        <v>28</v>
      </c>
      <c r="D43" s="230"/>
      <c r="E43" s="230"/>
      <c r="F43" s="231"/>
      <c r="G43" s="3368"/>
    </row>
    <row r="44" spans="1:7" ht="13.5" customHeight="1">
      <c r="A44" s="731" t="s">
        <v>348</v>
      </c>
      <c r="B44" s="207" t="s">
        <v>428</v>
      </c>
      <c r="C44" s="230">
        <f ca="1">ROUND(IF('数据-取费表'!B22&lt;=1,C40*F22*'数据-取费表'!B21/2,C40*(POWER((1+F22),'数据-取费表'!B21/2)-1)),4)</f>
        <v>8.9999999999999998E-4</v>
      </c>
      <c r="D44" s="230"/>
      <c r="E44" s="230"/>
      <c r="F44" s="231"/>
      <c r="G44" s="3369"/>
    </row>
    <row r="45" spans="1:7" s="206" customFormat="1" ht="13.5" customHeight="1">
      <c r="A45" s="728" t="s">
        <v>341</v>
      </c>
      <c r="B45" s="236" t="s">
        <v>85</v>
      </c>
      <c r="C45" s="237">
        <f>C46</f>
        <v>4672</v>
      </c>
      <c r="D45" s="227">
        <f>C47</f>
        <v>3.0000000000000001E-3</v>
      </c>
      <c r="E45" s="228" t="s">
        <v>102</v>
      </c>
      <c r="F45" s="238"/>
      <c r="G45" s="239" t="s">
        <v>434</v>
      </c>
    </row>
    <row r="46" spans="1:7" s="206" customFormat="1" ht="13.5" customHeight="1">
      <c r="A46" s="731" t="s">
        <v>349</v>
      </c>
      <c r="B46" s="240" t="s">
        <v>427</v>
      </c>
      <c r="C46" s="241">
        <f>ROUND((C33+C39)*F27,0)</f>
        <v>4672</v>
      </c>
      <c r="D46" s="255"/>
      <c r="E46" s="228"/>
      <c r="F46" s="238"/>
      <c r="G46" s="239"/>
    </row>
    <row r="47" spans="1:7" s="206" customFormat="1" ht="13.5" customHeight="1">
      <c r="A47" s="731" t="s">
        <v>347</v>
      </c>
      <c r="B47" s="240" t="s">
        <v>429</v>
      </c>
      <c r="C47" s="230">
        <f>ROUND(C40*F27,4)</f>
        <v>3.0000000000000001E-3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40345</v>
      </c>
      <c r="D49" s="224"/>
      <c r="E49" s="224"/>
      <c r="F49" s="256"/>
      <c r="G49" s="226" t="s">
        <v>435</v>
      </c>
    </row>
    <row r="50" spans="1:7" s="250" customFormat="1" ht="24">
      <c r="A50" s="728" t="s">
        <v>344</v>
      </c>
      <c r="B50" s="202" t="s">
        <v>97</v>
      </c>
      <c r="C50" s="224"/>
      <c r="D50" s="224"/>
      <c r="E50" s="224"/>
      <c r="F50" s="256">
        <f>IF('数据-取费表'!B24=0,'数据-取费表'!N16,1)</f>
        <v>0.95</v>
      </c>
      <c r="G50" s="239" t="s">
        <v>98</v>
      </c>
    </row>
    <row r="51" spans="1:7" ht="16.5" customHeight="1">
      <c r="A51" s="728" t="s">
        <v>345</v>
      </c>
      <c r="B51" s="202" t="s">
        <v>105</v>
      </c>
      <c r="C51" s="224">
        <f ca="1">ROUND(C49*F50,0)</f>
        <v>38328</v>
      </c>
      <c r="D51" s="224"/>
      <c r="E51" s="224"/>
      <c r="F51" s="256"/>
      <c r="G51" s="226" t="s">
        <v>37</v>
      </c>
    </row>
    <row r="52" spans="1:7" s="200" customFormat="1" ht="16.8" thickBot="1">
      <c r="A52" s="257" t="s">
        <v>38</v>
      </c>
      <c r="B52" s="258"/>
      <c r="C52" s="259">
        <f ca="1">C31+C51</f>
        <v>67996</v>
      </c>
      <c r="D52" s="258"/>
      <c r="E52" s="258"/>
      <c r="F52" s="258"/>
      <c r="G52" s="260"/>
    </row>
    <row r="55" spans="1:7" ht="15">
      <c r="B55" s="262" t="s">
        <v>39</v>
      </c>
      <c r="C55" s="263"/>
    </row>
    <row r="56" spans="1:7">
      <c r="B56" s="265" t="s">
        <v>40</v>
      </c>
      <c r="C56" s="266">
        <f ca="1">ROUND(C51/C52,3)</f>
        <v>0.56399999999999995</v>
      </c>
    </row>
    <row r="57" spans="1:7">
      <c r="B57" s="265" t="s">
        <v>41</v>
      </c>
      <c r="C57" s="267">
        <f ca="1">1-C56</f>
        <v>0.43600000000000005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3" t="s">
        <v>3177</v>
      </c>
      <c r="B1" s="3503"/>
    </row>
    <row r="2" spans="1:7" ht="15" thickBot="1">
      <c r="A2" s="2962"/>
      <c r="B2" s="2962"/>
    </row>
    <row r="3" spans="1:7" ht="15" thickBot="1">
      <c r="A3" s="2962"/>
      <c r="B3" s="2962"/>
      <c r="C3" s="2963" t="s">
        <v>2807</v>
      </c>
      <c r="D3" s="2963" t="s">
        <v>2863</v>
      </c>
      <c r="E3" s="2963" t="s">
        <v>2809</v>
      </c>
      <c r="F3" s="2963" t="s">
        <v>2864</v>
      </c>
      <c r="G3" s="2963" t="s">
        <v>2627</v>
      </c>
    </row>
    <row r="4" spans="1:7" ht="15" thickBot="1">
      <c r="A4" s="2964" t="s">
        <v>2862</v>
      </c>
      <c r="B4" s="2965" t="s">
        <v>2868</v>
      </c>
      <c r="C4" s="2963"/>
      <c r="D4" s="2963"/>
      <c r="E4" s="2963"/>
      <c r="F4" s="2963"/>
      <c r="G4" s="2963"/>
    </row>
    <row r="5" spans="1:7">
      <c r="A5" s="2966" t="s">
        <v>2836</v>
      </c>
      <c r="B5" s="2967" t="s">
        <v>2850</v>
      </c>
      <c r="C5" s="2968">
        <v>9.8000000000000004E-2</v>
      </c>
      <c r="D5" s="2968">
        <v>8.6999999999999994E-2</v>
      </c>
      <c r="E5" s="2968">
        <v>8.6999999999999994E-2</v>
      </c>
      <c r="F5" s="2968">
        <v>9.8000000000000004E-2</v>
      </c>
      <c r="G5" s="2969">
        <v>9.5000000000000001E-2</v>
      </c>
    </row>
    <row r="6" spans="1:7">
      <c r="A6" s="2970" t="s">
        <v>144</v>
      </c>
      <c r="B6" s="2971" t="s">
        <v>2865</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2851</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2901</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2919</v>
      </c>
      <c r="C29" s="2980"/>
      <c r="D29" s="2976">
        <v>5.1999999999999998E-2</v>
      </c>
      <c r="E29" s="2976">
        <v>7.0000000000000007E-2</v>
      </c>
      <c r="F29" s="2980"/>
      <c r="G29" s="2978">
        <v>7.0999999999999994E-2</v>
      </c>
    </row>
    <row r="30" spans="1:7">
      <c r="A30" s="2981" t="s">
        <v>296</v>
      </c>
      <c r="B30" s="2967" t="s">
        <v>2852</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2838</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2922</v>
      </c>
      <c r="C50" s="2972">
        <v>9.8000000000000004E-2</v>
      </c>
      <c r="D50" s="2972">
        <v>7.2999999999999995E-2</v>
      </c>
      <c r="E50" s="2972">
        <v>7.0999999999999994E-2</v>
      </c>
      <c r="F50" s="2983"/>
      <c r="G50" s="2973">
        <v>7.2999999999999995E-2</v>
      </c>
    </row>
    <row r="51" spans="1:7">
      <c r="A51" s="2982" t="s">
        <v>296</v>
      </c>
      <c r="B51" s="2971" t="s">
        <v>2924</v>
      </c>
      <c r="C51" s="2972">
        <v>9.9000000000000005E-2</v>
      </c>
      <c r="D51" s="2972">
        <v>8.5000000000000006E-2</v>
      </c>
      <c r="E51" s="2972">
        <v>6.3E-2</v>
      </c>
      <c r="F51" s="2983"/>
      <c r="G51" s="2973">
        <v>9.6000000000000002E-2</v>
      </c>
    </row>
    <row r="52" spans="1:7">
      <c r="A52" s="2982" t="s">
        <v>296</v>
      </c>
      <c r="B52" s="2971" t="s">
        <v>2928</v>
      </c>
      <c r="C52" s="2972">
        <v>7.3999999999999996E-2</v>
      </c>
      <c r="D52" s="2972">
        <v>9.6000000000000002E-2</v>
      </c>
      <c r="E52" s="2972">
        <v>0.05</v>
      </c>
      <c r="F52" s="2983"/>
      <c r="G52" s="2973">
        <v>9.8000000000000004E-2</v>
      </c>
    </row>
    <row r="53" spans="1:7">
      <c r="A53" s="2982" t="s">
        <v>296</v>
      </c>
      <c r="B53" s="2971" t="s">
        <v>2933</v>
      </c>
      <c r="C53" s="2972">
        <v>8.5999999999999993E-2</v>
      </c>
      <c r="D53" s="2983"/>
      <c r="E53" s="2972">
        <v>9.1999999999999998E-2</v>
      </c>
      <c r="F53" s="2983"/>
      <c r="G53" s="2984"/>
    </row>
    <row r="54" spans="1:7" ht="15" thickBot="1">
      <c r="A54" s="2985" t="s">
        <v>296</v>
      </c>
      <c r="B54" s="2975" t="s">
        <v>2936</v>
      </c>
      <c r="C54" s="2976">
        <v>9.6000000000000002E-2</v>
      </c>
      <c r="D54" s="2977"/>
      <c r="E54" s="2986"/>
      <c r="F54" s="2977"/>
      <c r="G54" s="2987"/>
    </row>
    <row r="55" spans="1:7">
      <c r="A55" s="2981" t="s">
        <v>110</v>
      </c>
      <c r="B55" s="2967" t="s">
        <v>2853</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2934</v>
      </c>
      <c r="C78" s="2972">
        <v>0.1</v>
      </c>
      <c r="D78" s="2972">
        <v>8.5000000000000006E-2</v>
      </c>
      <c r="E78" s="2972">
        <v>9.6000000000000002E-2</v>
      </c>
      <c r="F78" s="2983"/>
      <c r="G78" s="2973">
        <v>9.6000000000000002E-2</v>
      </c>
    </row>
    <row r="79" spans="1:7">
      <c r="A79" s="2982" t="s">
        <v>110</v>
      </c>
      <c r="B79" s="2971" t="s">
        <v>2937</v>
      </c>
      <c r="C79" s="2972">
        <v>0.05</v>
      </c>
      <c r="D79" s="2972">
        <v>9.6000000000000002E-2</v>
      </c>
      <c r="E79" s="2972">
        <v>9.5000000000000001E-2</v>
      </c>
      <c r="F79" s="2983"/>
      <c r="G79" s="2973">
        <v>9.8000000000000004E-2</v>
      </c>
    </row>
    <row r="80" spans="1:7">
      <c r="A80" s="2982" t="s">
        <v>110</v>
      </c>
      <c r="B80" s="2971" t="s">
        <v>2941</v>
      </c>
      <c r="C80" s="2972">
        <v>8.5999999999999993E-2</v>
      </c>
      <c r="D80" s="2988"/>
      <c r="E80" s="2972">
        <v>0.1</v>
      </c>
      <c r="F80" s="2983"/>
      <c r="G80" s="2984"/>
    </row>
    <row r="81" spans="1:7">
      <c r="A81" s="2982" t="s">
        <v>110</v>
      </c>
      <c r="B81" s="2971" t="s">
        <v>2946</v>
      </c>
      <c r="C81" s="2972">
        <v>9.6000000000000002E-2</v>
      </c>
      <c r="D81" s="2983"/>
      <c r="E81" s="2972">
        <v>9.8000000000000004E-2</v>
      </c>
      <c r="F81" s="2983"/>
      <c r="G81" s="2984"/>
    </row>
    <row r="82" spans="1:7">
      <c r="A82" s="2982" t="s">
        <v>110</v>
      </c>
      <c r="B82" s="2971" t="s">
        <v>2953</v>
      </c>
      <c r="C82" s="2988"/>
      <c r="D82" s="2983"/>
      <c r="E82" s="2972">
        <v>7.6999999999999999E-2</v>
      </c>
      <c r="F82" s="2983"/>
      <c r="G82" s="2984"/>
    </row>
    <row r="83" spans="1:7">
      <c r="A83" s="2982" t="s">
        <v>110</v>
      </c>
      <c r="B83" s="2971" t="s">
        <v>2959</v>
      </c>
      <c r="C83" s="2983"/>
      <c r="D83" s="2983"/>
      <c r="E83" s="2983"/>
      <c r="F83" s="2972">
        <v>0.1</v>
      </c>
      <c r="G83" s="2989"/>
    </row>
    <row r="84" spans="1:7">
      <c r="A84" s="2982" t="s">
        <v>110</v>
      </c>
      <c r="B84" s="2971" t="s">
        <v>2966</v>
      </c>
      <c r="C84" s="2983"/>
      <c r="D84" s="2983"/>
      <c r="E84" s="2983"/>
      <c r="F84" s="2972">
        <v>0.1</v>
      </c>
      <c r="G84" s="2989"/>
    </row>
    <row r="85" spans="1:7">
      <c r="A85" s="2982" t="s">
        <v>110</v>
      </c>
      <c r="B85" s="2971" t="s">
        <v>2973</v>
      </c>
      <c r="C85" s="2983"/>
      <c r="D85" s="2983"/>
      <c r="E85" s="2983"/>
      <c r="F85" s="2972">
        <v>0.1</v>
      </c>
      <c r="G85" s="2989"/>
    </row>
    <row r="86" spans="1:7" ht="15" thickBot="1">
      <c r="A86" s="2985" t="s">
        <v>110</v>
      </c>
      <c r="B86" s="2975" t="s">
        <v>2978</v>
      </c>
      <c r="C86" s="2976">
        <v>9.8000000000000004E-2</v>
      </c>
      <c r="D86" s="2976">
        <v>9.8000000000000004E-2</v>
      </c>
      <c r="E86" s="2976">
        <v>9.6000000000000002E-2</v>
      </c>
      <c r="F86" s="2986"/>
      <c r="G86" s="2978">
        <v>0.1</v>
      </c>
    </row>
    <row r="87" spans="1:7">
      <c r="A87" s="2981" t="s">
        <v>303</v>
      </c>
      <c r="B87" s="2967" t="s">
        <v>2854</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2947</v>
      </c>
      <c r="C113" s="2972">
        <v>0.1</v>
      </c>
      <c r="D113" s="2972">
        <v>0.1</v>
      </c>
      <c r="E113" s="2983"/>
      <c r="F113" s="2983"/>
      <c r="G113" s="2973">
        <v>0.1</v>
      </c>
    </row>
    <row r="114" spans="1:7">
      <c r="A114" s="2982" t="s">
        <v>303</v>
      </c>
      <c r="B114" s="2971" t="s">
        <v>2954</v>
      </c>
      <c r="C114" s="2972">
        <v>9.7000000000000003E-2</v>
      </c>
      <c r="D114" s="2972">
        <v>9.7000000000000003E-2</v>
      </c>
      <c r="E114" s="2983"/>
      <c r="F114" s="2983"/>
      <c r="G114" s="2973">
        <v>9.9000000000000005E-2</v>
      </c>
    </row>
    <row r="115" spans="1:7">
      <c r="A115" s="2982" t="s">
        <v>303</v>
      </c>
      <c r="B115" s="2971" t="s">
        <v>2960</v>
      </c>
      <c r="C115" s="2972">
        <v>0.1</v>
      </c>
      <c r="D115" s="2972">
        <v>0.1</v>
      </c>
      <c r="E115" s="2983"/>
      <c r="F115" s="2983"/>
      <c r="G115" s="2973">
        <v>0.1</v>
      </c>
    </row>
    <row r="116" spans="1:7">
      <c r="A116" s="2982" t="s">
        <v>303</v>
      </c>
      <c r="B116" s="2971" t="s">
        <v>2967</v>
      </c>
      <c r="C116" s="2972">
        <v>0.1</v>
      </c>
      <c r="D116" s="2972">
        <v>0.1</v>
      </c>
      <c r="E116" s="2983"/>
      <c r="F116" s="2983"/>
      <c r="G116" s="2973">
        <v>0.1</v>
      </c>
    </row>
    <row r="117" spans="1:7">
      <c r="A117" s="2982" t="s">
        <v>303</v>
      </c>
      <c r="B117" s="2971" t="s">
        <v>2974</v>
      </c>
      <c r="C117" s="2972">
        <v>9.7000000000000003E-2</v>
      </c>
      <c r="D117" s="2972">
        <v>9.7000000000000003E-2</v>
      </c>
      <c r="E117" s="2983"/>
      <c r="F117" s="2983"/>
      <c r="G117" s="2973">
        <v>9.7000000000000003E-2</v>
      </c>
    </row>
    <row r="118" spans="1:7">
      <c r="A118" s="2982" t="s">
        <v>303</v>
      </c>
      <c r="B118" s="2971" t="s">
        <v>2979</v>
      </c>
      <c r="C118" s="2972">
        <v>0.1</v>
      </c>
      <c r="D118" s="2972">
        <v>0.1</v>
      </c>
      <c r="E118" s="2983"/>
      <c r="F118" s="2983"/>
      <c r="G118" s="2973">
        <v>0.1</v>
      </c>
    </row>
    <row r="119" spans="1:7">
      <c r="A119" s="2982" t="s">
        <v>303</v>
      </c>
      <c r="B119" s="2971" t="s">
        <v>2983</v>
      </c>
      <c r="C119" s="2972">
        <v>5.0999999999999997E-2</v>
      </c>
      <c r="D119" s="2972">
        <v>5.1999999999999998E-2</v>
      </c>
      <c r="E119" s="2983"/>
      <c r="F119" s="2988"/>
      <c r="G119" s="2973">
        <v>0.06</v>
      </c>
    </row>
    <row r="120" spans="1:7">
      <c r="A120" s="2982" t="s">
        <v>303</v>
      </c>
      <c r="B120" s="2971" t="s">
        <v>2987</v>
      </c>
      <c r="C120" s="2983"/>
      <c r="D120" s="2983"/>
      <c r="E120" s="2983"/>
      <c r="F120" s="2972">
        <v>0.1</v>
      </c>
      <c r="G120" s="2989"/>
    </row>
    <row r="121" spans="1:7">
      <c r="A121" s="2982" t="s">
        <v>303</v>
      </c>
      <c r="B121" s="2971" t="s">
        <v>2992</v>
      </c>
      <c r="C121" s="2983"/>
      <c r="D121" s="2983"/>
      <c r="E121" s="2983"/>
      <c r="F121" s="2972">
        <v>0.1</v>
      </c>
      <c r="G121" s="2989"/>
    </row>
    <row r="122" spans="1:7">
      <c r="A122" s="2982" t="s">
        <v>303</v>
      </c>
      <c r="B122" s="2971" t="s">
        <v>2997</v>
      </c>
      <c r="C122" s="2972">
        <v>0.1</v>
      </c>
      <c r="D122" s="2972">
        <v>0.1</v>
      </c>
      <c r="E122" s="2972">
        <v>9.8000000000000004E-2</v>
      </c>
      <c r="F122" s="2972">
        <v>0.1</v>
      </c>
      <c r="G122" s="2973">
        <v>0.1</v>
      </c>
    </row>
    <row r="123" spans="1:7">
      <c r="A123" s="2982" t="s">
        <v>303</v>
      </c>
      <c r="B123" s="2971" t="s">
        <v>3002</v>
      </c>
      <c r="C123" s="2972">
        <v>0.1</v>
      </c>
      <c r="D123" s="2972">
        <v>0.1</v>
      </c>
      <c r="E123" s="2972">
        <v>9.8000000000000004E-2</v>
      </c>
      <c r="F123" s="2972">
        <v>0.1</v>
      </c>
      <c r="G123" s="2973">
        <v>0.1</v>
      </c>
    </row>
    <row r="124" spans="1:7">
      <c r="A124" s="2982" t="s">
        <v>303</v>
      </c>
      <c r="B124" s="2971" t="s">
        <v>3007</v>
      </c>
      <c r="C124" s="2972">
        <v>0.1</v>
      </c>
      <c r="D124" s="2972">
        <v>0.1</v>
      </c>
      <c r="E124" s="2972">
        <v>9.8000000000000004E-2</v>
      </c>
      <c r="F124" s="2988"/>
      <c r="G124" s="2973">
        <v>0.1</v>
      </c>
    </row>
    <row r="125" spans="1:7">
      <c r="A125" s="2982" t="s">
        <v>303</v>
      </c>
      <c r="B125" s="2971" t="s">
        <v>3012</v>
      </c>
      <c r="C125" s="2972">
        <v>9.8000000000000004E-2</v>
      </c>
      <c r="D125" s="2972">
        <v>9.8000000000000004E-2</v>
      </c>
      <c r="E125" s="2972">
        <v>9.6000000000000002E-2</v>
      </c>
      <c r="F125" s="2988"/>
      <c r="G125" s="2973">
        <v>0.1</v>
      </c>
    </row>
    <row r="126" spans="1:7" ht="15" thickBot="1">
      <c r="A126" s="2985" t="s">
        <v>303</v>
      </c>
      <c r="B126" s="2975" t="s">
        <v>3178</v>
      </c>
      <c r="C126" s="2976">
        <v>0.1</v>
      </c>
      <c r="D126" s="2976">
        <v>0.1</v>
      </c>
      <c r="E126" s="2976">
        <v>9.8000000000000004E-2</v>
      </c>
      <c r="F126" s="2976">
        <v>0.1</v>
      </c>
      <c r="G126" s="2978">
        <v>0.1</v>
      </c>
    </row>
    <row r="127" spans="1:7">
      <c r="A127" s="2981" t="s">
        <v>29</v>
      </c>
      <c r="B127" s="2967" t="s">
        <v>2855</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2925</v>
      </c>
      <c r="C148" s="2972">
        <v>0.13</v>
      </c>
      <c r="D148" s="2972">
        <v>0.13</v>
      </c>
      <c r="E148" s="2972">
        <v>0.13</v>
      </c>
      <c r="F148" s="2983"/>
      <c r="G148" s="2973">
        <v>0.13</v>
      </c>
    </row>
    <row r="149" spans="1:7">
      <c r="A149" s="2982" t="s">
        <v>29</v>
      </c>
      <c r="B149" s="2971" t="s">
        <v>2929</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2948</v>
      </c>
      <c r="C153" s="2972">
        <v>0.13</v>
      </c>
      <c r="D153" s="2972">
        <v>0.13</v>
      </c>
      <c r="E153" s="2972">
        <v>0.13</v>
      </c>
      <c r="F153" s="2972">
        <v>0.13</v>
      </c>
      <c r="G153" s="2973">
        <v>0.13</v>
      </c>
    </row>
    <row r="154" spans="1:7">
      <c r="A154" s="2982" t="s">
        <v>29</v>
      </c>
      <c r="B154" s="2971" t="s">
        <v>2955</v>
      </c>
      <c r="C154" s="2972">
        <v>0.121</v>
      </c>
      <c r="D154" s="2972">
        <v>0.121</v>
      </c>
      <c r="E154" s="2972">
        <v>0.105</v>
      </c>
      <c r="F154" s="2972">
        <v>0.121</v>
      </c>
      <c r="G154" s="2973">
        <v>0.123</v>
      </c>
    </row>
    <row r="155" spans="1:7">
      <c r="A155" s="2982" t="s">
        <v>29</v>
      </c>
      <c r="B155" s="2971" t="s">
        <v>2961</v>
      </c>
      <c r="C155" s="2972">
        <v>0.1</v>
      </c>
      <c r="D155" s="2972">
        <v>0.1</v>
      </c>
      <c r="E155" s="2972">
        <v>0.1</v>
      </c>
      <c r="F155" s="2972">
        <v>0.1</v>
      </c>
      <c r="G155" s="2973">
        <v>0.1</v>
      </c>
    </row>
    <row r="156" spans="1:7">
      <c r="A156" s="2982" t="s">
        <v>29</v>
      </c>
      <c r="B156" s="2971" t="s">
        <v>2968</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2988</v>
      </c>
      <c r="C160" s="2972">
        <v>0.13</v>
      </c>
      <c r="D160" s="2972">
        <v>0.13</v>
      </c>
      <c r="E160" s="2972">
        <v>0.124</v>
      </c>
      <c r="F160" s="2972">
        <v>0.126</v>
      </c>
      <c r="G160" s="2973">
        <v>0.13</v>
      </c>
    </row>
    <row r="161" spans="1:7">
      <c r="A161" s="2982" t="s">
        <v>29</v>
      </c>
      <c r="B161" s="2971" t="s">
        <v>2993</v>
      </c>
      <c r="C161" s="2972">
        <v>0.13</v>
      </c>
      <c r="D161" s="2972">
        <v>0.13</v>
      </c>
      <c r="E161" s="2972">
        <v>0.124</v>
      </c>
      <c r="F161" s="2972">
        <v>0.127</v>
      </c>
      <c r="G161" s="2973">
        <v>0.13</v>
      </c>
    </row>
    <row r="162" spans="1:7">
      <c r="A162" s="2982" t="s">
        <v>29</v>
      </c>
      <c r="B162" s="2971" t="s">
        <v>2998</v>
      </c>
      <c r="C162" s="2972">
        <v>0.1</v>
      </c>
      <c r="D162" s="2972">
        <v>0.1</v>
      </c>
      <c r="E162" s="2972">
        <v>0.1</v>
      </c>
      <c r="F162" s="2972">
        <v>0.121</v>
      </c>
      <c r="G162" s="2973">
        <v>0.105</v>
      </c>
    </row>
    <row r="163" spans="1:7">
      <c r="A163" s="2982" t="s">
        <v>29</v>
      </c>
      <c r="B163" s="2971" t="s">
        <v>3003</v>
      </c>
      <c r="C163" s="2972">
        <v>0.1</v>
      </c>
      <c r="D163" s="2972">
        <v>0.1</v>
      </c>
      <c r="E163" s="2972">
        <v>0.1</v>
      </c>
      <c r="F163" s="2972">
        <v>0.1</v>
      </c>
      <c r="G163" s="2973">
        <v>0.1</v>
      </c>
    </row>
    <row r="164" spans="1:7">
      <c r="A164" s="2982" t="s">
        <v>29</v>
      </c>
      <c r="B164" s="2971" t="s">
        <v>3008</v>
      </c>
      <c r="C164" s="2988"/>
      <c r="D164" s="2988"/>
      <c r="E164" s="2988"/>
      <c r="F164" s="2972">
        <v>0.1</v>
      </c>
      <c r="G164" s="2984"/>
    </row>
    <row r="165" spans="1:7">
      <c r="A165" s="2982" t="s">
        <v>29</v>
      </c>
      <c r="B165" s="2971" t="s">
        <v>3179</v>
      </c>
      <c r="C165" s="2972">
        <v>0.126</v>
      </c>
      <c r="D165" s="2972">
        <v>0.126</v>
      </c>
      <c r="E165" s="2972">
        <v>0.11899999999999999</v>
      </c>
      <c r="F165" s="2972">
        <v>0.13</v>
      </c>
      <c r="G165" s="2973">
        <v>0.128</v>
      </c>
    </row>
    <row r="166" spans="1:7">
      <c r="A166" s="2982" t="s">
        <v>29</v>
      </c>
      <c r="B166" s="2971" t="s">
        <v>3018</v>
      </c>
      <c r="C166" s="2972">
        <v>0.129</v>
      </c>
      <c r="D166" s="2972">
        <v>0.129</v>
      </c>
      <c r="E166" s="2972">
        <v>0.123</v>
      </c>
      <c r="F166" s="2972">
        <v>0.128</v>
      </c>
      <c r="G166" s="2973">
        <v>0.13</v>
      </c>
    </row>
    <row r="167" spans="1:7">
      <c r="A167" s="2982" t="s">
        <v>29</v>
      </c>
      <c r="B167" s="2971" t="s">
        <v>3022</v>
      </c>
      <c r="C167" s="2972">
        <v>0.125</v>
      </c>
      <c r="D167" s="2972">
        <v>0.125</v>
      </c>
      <c r="E167" s="2972">
        <v>0.11700000000000001</v>
      </c>
      <c r="F167" s="2972">
        <v>0.13</v>
      </c>
      <c r="G167" s="2973">
        <v>0.126</v>
      </c>
    </row>
    <row r="168" spans="1:7">
      <c r="A168" s="2982" t="s">
        <v>29</v>
      </c>
      <c r="B168" s="2971" t="s">
        <v>3027</v>
      </c>
      <c r="C168" s="2972">
        <v>0.128</v>
      </c>
      <c r="D168" s="2972">
        <v>0.128</v>
      </c>
      <c r="E168" s="2972">
        <v>0.123</v>
      </c>
      <c r="F168" s="2983"/>
      <c r="G168" s="2973">
        <v>0.13</v>
      </c>
    </row>
    <row r="169" spans="1:7">
      <c r="A169" s="2982" t="s">
        <v>29</v>
      </c>
      <c r="B169" s="2971" t="s">
        <v>3180</v>
      </c>
      <c r="C169" s="2988"/>
      <c r="D169" s="2988"/>
      <c r="E169" s="2988"/>
      <c r="F169" s="2972">
        <v>0.05</v>
      </c>
      <c r="G169" s="2984"/>
    </row>
    <row r="170" spans="1:7">
      <c r="A170" s="2982" t="s">
        <v>29</v>
      </c>
      <c r="B170" s="2971" t="s">
        <v>3181</v>
      </c>
      <c r="C170" s="2988"/>
      <c r="D170" s="2988"/>
      <c r="E170" s="2988"/>
      <c r="F170" s="2972">
        <v>0.05</v>
      </c>
      <c r="G170" s="2984"/>
    </row>
    <row r="171" spans="1:7">
      <c r="A171" s="2982" t="s">
        <v>29</v>
      </c>
      <c r="B171" s="2971" t="s">
        <v>3182</v>
      </c>
      <c r="C171" s="2988"/>
      <c r="D171" s="2988"/>
      <c r="E171" s="2988"/>
      <c r="F171" s="2972">
        <v>0.05</v>
      </c>
      <c r="G171" s="2989"/>
    </row>
    <row r="172" spans="1:7">
      <c r="A172" s="2982" t="s">
        <v>29</v>
      </c>
      <c r="B172" s="2971" t="s">
        <v>3183</v>
      </c>
      <c r="C172" s="2988"/>
      <c r="D172" s="2988"/>
      <c r="E172" s="2988"/>
      <c r="F172" s="2972">
        <v>0.05</v>
      </c>
      <c r="G172" s="2989"/>
    </row>
    <row r="173" spans="1:7">
      <c r="A173" s="2982" t="s">
        <v>29</v>
      </c>
      <c r="B173" s="2971" t="s">
        <v>3184</v>
      </c>
      <c r="C173" s="2988"/>
      <c r="D173" s="2988"/>
      <c r="E173" s="2988"/>
      <c r="F173" s="2972">
        <v>0.05</v>
      </c>
      <c r="G173" s="2984"/>
    </row>
    <row r="174" spans="1:7">
      <c r="A174" s="2982" t="s">
        <v>29</v>
      </c>
      <c r="B174" s="2971" t="s">
        <v>3185</v>
      </c>
      <c r="C174" s="2988"/>
      <c r="D174" s="2988"/>
      <c r="E174" s="2988"/>
      <c r="F174" s="2972">
        <v>0.05</v>
      </c>
      <c r="G174" s="2984"/>
    </row>
    <row r="175" spans="1:7">
      <c r="A175" s="2982" t="s">
        <v>29</v>
      </c>
      <c r="B175" s="2971" t="s">
        <v>3186</v>
      </c>
      <c r="C175" s="2988"/>
      <c r="D175" s="2988"/>
      <c r="E175" s="2988"/>
      <c r="F175" s="2972">
        <v>0.05</v>
      </c>
      <c r="G175" s="2984"/>
    </row>
    <row r="176" spans="1:7">
      <c r="A176" s="2982" t="s">
        <v>29</v>
      </c>
      <c r="B176" s="2971" t="s">
        <v>3187</v>
      </c>
      <c r="C176" s="2988"/>
      <c r="D176" s="2988"/>
      <c r="E176" s="2988"/>
      <c r="F176" s="2972">
        <v>0.05</v>
      </c>
      <c r="G176" s="2984"/>
    </row>
    <row r="177" spans="1:7">
      <c r="A177" s="2982" t="s">
        <v>29</v>
      </c>
      <c r="B177" s="2971" t="s">
        <v>3188</v>
      </c>
      <c r="C177" s="2983"/>
      <c r="D177" s="2983"/>
      <c r="E177" s="2983"/>
      <c r="F177" s="2972">
        <v>0.05</v>
      </c>
      <c r="G177" s="2989"/>
    </row>
    <row r="178" spans="1:7">
      <c r="A178" s="2982" t="s">
        <v>29</v>
      </c>
      <c r="B178" s="2971" t="s">
        <v>3189</v>
      </c>
      <c r="C178" s="2983"/>
      <c r="D178" s="2983"/>
      <c r="E178" s="2983"/>
      <c r="F178" s="2972">
        <v>0.05</v>
      </c>
      <c r="G178" s="2989"/>
    </row>
    <row r="179" spans="1:7">
      <c r="A179" s="2982" t="s">
        <v>29</v>
      </c>
      <c r="B179" s="2971" t="s">
        <v>3190</v>
      </c>
      <c r="C179" s="2983"/>
      <c r="D179" s="2983"/>
      <c r="E179" s="2983"/>
      <c r="F179" s="2972">
        <v>0.05</v>
      </c>
      <c r="G179" s="2989"/>
    </row>
    <row r="180" spans="1:7">
      <c r="A180" s="2982" t="s">
        <v>29</v>
      </c>
      <c r="B180" s="2971" t="s">
        <v>3191</v>
      </c>
      <c r="C180" s="2983"/>
      <c r="D180" s="2983"/>
      <c r="E180" s="2983"/>
      <c r="F180" s="2972">
        <v>0.05</v>
      </c>
      <c r="G180" s="2989"/>
    </row>
    <row r="181" spans="1:7">
      <c r="A181" s="2982" t="s">
        <v>29</v>
      </c>
      <c r="B181" s="2971" t="s">
        <v>3192</v>
      </c>
      <c r="C181" s="2983"/>
      <c r="D181" s="2983"/>
      <c r="E181" s="2983"/>
      <c r="F181" s="2972">
        <v>0.05</v>
      </c>
      <c r="G181" s="2989"/>
    </row>
    <row r="182" spans="1:7">
      <c r="A182" s="2982" t="s">
        <v>29</v>
      </c>
      <c r="B182" s="2971" t="s">
        <v>3193</v>
      </c>
      <c r="C182" s="2983"/>
      <c r="D182" s="2983"/>
      <c r="E182" s="2983"/>
      <c r="F182" s="2972">
        <v>0.05</v>
      </c>
      <c r="G182" s="2989"/>
    </row>
    <row r="183" spans="1:7">
      <c r="A183" s="2982" t="s">
        <v>29</v>
      </c>
      <c r="B183" s="2971" t="s">
        <v>3194</v>
      </c>
      <c r="C183" s="2983"/>
      <c r="D183" s="2983"/>
      <c r="E183" s="2983"/>
      <c r="F183" s="2972">
        <v>0.05</v>
      </c>
      <c r="G183" s="2989"/>
    </row>
    <row r="184" spans="1:7">
      <c r="A184" s="2982" t="s">
        <v>29</v>
      </c>
      <c r="B184" s="2971" t="s">
        <v>3195</v>
      </c>
      <c r="C184" s="2983"/>
      <c r="D184" s="2983"/>
      <c r="E184" s="2983"/>
      <c r="F184" s="2972">
        <v>0.05</v>
      </c>
      <c r="G184" s="2989"/>
    </row>
    <row r="185" spans="1:7">
      <c r="A185" s="2982" t="s">
        <v>29</v>
      </c>
      <c r="B185" s="2971" t="s">
        <v>3196</v>
      </c>
      <c r="C185" s="2983"/>
      <c r="D185" s="2983"/>
      <c r="E185" s="2983"/>
      <c r="F185" s="2972">
        <v>0.05</v>
      </c>
      <c r="G185" s="2989"/>
    </row>
    <row r="186" spans="1:7">
      <c r="A186" s="2982" t="s">
        <v>29</v>
      </c>
      <c r="B186" s="2971" t="s">
        <v>3197</v>
      </c>
      <c r="C186" s="2983"/>
      <c r="D186" s="2983"/>
      <c r="E186" s="2983"/>
      <c r="F186" s="2972">
        <v>0.05</v>
      </c>
      <c r="G186" s="2989"/>
    </row>
    <row r="187" spans="1:7">
      <c r="A187" s="2982" t="s">
        <v>29</v>
      </c>
      <c r="B187" s="2971" t="s">
        <v>3198</v>
      </c>
      <c r="C187" s="2983"/>
      <c r="D187" s="2983"/>
      <c r="E187" s="2983"/>
      <c r="F187" s="2972">
        <v>0.05</v>
      </c>
      <c r="G187" s="2989"/>
    </row>
    <row r="188" spans="1:7">
      <c r="A188" s="2982" t="s">
        <v>29</v>
      </c>
      <c r="B188" s="2971" t="s">
        <v>3199</v>
      </c>
      <c r="C188" s="2983"/>
      <c r="D188" s="2983"/>
      <c r="E188" s="2983"/>
      <c r="F188" s="2972">
        <v>0.05</v>
      </c>
      <c r="G188" s="2989"/>
    </row>
    <row r="189" spans="1:7" ht="15" thickBot="1">
      <c r="A189" s="2985" t="s">
        <v>29</v>
      </c>
      <c r="B189" s="2975" t="s">
        <v>3200</v>
      </c>
      <c r="C189" s="2977"/>
      <c r="D189" s="2977"/>
      <c r="E189" s="2977"/>
      <c r="F189" s="2976">
        <v>0.05</v>
      </c>
      <c r="G189" s="2990"/>
    </row>
    <row r="190" spans="1:7">
      <c r="A190" s="2981" t="s">
        <v>304</v>
      </c>
      <c r="B190" s="2967" t="s">
        <v>2856</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2892</v>
      </c>
      <c r="C199" s="2972">
        <v>0.13</v>
      </c>
      <c r="D199" s="2972">
        <v>0.13</v>
      </c>
      <c r="E199" s="2972">
        <v>0.13</v>
      </c>
      <c r="F199" s="2972">
        <v>0.13</v>
      </c>
      <c r="G199" s="2973">
        <v>0.13</v>
      </c>
    </row>
    <row r="200" spans="1:7">
      <c r="A200" s="2982" t="s">
        <v>304</v>
      </c>
      <c r="B200" s="2971" t="s">
        <v>2895</v>
      </c>
      <c r="C200" s="2988"/>
      <c r="D200" s="2988"/>
      <c r="E200" s="2988"/>
      <c r="F200" s="2972">
        <v>0.13</v>
      </c>
      <c r="G200" s="2984"/>
    </row>
    <row r="201" spans="1:7">
      <c r="A201" s="2982" t="s">
        <v>304</v>
      </c>
      <c r="B201" s="2971" t="s">
        <v>2900</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2903</v>
      </c>
      <c r="C203" s="2972">
        <v>0.129</v>
      </c>
      <c r="D203" s="2972">
        <v>0.129</v>
      </c>
      <c r="E203" s="2972">
        <v>0.13</v>
      </c>
      <c r="F203" s="2972">
        <v>0.13</v>
      </c>
      <c r="G203" s="2973">
        <v>0.13</v>
      </c>
    </row>
    <row r="204" spans="1:7">
      <c r="A204" s="2982" t="s">
        <v>304</v>
      </c>
      <c r="B204" s="2971" t="s">
        <v>2906</v>
      </c>
      <c r="C204" s="2972">
        <v>0.129</v>
      </c>
      <c r="D204" s="2972">
        <v>0.129</v>
      </c>
      <c r="E204" s="2972">
        <v>0.123</v>
      </c>
      <c r="F204" s="2972">
        <v>0.13</v>
      </c>
      <c r="G204" s="2973">
        <v>0.13</v>
      </c>
    </row>
    <row r="205" spans="1:7">
      <c r="A205" s="2982" t="s">
        <v>304</v>
      </c>
      <c r="B205" s="2971" t="s">
        <v>2908</v>
      </c>
      <c r="C205" s="2972">
        <v>0.13</v>
      </c>
      <c r="D205" s="2972">
        <v>0.13</v>
      </c>
      <c r="E205" s="2972">
        <v>0.13</v>
      </c>
      <c r="F205" s="2972">
        <v>0.13</v>
      </c>
      <c r="G205" s="2973">
        <v>0.13</v>
      </c>
    </row>
    <row r="206" spans="1:7">
      <c r="A206" s="2982" t="s">
        <v>304</v>
      </c>
      <c r="B206" s="2971" t="s">
        <v>2911</v>
      </c>
      <c r="C206" s="2972">
        <v>0.13</v>
      </c>
      <c r="D206" s="2972">
        <v>0.13</v>
      </c>
      <c r="E206" s="2972">
        <v>0.13</v>
      </c>
      <c r="F206" s="2972">
        <v>0.128</v>
      </c>
      <c r="G206" s="2973">
        <v>0.13</v>
      </c>
    </row>
    <row r="207" spans="1:7">
      <c r="A207" s="2982" t="s">
        <v>304</v>
      </c>
      <c r="B207" s="2971" t="s">
        <v>2913</v>
      </c>
      <c r="C207" s="2972">
        <v>0.13</v>
      </c>
      <c r="D207" s="2972">
        <v>0.13</v>
      </c>
      <c r="E207" s="2972">
        <v>0.13</v>
      </c>
      <c r="F207" s="2972">
        <v>0.13</v>
      </c>
      <c r="G207" s="2973">
        <v>0.13</v>
      </c>
    </row>
    <row r="208" spans="1:7">
      <c r="A208" s="2982" t="s">
        <v>304</v>
      </c>
      <c r="B208" s="2971" t="s">
        <v>2916</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2923</v>
      </c>
      <c r="C210" s="2972">
        <v>0.121</v>
      </c>
      <c r="D210" s="2972">
        <v>0.121</v>
      </c>
      <c r="E210" s="2972">
        <v>0.125</v>
      </c>
      <c r="F210" s="2972">
        <v>0.13</v>
      </c>
      <c r="G210" s="2973">
        <v>0.123</v>
      </c>
    </row>
    <row r="211" spans="1:7">
      <c r="A211" s="2982" t="s">
        <v>304</v>
      </c>
      <c r="B211" s="2971" t="s">
        <v>2926</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2938</v>
      </c>
      <c r="C214" s="2972">
        <v>0.128</v>
      </c>
      <c r="D214" s="2972">
        <v>0.128</v>
      </c>
      <c r="E214" s="2972">
        <v>0.13</v>
      </c>
      <c r="F214" s="2972">
        <v>0.13</v>
      </c>
      <c r="G214" s="2973">
        <v>0.13</v>
      </c>
    </row>
    <row r="215" spans="1:7">
      <c r="A215" s="2982" t="s">
        <v>304</v>
      </c>
      <c r="B215" s="2971" t="s">
        <v>2942</v>
      </c>
      <c r="C215" s="2972">
        <v>0.13</v>
      </c>
      <c r="D215" s="2972">
        <v>0.13</v>
      </c>
      <c r="E215" s="2972">
        <v>0.13</v>
      </c>
      <c r="F215" s="2972">
        <v>0.129</v>
      </c>
      <c r="G215" s="2973">
        <v>0.13</v>
      </c>
    </row>
    <row r="216" spans="1:7">
      <c r="A216" s="2982" t="s">
        <v>304</v>
      </c>
      <c r="B216" s="2971" t="s">
        <v>2949</v>
      </c>
      <c r="C216" s="2972">
        <v>0.13</v>
      </c>
      <c r="D216" s="2972">
        <v>0.13</v>
      </c>
      <c r="E216" s="2972">
        <v>0.13</v>
      </c>
      <c r="F216" s="2972">
        <v>0.13</v>
      </c>
      <c r="G216" s="2973">
        <v>0.13</v>
      </c>
    </row>
    <row r="217" spans="1:7">
      <c r="A217" s="2982" t="s">
        <v>304</v>
      </c>
      <c r="B217" s="2971" t="s">
        <v>2956</v>
      </c>
      <c r="C217" s="2972">
        <v>0.129</v>
      </c>
      <c r="D217" s="2972">
        <v>0.129</v>
      </c>
      <c r="E217" s="2972">
        <v>0.13</v>
      </c>
      <c r="F217" s="2972">
        <v>0.13</v>
      </c>
      <c r="G217" s="2973">
        <v>0.13</v>
      </c>
    </row>
    <row r="218" spans="1:7">
      <c r="A218" s="2982" t="s">
        <v>304</v>
      </c>
      <c r="B218" s="2971" t="s">
        <v>2962</v>
      </c>
      <c r="C218" s="2983"/>
      <c r="D218" s="2983"/>
      <c r="E218" s="2983"/>
      <c r="F218" s="2972">
        <v>0.05</v>
      </c>
      <c r="G218" s="2989"/>
    </row>
    <row r="219" spans="1:7">
      <c r="A219" s="2982" t="s">
        <v>304</v>
      </c>
      <c r="B219" s="2971" t="s">
        <v>2969</v>
      </c>
      <c r="C219" s="2983"/>
      <c r="D219" s="2983"/>
      <c r="E219" s="2983"/>
      <c r="F219" s="2972">
        <v>0.05</v>
      </c>
      <c r="G219" s="2989"/>
    </row>
    <row r="220" spans="1:7">
      <c r="A220" s="2982" t="s">
        <v>304</v>
      </c>
      <c r="B220" s="2971" t="s">
        <v>2975</v>
      </c>
      <c r="C220" s="2983"/>
      <c r="D220" s="2983"/>
      <c r="E220" s="2983"/>
      <c r="F220" s="2972">
        <v>0.05</v>
      </c>
      <c r="G220" s="2989"/>
    </row>
    <row r="221" spans="1:7">
      <c r="A221" s="2982" t="s">
        <v>304</v>
      </c>
      <c r="B221" s="2971" t="s">
        <v>2980</v>
      </c>
      <c r="C221" s="2983"/>
      <c r="D221" s="2983"/>
      <c r="E221" s="2983"/>
      <c r="F221" s="2972">
        <v>0.05</v>
      </c>
      <c r="G221" s="2989"/>
    </row>
    <row r="222" spans="1:7">
      <c r="A222" s="2982" t="s">
        <v>304</v>
      </c>
      <c r="B222" s="2971" t="s">
        <v>2984</v>
      </c>
      <c r="C222" s="2983"/>
      <c r="D222" s="2983"/>
      <c r="E222" s="2983"/>
      <c r="F222" s="2972">
        <v>0.05</v>
      </c>
      <c r="G222" s="2989"/>
    </row>
    <row r="223" spans="1:7">
      <c r="A223" s="2982" t="s">
        <v>304</v>
      </c>
      <c r="B223" s="2971" t="s">
        <v>2989</v>
      </c>
      <c r="C223" s="2983"/>
      <c r="D223" s="2983"/>
      <c r="E223" s="2983"/>
      <c r="F223" s="2972">
        <v>0.05</v>
      </c>
      <c r="G223" s="2989"/>
    </row>
    <row r="224" spans="1:7">
      <c r="A224" s="2982" t="s">
        <v>304</v>
      </c>
      <c r="B224" s="2971" t="s">
        <v>2994</v>
      </c>
      <c r="C224" s="2983"/>
      <c r="D224" s="2983"/>
      <c r="E224" s="2983"/>
      <c r="F224" s="2972">
        <v>0.05</v>
      </c>
      <c r="G224" s="2989"/>
    </row>
    <row r="225" spans="1:7">
      <c r="A225" s="2982" t="s">
        <v>304</v>
      </c>
      <c r="B225" s="2971" t="s">
        <v>2999</v>
      </c>
      <c r="C225" s="2983"/>
      <c r="D225" s="2983"/>
      <c r="E225" s="2983"/>
      <c r="F225" s="2972">
        <v>0.05</v>
      </c>
      <c r="G225" s="2989"/>
    </row>
    <row r="226" spans="1:7">
      <c r="A226" s="2982" t="s">
        <v>304</v>
      </c>
      <c r="B226" s="2971" t="s">
        <v>3201</v>
      </c>
      <c r="C226" s="2983"/>
      <c r="D226" s="2983"/>
      <c r="E226" s="2983"/>
      <c r="F226" s="2972">
        <v>0.05</v>
      </c>
      <c r="G226" s="2989"/>
    </row>
    <row r="227" spans="1:7">
      <c r="A227" s="2982" t="s">
        <v>304</v>
      </c>
      <c r="B227" s="2971" t="s">
        <v>3202</v>
      </c>
      <c r="C227" s="2983"/>
      <c r="D227" s="2983"/>
      <c r="E227" s="2983"/>
      <c r="F227" s="2972">
        <v>0.05</v>
      </c>
      <c r="G227" s="2989"/>
    </row>
    <row r="228" spans="1:7">
      <c r="A228" s="2982" t="s">
        <v>304</v>
      </c>
      <c r="B228" s="2971" t="s">
        <v>3203</v>
      </c>
      <c r="C228" s="2983"/>
      <c r="D228" s="2983"/>
      <c r="E228" s="2983"/>
      <c r="F228" s="2972">
        <v>0.05</v>
      </c>
      <c r="G228" s="2989"/>
    </row>
    <row r="229" spans="1:7">
      <c r="A229" s="2982" t="s">
        <v>304</v>
      </c>
      <c r="B229" s="2971" t="s">
        <v>3204</v>
      </c>
      <c r="C229" s="2983"/>
      <c r="D229" s="2983"/>
      <c r="E229" s="2983"/>
      <c r="F229" s="2972">
        <v>0.05</v>
      </c>
      <c r="G229" s="2989"/>
    </row>
    <row r="230" spans="1:7">
      <c r="A230" s="2982" t="s">
        <v>304</v>
      </c>
      <c r="B230" s="2971" t="s">
        <v>3205</v>
      </c>
      <c r="C230" s="2983"/>
      <c r="D230" s="2983"/>
      <c r="E230" s="2983"/>
      <c r="F230" s="2972">
        <v>0.05</v>
      </c>
      <c r="G230" s="2989"/>
    </row>
    <row r="231" spans="1:7">
      <c r="A231" s="2982" t="s">
        <v>304</v>
      </c>
      <c r="B231" s="2971" t="s">
        <v>3206</v>
      </c>
      <c r="C231" s="2983"/>
      <c r="D231" s="2983"/>
      <c r="E231" s="2983"/>
      <c r="F231" s="2972">
        <v>0.05</v>
      </c>
      <c r="G231" s="2989"/>
    </row>
    <row r="232" spans="1:7">
      <c r="A232" s="2982" t="s">
        <v>304</v>
      </c>
      <c r="B232" s="2971" t="s">
        <v>3207</v>
      </c>
      <c r="C232" s="2983"/>
      <c r="D232" s="2983"/>
      <c r="E232" s="2983"/>
      <c r="F232" s="2972">
        <v>0.05</v>
      </c>
      <c r="G232" s="2989"/>
    </row>
    <row r="233" spans="1:7" ht="15" thickBot="1">
      <c r="A233" s="2985" t="s">
        <v>304</v>
      </c>
      <c r="B233" s="2975" t="s">
        <v>3208</v>
      </c>
      <c r="C233" s="2977"/>
      <c r="D233" s="2977"/>
      <c r="E233" s="2977"/>
      <c r="F233" s="2976">
        <v>0.05</v>
      </c>
      <c r="G233" s="2990"/>
    </row>
    <row r="234" spans="1:7">
      <c r="A234" s="2981" t="s">
        <v>305</v>
      </c>
      <c r="B234" s="2967" t="s">
        <v>2857</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2877</v>
      </c>
      <c r="C238" s="2972">
        <v>0.14899999999999999</v>
      </c>
      <c r="D238" s="2972">
        <v>0.14899999999999999</v>
      </c>
      <c r="E238" s="2972">
        <v>0.15</v>
      </c>
      <c r="F238" s="2972">
        <v>0.15</v>
      </c>
      <c r="G238" s="2973">
        <v>0.15</v>
      </c>
    </row>
    <row r="239" spans="1:7">
      <c r="A239" s="2982" t="s">
        <v>305</v>
      </c>
      <c r="B239" s="2971" t="s">
        <v>2881</v>
      </c>
      <c r="C239" s="2972">
        <v>0.15</v>
      </c>
      <c r="D239" s="2972">
        <v>0.15</v>
      </c>
      <c r="E239" s="2972">
        <v>0.15</v>
      </c>
      <c r="F239" s="2972">
        <v>0.15</v>
      </c>
      <c r="G239" s="2973">
        <v>0.15</v>
      </c>
    </row>
    <row r="240" spans="1:7">
      <c r="A240" s="2982" t="s">
        <v>305</v>
      </c>
      <c r="B240" s="2971" t="s">
        <v>2886</v>
      </c>
      <c r="C240" s="2972">
        <v>0.15</v>
      </c>
      <c r="D240" s="2972">
        <v>0.15</v>
      </c>
      <c r="E240" s="2972">
        <v>0.15</v>
      </c>
      <c r="F240" s="2972">
        <v>0.15</v>
      </c>
      <c r="G240" s="2973">
        <v>0.15</v>
      </c>
    </row>
    <row r="241" spans="1:7">
      <c r="A241" s="2982" t="s">
        <v>305</v>
      </c>
      <c r="B241" s="2971" t="s">
        <v>2890</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2896</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2904</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2909</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2917</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2930</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2939</v>
      </c>
      <c r="C258" s="2972">
        <v>0.14299999999999999</v>
      </c>
      <c r="D258" s="2972">
        <v>0.14299999999999999</v>
      </c>
      <c r="E258" s="2972">
        <v>0.15</v>
      </c>
      <c r="F258" s="2972">
        <v>0.14799999999999999</v>
      </c>
      <c r="G258" s="2973">
        <v>0.14599999999999999</v>
      </c>
    </row>
    <row r="259" spans="1:7">
      <c r="A259" s="2982" t="s">
        <v>305</v>
      </c>
      <c r="B259" s="2971" t="s">
        <v>2943</v>
      </c>
      <c r="C259" s="2972">
        <v>0.14399999999999999</v>
      </c>
      <c r="D259" s="2972">
        <v>0.14399999999999999</v>
      </c>
      <c r="E259" s="2972">
        <v>0.14899999999999999</v>
      </c>
      <c r="F259" s="2972">
        <v>0.14699999999999999</v>
      </c>
      <c r="G259" s="2973">
        <v>0.14599999999999999</v>
      </c>
    </row>
    <row r="260" spans="1:7">
      <c r="A260" s="2982" t="s">
        <v>305</v>
      </c>
      <c r="B260" s="2971" t="s">
        <v>2950</v>
      </c>
      <c r="C260" s="2972">
        <v>0.109</v>
      </c>
      <c r="D260" s="2972">
        <v>0.111</v>
      </c>
      <c r="E260" s="2972">
        <v>0.13100000000000001</v>
      </c>
      <c r="F260" s="2972">
        <v>0.126</v>
      </c>
      <c r="G260" s="2973">
        <v>0.11899999999999999</v>
      </c>
    </row>
    <row r="261" spans="1:7">
      <c r="A261" s="2982" t="s">
        <v>305</v>
      </c>
      <c r="B261" s="2971" t="s">
        <v>2957</v>
      </c>
      <c r="C261" s="2972">
        <v>0.1</v>
      </c>
      <c r="D261" s="2972">
        <v>0.1</v>
      </c>
      <c r="E261" s="2972">
        <v>0.11799999999999999</v>
      </c>
      <c r="F261" s="2972">
        <v>0.108</v>
      </c>
      <c r="G261" s="2973">
        <v>0.107</v>
      </c>
    </row>
    <row r="262" spans="1:7">
      <c r="A262" s="2982" t="s">
        <v>305</v>
      </c>
      <c r="B262" s="2971" t="s">
        <v>2963</v>
      </c>
      <c r="C262" s="2972">
        <v>0.1</v>
      </c>
      <c r="D262" s="2972">
        <v>0.1</v>
      </c>
      <c r="E262" s="2972">
        <v>0.1</v>
      </c>
      <c r="F262" s="2972">
        <v>0.14099999999999999</v>
      </c>
      <c r="G262" s="2973">
        <v>0.1</v>
      </c>
    </row>
    <row r="263" spans="1:7">
      <c r="A263" s="2982" t="s">
        <v>305</v>
      </c>
      <c r="B263" s="2971" t="s">
        <v>2970</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2981</v>
      </c>
      <c r="C265" s="2983"/>
      <c r="D265" s="2983"/>
      <c r="E265" s="2983"/>
      <c r="F265" s="2972">
        <v>0.05</v>
      </c>
      <c r="G265" s="2989"/>
    </row>
    <row r="266" spans="1:7">
      <c r="A266" s="2982" t="s">
        <v>305</v>
      </c>
      <c r="B266" s="2971" t="s">
        <v>2985</v>
      </c>
      <c r="C266" s="2983"/>
      <c r="D266" s="2983"/>
      <c r="E266" s="2983"/>
      <c r="F266" s="2972">
        <v>0.05</v>
      </c>
      <c r="G266" s="2989"/>
    </row>
    <row r="267" spans="1:7">
      <c r="A267" s="2982" t="s">
        <v>305</v>
      </c>
      <c r="B267" s="2971" t="s">
        <v>2990</v>
      </c>
      <c r="C267" s="2983"/>
      <c r="D267" s="2983"/>
      <c r="E267" s="2983"/>
      <c r="F267" s="2972">
        <v>0.05</v>
      </c>
      <c r="G267" s="2989"/>
    </row>
    <row r="268" spans="1:7">
      <c r="A268" s="2982" t="s">
        <v>305</v>
      </c>
      <c r="B268" s="2971" t="s">
        <v>2995</v>
      </c>
      <c r="C268" s="2983"/>
      <c r="D268" s="2983"/>
      <c r="E268" s="2983"/>
      <c r="F268" s="2972">
        <v>0.05</v>
      </c>
      <c r="G268" s="2989"/>
    </row>
    <row r="269" spans="1:7">
      <c r="A269" s="2982" t="s">
        <v>305</v>
      </c>
      <c r="B269" s="2971" t="s">
        <v>3000</v>
      </c>
      <c r="C269" s="2983"/>
      <c r="D269" s="2983"/>
      <c r="E269" s="2983"/>
      <c r="F269" s="2972">
        <v>0.05</v>
      </c>
      <c r="G269" s="2989"/>
    </row>
    <row r="270" spans="1:7">
      <c r="A270" s="2982" t="s">
        <v>305</v>
      </c>
      <c r="B270" s="2971" t="s">
        <v>3005</v>
      </c>
      <c r="C270" s="2983"/>
      <c r="D270" s="2983"/>
      <c r="E270" s="2983"/>
      <c r="F270" s="2972">
        <v>0.05</v>
      </c>
      <c r="G270" s="2989"/>
    </row>
    <row r="271" spans="1:7">
      <c r="A271" s="2982" t="s">
        <v>305</v>
      </c>
      <c r="B271" s="2971" t="s">
        <v>3209</v>
      </c>
      <c r="C271" s="2983"/>
      <c r="D271" s="2983"/>
      <c r="E271" s="2983"/>
      <c r="F271" s="2972">
        <v>0.05</v>
      </c>
      <c r="G271" s="2989"/>
    </row>
    <row r="272" spans="1:7">
      <c r="A272" s="2982" t="s">
        <v>305</v>
      </c>
      <c r="B272" s="2971" t="s">
        <v>3210</v>
      </c>
      <c r="C272" s="2983"/>
      <c r="D272" s="2983"/>
      <c r="E272" s="2983"/>
      <c r="F272" s="2972">
        <v>0.05</v>
      </c>
      <c r="G272" s="2989"/>
    </row>
    <row r="273" spans="1:7">
      <c r="A273" s="2982" t="s">
        <v>305</v>
      </c>
      <c r="B273" s="2971" t="s">
        <v>3211</v>
      </c>
      <c r="C273" s="2983"/>
      <c r="D273" s="2983"/>
      <c r="E273" s="2983"/>
      <c r="F273" s="2972">
        <v>0.05</v>
      </c>
      <c r="G273" s="2989"/>
    </row>
    <row r="274" spans="1:7">
      <c r="A274" s="2982" t="s">
        <v>305</v>
      </c>
      <c r="B274" s="2971" t="s">
        <v>3212</v>
      </c>
      <c r="C274" s="2983"/>
      <c r="D274" s="2983"/>
      <c r="E274" s="2983"/>
      <c r="F274" s="2972">
        <v>0.05</v>
      </c>
      <c r="G274" s="2989"/>
    </row>
    <row r="275" spans="1:7">
      <c r="A275" s="2982" t="s">
        <v>305</v>
      </c>
      <c r="B275" s="2971" t="s">
        <v>3213</v>
      </c>
      <c r="C275" s="2983"/>
      <c r="D275" s="2983"/>
      <c r="E275" s="2983"/>
      <c r="F275" s="2972">
        <v>0.05</v>
      </c>
      <c r="G275" s="2989"/>
    </row>
    <row r="276" spans="1:7" ht="15" thickBot="1">
      <c r="A276" s="2985" t="s">
        <v>305</v>
      </c>
      <c r="B276" s="2975" t="s">
        <v>3214</v>
      </c>
      <c r="C276" s="2977"/>
      <c r="D276" s="2977"/>
      <c r="E276" s="2977"/>
      <c r="F276" s="2976">
        <v>0.05</v>
      </c>
      <c r="G276" s="2990"/>
    </row>
    <row r="277" spans="1:7">
      <c r="A277" s="2981" t="s">
        <v>306</v>
      </c>
      <c r="B277" s="2967" t="s">
        <v>2858</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2870</v>
      </c>
      <c r="C279" s="2972">
        <v>0.15</v>
      </c>
      <c r="D279" s="2972">
        <v>0.15</v>
      </c>
      <c r="E279" s="2972">
        <v>0.15</v>
      </c>
      <c r="F279" s="2972">
        <v>0.15</v>
      </c>
      <c r="G279" s="2973">
        <v>0.15</v>
      </c>
    </row>
    <row r="280" spans="1:7">
      <c r="A280" s="2982" t="s">
        <v>306</v>
      </c>
      <c r="B280" s="2971" t="s">
        <v>2874</v>
      </c>
      <c r="C280" s="2972">
        <v>0.15</v>
      </c>
      <c r="D280" s="2972">
        <v>0.15</v>
      </c>
      <c r="E280" s="2972">
        <v>0.15</v>
      </c>
      <c r="F280" s="2972">
        <v>0.15</v>
      </c>
      <c r="G280" s="2973">
        <v>0.15</v>
      </c>
    </row>
    <row r="281" spans="1:7">
      <c r="A281" s="2982" t="s">
        <v>306</v>
      </c>
      <c r="B281" s="2971" t="s">
        <v>2878</v>
      </c>
      <c r="C281" s="2972">
        <v>0.15</v>
      </c>
      <c r="D281" s="2972">
        <v>0.15</v>
      </c>
      <c r="E281" s="2972">
        <v>0.15</v>
      </c>
      <c r="F281" s="2972">
        <v>0.15</v>
      </c>
      <c r="G281" s="2973">
        <v>0.15</v>
      </c>
    </row>
    <row r="282" spans="1:7">
      <c r="A282" s="2982" t="s">
        <v>306</v>
      </c>
      <c r="B282" s="2971" t="s">
        <v>2882</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2897</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2902</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2912</v>
      </c>
      <c r="C293" s="2972">
        <v>0.15</v>
      </c>
      <c r="D293" s="2972">
        <v>0.15</v>
      </c>
      <c r="E293" s="2972">
        <v>0.15</v>
      </c>
      <c r="F293" s="2972">
        <v>0.14499999999999999</v>
      </c>
      <c r="G293" s="2973">
        <v>0.15</v>
      </c>
    </row>
    <row r="294" spans="1:7">
      <c r="A294" s="2982" t="s">
        <v>306</v>
      </c>
      <c r="B294" s="2971" t="s">
        <v>2914</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2931</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2944</v>
      </c>
      <c r="C302" s="2972">
        <v>0.15</v>
      </c>
      <c r="D302" s="2972">
        <v>0.15</v>
      </c>
      <c r="E302" s="2972">
        <v>0.15</v>
      </c>
      <c r="F302" s="2972">
        <v>0.14699999999999999</v>
      </c>
      <c r="G302" s="2973">
        <v>0.15</v>
      </c>
    </row>
    <row r="303" spans="1:7">
      <c r="A303" s="2982" t="s">
        <v>306</v>
      </c>
      <c r="B303" s="2971" t="s">
        <v>2951</v>
      </c>
      <c r="C303" s="2972">
        <v>0.15</v>
      </c>
      <c r="D303" s="2972">
        <v>0.15</v>
      </c>
      <c r="E303" s="2972">
        <v>0.15</v>
      </c>
      <c r="F303" s="2972">
        <v>0.14199999999999999</v>
      </c>
      <c r="G303" s="2973">
        <v>0.15</v>
      </c>
    </row>
    <row r="304" spans="1:7">
      <c r="A304" s="2982" t="s">
        <v>306</v>
      </c>
      <c r="B304" s="2971" t="s">
        <v>2958</v>
      </c>
      <c r="C304" s="2972">
        <v>0.15</v>
      </c>
      <c r="D304" s="2972">
        <v>0.15</v>
      </c>
      <c r="E304" s="2972">
        <v>0.15</v>
      </c>
      <c r="F304" s="2972">
        <v>0.14499999999999999</v>
      </c>
      <c r="G304" s="2973">
        <v>0.15</v>
      </c>
    </row>
    <row r="305" spans="1:7">
      <c r="A305" s="2982" t="s">
        <v>306</v>
      </c>
      <c r="B305" s="2971" t="s">
        <v>2964</v>
      </c>
      <c r="C305" s="2972">
        <v>0.15</v>
      </c>
      <c r="D305" s="2972">
        <v>0.15</v>
      </c>
      <c r="E305" s="2972">
        <v>0.15</v>
      </c>
      <c r="F305" s="2972">
        <v>0.111</v>
      </c>
      <c r="G305" s="2973">
        <v>0.15</v>
      </c>
    </row>
    <row r="306" spans="1:7">
      <c r="A306" s="2982" t="s">
        <v>306</v>
      </c>
      <c r="B306" s="2971" t="s">
        <v>2971</v>
      </c>
      <c r="C306" s="2972">
        <v>0.15</v>
      </c>
      <c r="D306" s="2972">
        <v>0.15</v>
      </c>
      <c r="E306" s="2972">
        <v>0.15</v>
      </c>
      <c r="F306" s="2972">
        <v>0.126</v>
      </c>
      <c r="G306" s="2973">
        <v>0.15</v>
      </c>
    </row>
    <row r="307" spans="1:7">
      <c r="A307" s="2982" t="s">
        <v>306</v>
      </c>
      <c r="B307" s="2971" t="s">
        <v>2976</v>
      </c>
      <c r="C307" s="2972">
        <v>0.15</v>
      </c>
      <c r="D307" s="2972">
        <v>0.15</v>
      </c>
      <c r="E307" s="2972">
        <v>0.15</v>
      </c>
      <c r="F307" s="2972">
        <v>0.12</v>
      </c>
      <c r="G307" s="2973">
        <v>0.15</v>
      </c>
    </row>
    <row r="308" spans="1:7">
      <c r="A308" s="2982" t="s">
        <v>306</v>
      </c>
      <c r="B308" s="2971" t="s">
        <v>2982</v>
      </c>
      <c r="C308" s="2972">
        <v>0.15</v>
      </c>
      <c r="D308" s="2972">
        <v>0.15</v>
      </c>
      <c r="E308" s="2972">
        <v>0.15</v>
      </c>
      <c r="F308" s="2972">
        <v>0.13</v>
      </c>
      <c r="G308" s="2973">
        <v>0.15</v>
      </c>
    </row>
    <row r="309" spans="1:7">
      <c r="A309" s="2982" t="s">
        <v>306</v>
      </c>
      <c r="B309" s="2971" t="s">
        <v>2986</v>
      </c>
      <c r="C309" s="2972">
        <v>0.15</v>
      </c>
      <c r="D309" s="2972">
        <v>0.15</v>
      </c>
      <c r="E309" s="2972">
        <v>0.15</v>
      </c>
      <c r="F309" s="2972">
        <v>0.14099999999999999</v>
      </c>
      <c r="G309" s="2973">
        <v>0.15</v>
      </c>
    </row>
    <row r="310" spans="1:7">
      <c r="A310" s="2982" t="s">
        <v>306</v>
      </c>
      <c r="B310" s="2971" t="s">
        <v>2991</v>
      </c>
      <c r="C310" s="2972">
        <v>0.15</v>
      </c>
      <c r="D310" s="2972">
        <v>0.15</v>
      </c>
      <c r="E310" s="2972">
        <v>0.15</v>
      </c>
      <c r="F310" s="2972">
        <v>0.15</v>
      </c>
      <c r="G310" s="2973">
        <v>0.15</v>
      </c>
    </row>
    <row r="311" spans="1:7">
      <c r="A311" s="2982" t="s">
        <v>306</v>
      </c>
      <c r="B311" s="2971" t="s">
        <v>2996</v>
      </c>
      <c r="C311" s="2972">
        <v>0.13200000000000001</v>
      </c>
      <c r="D311" s="2972">
        <v>0.13300000000000001</v>
      </c>
      <c r="E311" s="2972">
        <v>0.14499999999999999</v>
      </c>
      <c r="F311" s="2972">
        <v>0.14199999999999999</v>
      </c>
      <c r="G311" s="2973">
        <v>0.14000000000000001</v>
      </c>
    </row>
    <row r="312" spans="1:7">
      <c r="A312" s="2982" t="s">
        <v>306</v>
      </c>
      <c r="B312" s="2971" t="s">
        <v>3001</v>
      </c>
      <c r="C312" s="2972">
        <v>0.13800000000000001</v>
      </c>
      <c r="D312" s="2972">
        <v>0.14000000000000001</v>
      </c>
      <c r="E312" s="2972">
        <v>0.14599999999999999</v>
      </c>
      <c r="F312" s="2972">
        <v>0.14899999999999999</v>
      </c>
      <c r="G312" s="2973">
        <v>0.14199999999999999</v>
      </c>
    </row>
    <row r="313" spans="1:7">
      <c r="A313" s="2982" t="s">
        <v>306</v>
      </c>
      <c r="B313" s="2971" t="s">
        <v>3006</v>
      </c>
      <c r="C313" s="2972">
        <v>0.125</v>
      </c>
      <c r="D313" s="2972">
        <v>0.127</v>
      </c>
      <c r="E313" s="2972">
        <v>0.14399999999999999</v>
      </c>
      <c r="F313" s="2972">
        <v>0.115</v>
      </c>
      <c r="G313" s="2973">
        <v>0.13600000000000001</v>
      </c>
    </row>
    <row r="314" spans="1:7">
      <c r="A314" s="2982" t="s">
        <v>306</v>
      </c>
      <c r="B314" s="2971" t="s">
        <v>3215</v>
      </c>
      <c r="C314" s="2988"/>
      <c r="D314" s="2988"/>
      <c r="E314" s="2988"/>
      <c r="F314" s="2972">
        <v>0.05</v>
      </c>
      <c r="G314" s="2989"/>
    </row>
    <row r="315" spans="1:7">
      <c r="A315" s="2982" t="s">
        <v>306</v>
      </c>
      <c r="B315" s="2971" t="s">
        <v>3216</v>
      </c>
      <c r="C315" s="2988"/>
      <c r="D315" s="2988"/>
      <c r="E315" s="2988"/>
      <c r="F315" s="2972">
        <v>0.05</v>
      </c>
      <c r="G315" s="2989"/>
    </row>
    <row r="316" spans="1:7">
      <c r="A316" s="2982" t="s">
        <v>306</v>
      </c>
      <c r="B316" s="2971" t="s">
        <v>3217</v>
      </c>
      <c r="C316" s="2983"/>
      <c r="D316" s="2983"/>
      <c r="E316" s="2983"/>
      <c r="F316" s="2972">
        <v>0.05</v>
      </c>
      <c r="G316" s="2989"/>
    </row>
    <row r="317" spans="1:7">
      <c r="A317" s="2982" t="s">
        <v>306</v>
      </c>
      <c r="B317" s="2971" t="s">
        <v>3218</v>
      </c>
      <c r="C317" s="2983"/>
      <c r="D317" s="2983"/>
      <c r="E317" s="2983"/>
      <c r="F317" s="2972">
        <v>0.05</v>
      </c>
      <c r="G317" s="2989"/>
    </row>
    <row r="318" spans="1:7">
      <c r="A318" s="2982" t="s">
        <v>306</v>
      </c>
      <c r="B318" s="2971" t="s">
        <v>3219</v>
      </c>
      <c r="C318" s="2983"/>
      <c r="D318" s="2983"/>
      <c r="E318" s="2983"/>
      <c r="F318" s="2972">
        <v>0.05</v>
      </c>
      <c r="G318" s="2989"/>
    </row>
    <row r="319" spans="1:7">
      <c r="A319" s="2982" t="s">
        <v>306</v>
      </c>
      <c r="B319" s="2971" t="s">
        <v>3220</v>
      </c>
      <c r="C319" s="2983"/>
      <c r="D319" s="2983"/>
      <c r="E319" s="2983"/>
      <c r="F319" s="2972">
        <v>0.05</v>
      </c>
      <c r="G319" s="2989"/>
    </row>
    <row r="320" spans="1:7">
      <c r="A320" s="2982" t="s">
        <v>306</v>
      </c>
      <c r="B320" s="2971" t="s">
        <v>3221</v>
      </c>
      <c r="C320" s="2983"/>
      <c r="D320" s="2983"/>
      <c r="E320" s="2983"/>
      <c r="F320" s="2972">
        <v>0.05</v>
      </c>
      <c r="G320" s="2989"/>
    </row>
    <row r="321" spans="1:7">
      <c r="A321" s="2982" t="s">
        <v>306</v>
      </c>
      <c r="B321" s="2971" t="s">
        <v>3222</v>
      </c>
      <c r="C321" s="2983"/>
      <c r="D321" s="2983"/>
      <c r="E321" s="2983"/>
      <c r="F321" s="2972">
        <v>0.05</v>
      </c>
      <c r="G321" s="2989"/>
    </row>
    <row r="322" spans="1:7">
      <c r="A322" s="2982" t="s">
        <v>306</v>
      </c>
      <c r="B322" s="2971" t="s">
        <v>3223</v>
      </c>
      <c r="C322" s="2983"/>
      <c r="D322" s="2983"/>
      <c r="E322" s="2983"/>
      <c r="F322" s="2972">
        <v>0.05</v>
      </c>
      <c r="G322" s="2989"/>
    </row>
    <row r="323" spans="1:7">
      <c r="A323" s="2982" t="s">
        <v>306</v>
      </c>
      <c r="B323" s="2971" t="s">
        <v>3224</v>
      </c>
      <c r="C323" s="2983"/>
      <c r="D323" s="2983"/>
      <c r="E323" s="2983"/>
      <c r="F323" s="2972">
        <v>0.05</v>
      </c>
      <c r="G323" s="2989"/>
    </row>
    <row r="324" spans="1:7">
      <c r="A324" s="2982" t="s">
        <v>306</v>
      </c>
      <c r="B324" s="2971" t="s">
        <v>3225</v>
      </c>
      <c r="C324" s="2983"/>
      <c r="D324" s="2983"/>
      <c r="E324" s="2983"/>
      <c r="F324" s="2972">
        <v>0.05</v>
      </c>
      <c r="G324" s="2989"/>
    </row>
    <row r="325" spans="1:7">
      <c r="A325" s="2982" t="s">
        <v>306</v>
      </c>
      <c r="B325" s="2971" t="s">
        <v>3226</v>
      </c>
      <c r="C325" s="2983"/>
      <c r="D325" s="2983"/>
      <c r="E325" s="2983"/>
      <c r="F325" s="2972">
        <v>0.05</v>
      </c>
      <c r="G325" s="2989"/>
    </row>
    <row r="326" spans="1:7" ht="15" thickBot="1">
      <c r="A326" s="2985" t="s">
        <v>306</v>
      </c>
      <c r="B326" s="2975" t="s">
        <v>3227</v>
      </c>
      <c r="C326" s="2977"/>
      <c r="D326" s="2977"/>
      <c r="E326" s="2977"/>
      <c r="F326" s="2976">
        <v>0.05</v>
      </c>
      <c r="G326" s="2990"/>
    </row>
    <row r="327" spans="1:7">
      <c r="A327" s="2981" t="s">
        <v>307</v>
      </c>
      <c r="B327" s="2967" t="s">
        <v>2859</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2871</v>
      </c>
      <c r="C329" s="2972">
        <v>0.15</v>
      </c>
      <c r="D329" s="2972">
        <v>0.15</v>
      </c>
      <c r="E329" s="2972">
        <v>0.15</v>
      </c>
      <c r="F329" s="2972">
        <v>0.15</v>
      </c>
      <c r="G329" s="2973">
        <v>0.15</v>
      </c>
    </row>
    <row r="330" spans="1:7">
      <c r="A330" s="2982" t="s">
        <v>307</v>
      </c>
      <c r="B330" s="2971" t="s">
        <v>2875</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2883</v>
      </c>
      <c r="C332" s="2972">
        <v>0.15</v>
      </c>
      <c r="D332" s="2972">
        <v>0.15</v>
      </c>
      <c r="E332" s="2972">
        <v>0.15</v>
      </c>
      <c r="F332" s="2972">
        <v>0.15</v>
      </c>
      <c r="G332" s="2973">
        <v>0.15</v>
      </c>
    </row>
    <row r="333" spans="1:7">
      <c r="A333" s="2982" t="s">
        <v>307</v>
      </c>
      <c r="B333" s="2971" t="s">
        <v>2887</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2893</v>
      </c>
      <c r="C336" s="2972">
        <v>0.15</v>
      </c>
      <c r="D336" s="2972">
        <v>0.15</v>
      </c>
      <c r="E336" s="2972">
        <v>0.15</v>
      </c>
      <c r="F336" s="2972">
        <v>0.14199999999999999</v>
      </c>
      <c r="G336" s="2973">
        <v>0.15</v>
      </c>
    </row>
    <row r="337" spans="1:7">
      <c r="A337" s="2982" t="s">
        <v>307</v>
      </c>
      <c r="B337" s="2971" t="s">
        <v>2898</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2905</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2910</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2918</v>
      </c>
      <c r="C345" s="2972">
        <v>0.15</v>
      </c>
      <c r="D345" s="2972">
        <v>0.15</v>
      </c>
      <c r="E345" s="2972">
        <v>0.15</v>
      </c>
      <c r="F345" s="2972">
        <v>0.13800000000000001</v>
      </c>
      <c r="G345" s="2973">
        <v>0.15</v>
      </c>
    </row>
    <row r="346" spans="1:7">
      <c r="A346" s="2982" t="s">
        <v>307</v>
      </c>
      <c r="B346" s="2971" t="s">
        <v>2920</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2927</v>
      </c>
      <c r="C348" s="2972">
        <v>0.15</v>
      </c>
      <c r="D348" s="2972">
        <v>0.15</v>
      </c>
      <c r="E348" s="2972">
        <v>0.15</v>
      </c>
      <c r="F348" s="2972">
        <v>0.14399999999999999</v>
      </c>
      <c r="G348" s="2973">
        <v>0.15</v>
      </c>
    </row>
    <row r="349" spans="1:7">
      <c r="A349" s="2982" t="s">
        <v>307</v>
      </c>
      <c r="B349" s="2971" t="s">
        <v>2932</v>
      </c>
      <c r="C349" s="2972">
        <v>0.15</v>
      </c>
      <c r="D349" s="2972">
        <v>0.15</v>
      </c>
      <c r="E349" s="2972">
        <v>0.15</v>
      </c>
      <c r="F349" s="2972">
        <v>0.15</v>
      </c>
      <c r="G349" s="2973">
        <v>0.15</v>
      </c>
    </row>
    <row r="350" spans="1:7">
      <c r="A350" s="2982" t="s">
        <v>307</v>
      </c>
      <c r="B350" s="2971" t="s">
        <v>2935</v>
      </c>
      <c r="C350" s="2972">
        <v>0.15</v>
      </c>
      <c r="D350" s="2972">
        <v>0.15</v>
      </c>
      <c r="E350" s="2972">
        <v>0.15</v>
      </c>
      <c r="F350" s="2972">
        <v>0.14699999999999999</v>
      </c>
      <c r="G350" s="2973">
        <v>0.15</v>
      </c>
    </row>
    <row r="351" spans="1:7">
      <c r="A351" s="2982" t="s">
        <v>307</v>
      </c>
      <c r="B351" s="2971" t="s">
        <v>2940</v>
      </c>
      <c r="C351" s="2972">
        <v>0.15</v>
      </c>
      <c r="D351" s="2972">
        <v>0.15</v>
      </c>
      <c r="E351" s="2972">
        <v>0.15</v>
      </c>
      <c r="F351" s="2972">
        <v>0.13</v>
      </c>
      <c r="G351" s="2973">
        <v>0.15</v>
      </c>
    </row>
    <row r="352" spans="1:7">
      <c r="A352" s="2982" t="s">
        <v>307</v>
      </c>
      <c r="B352" s="2971" t="s">
        <v>2945</v>
      </c>
      <c r="C352" s="2972">
        <v>0.15</v>
      </c>
      <c r="D352" s="2972">
        <v>0.15</v>
      </c>
      <c r="E352" s="2972">
        <v>0.15</v>
      </c>
      <c r="F352" s="2972">
        <v>0.14599999999999999</v>
      </c>
      <c r="G352" s="2973">
        <v>0.15</v>
      </c>
    </row>
    <row r="353" spans="1:7">
      <c r="A353" s="2982" t="s">
        <v>307</v>
      </c>
      <c r="B353" s="2971" t="s">
        <v>2952</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2965</v>
      </c>
      <c r="C355" s="2972">
        <v>0.15</v>
      </c>
      <c r="D355" s="2972">
        <v>0.15</v>
      </c>
      <c r="E355" s="2972">
        <v>0.15</v>
      </c>
      <c r="F355" s="2972">
        <v>0.15</v>
      </c>
      <c r="G355" s="2973">
        <v>0.15</v>
      </c>
    </row>
    <row r="356" spans="1:7">
      <c r="A356" s="2982" t="s">
        <v>307</v>
      </c>
      <c r="B356" s="2971" t="s">
        <v>2972</v>
      </c>
      <c r="C356" s="2972">
        <v>0.15</v>
      </c>
      <c r="D356" s="2972">
        <v>0.15</v>
      </c>
      <c r="E356" s="2972">
        <v>0.15</v>
      </c>
      <c r="F356" s="2972">
        <v>0.15</v>
      </c>
      <c r="G356" s="2973">
        <v>0.15</v>
      </c>
    </row>
    <row r="357" spans="1:7" ht="15" thickBot="1">
      <c r="A357" s="2985" t="s">
        <v>307</v>
      </c>
      <c r="B357" s="2975" t="s">
        <v>2977</v>
      </c>
      <c r="C357" s="2976">
        <v>0.126</v>
      </c>
      <c r="D357" s="2976">
        <v>0.127</v>
      </c>
      <c r="E357" s="2976">
        <v>0.14299999999999999</v>
      </c>
      <c r="F357" s="2976">
        <v>0.125</v>
      </c>
      <c r="G357" s="2978">
        <v>0.129</v>
      </c>
    </row>
    <row r="358" spans="1:7">
      <c r="A358" s="2981" t="s">
        <v>2846</v>
      </c>
      <c r="B358" s="2967" t="s">
        <v>2860</v>
      </c>
      <c r="C358" s="2968">
        <v>0.15</v>
      </c>
      <c r="D358" s="2968">
        <v>0.15</v>
      </c>
      <c r="E358" s="2968">
        <v>0.15</v>
      </c>
      <c r="F358" s="2968">
        <v>0.15</v>
      </c>
      <c r="G358" s="2969">
        <v>0.15</v>
      </c>
    </row>
    <row r="359" spans="1:7">
      <c r="A359" s="2982" t="s">
        <v>2846</v>
      </c>
      <c r="B359" s="2971" t="s">
        <v>2866</v>
      </c>
      <c r="C359" s="2972">
        <v>0.1</v>
      </c>
      <c r="D359" s="2972">
        <v>0.1</v>
      </c>
      <c r="E359" s="2972">
        <v>0.1</v>
      </c>
      <c r="F359" s="2972">
        <v>0.1</v>
      </c>
      <c r="G359" s="2973">
        <v>0.1</v>
      </c>
    </row>
    <row r="360" spans="1:7">
      <c r="A360" s="2982" t="s">
        <v>2846</v>
      </c>
      <c r="B360" s="2971" t="s">
        <v>2872</v>
      </c>
      <c r="C360" s="2972">
        <v>0.15</v>
      </c>
      <c r="D360" s="2972">
        <v>0.15</v>
      </c>
      <c r="E360" s="2972">
        <v>0.15</v>
      </c>
      <c r="F360" s="2972">
        <v>0.14899999999999999</v>
      </c>
      <c r="G360" s="2973">
        <v>0.15</v>
      </c>
    </row>
    <row r="361" spans="1:7">
      <c r="A361" s="2982" t="s">
        <v>2846</v>
      </c>
      <c r="B361" s="2971" t="s">
        <v>153</v>
      </c>
      <c r="C361" s="2972">
        <v>0.15</v>
      </c>
      <c r="D361" s="2972">
        <v>0.15</v>
      </c>
      <c r="E361" s="2972">
        <v>0.15</v>
      </c>
      <c r="F361" s="2972">
        <v>0.115</v>
      </c>
      <c r="G361" s="2973">
        <v>0.15</v>
      </c>
    </row>
    <row r="362" spans="1:7">
      <c r="A362" s="2982" t="s">
        <v>2846</v>
      </c>
      <c r="B362" s="2971" t="s">
        <v>2879</v>
      </c>
      <c r="C362" s="2972">
        <v>0.15</v>
      </c>
      <c r="D362" s="2972">
        <v>0.15</v>
      </c>
      <c r="E362" s="2972">
        <v>0.15</v>
      </c>
      <c r="F362" s="2972">
        <v>0.106</v>
      </c>
      <c r="G362" s="2973">
        <v>0.15</v>
      </c>
    </row>
    <row r="363" spans="1:7">
      <c r="A363" s="2982" t="s">
        <v>2846</v>
      </c>
      <c r="B363" s="2971" t="s">
        <v>2884</v>
      </c>
      <c r="C363" s="2972">
        <v>0.15</v>
      </c>
      <c r="D363" s="2972">
        <v>0.15</v>
      </c>
      <c r="E363" s="2972">
        <v>0.15</v>
      </c>
      <c r="F363" s="2972">
        <v>0.14699999999999999</v>
      </c>
      <c r="G363" s="2973">
        <v>0.15</v>
      </c>
    </row>
    <row r="364" spans="1:7">
      <c r="A364" s="2982" t="s">
        <v>2846</v>
      </c>
      <c r="B364" s="2971" t="s">
        <v>2888</v>
      </c>
      <c r="C364" s="2972">
        <v>0.15</v>
      </c>
      <c r="D364" s="2972">
        <v>0.15</v>
      </c>
      <c r="E364" s="2972">
        <v>0.15</v>
      </c>
      <c r="F364" s="2972">
        <v>0.14799999999999999</v>
      </c>
      <c r="G364" s="2973">
        <v>0.15</v>
      </c>
    </row>
    <row r="365" spans="1:7">
      <c r="A365" s="2982" t="s">
        <v>2846</v>
      </c>
      <c r="B365" s="2971" t="s">
        <v>200</v>
      </c>
      <c r="C365" s="2972">
        <v>0.15</v>
      </c>
      <c r="D365" s="2972">
        <v>0.15</v>
      </c>
      <c r="E365" s="2972">
        <v>0.15</v>
      </c>
      <c r="F365" s="2972">
        <v>0.15</v>
      </c>
      <c r="G365" s="2973">
        <v>0.15</v>
      </c>
    </row>
    <row r="366" spans="1:7">
      <c r="A366" s="2982" t="s">
        <v>2846</v>
      </c>
      <c r="B366" s="2971" t="s">
        <v>2891</v>
      </c>
      <c r="C366" s="2972">
        <v>0.15</v>
      </c>
      <c r="D366" s="2972">
        <v>0.15</v>
      </c>
      <c r="E366" s="2972">
        <v>0.15</v>
      </c>
      <c r="F366" s="2972">
        <v>0.15</v>
      </c>
      <c r="G366" s="2973">
        <v>0.15</v>
      </c>
    </row>
    <row r="367" spans="1:7">
      <c r="A367" s="2982" t="s">
        <v>2846</v>
      </c>
      <c r="B367" s="2971" t="s">
        <v>2894</v>
      </c>
      <c r="C367" s="2972">
        <v>0.15</v>
      </c>
      <c r="D367" s="2972">
        <v>0.15</v>
      </c>
      <c r="E367" s="2972">
        <v>0.15</v>
      </c>
      <c r="F367" s="2972">
        <v>0.14699999999999999</v>
      </c>
      <c r="G367" s="2973">
        <v>0.15</v>
      </c>
    </row>
    <row r="368" spans="1:7">
      <c r="A368" s="2982" t="s">
        <v>2846</v>
      </c>
      <c r="B368" s="2971" t="s">
        <v>2899</v>
      </c>
      <c r="C368" s="2972">
        <v>0.15</v>
      </c>
      <c r="D368" s="2972">
        <v>0.15</v>
      </c>
      <c r="E368" s="2972">
        <v>0.15</v>
      </c>
      <c r="F368" s="2972">
        <v>0.13600000000000001</v>
      </c>
      <c r="G368" s="2973">
        <v>0.15</v>
      </c>
    </row>
    <row r="369" spans="1:7">
      <c r="A369" s="2982" t="s">
        <v>2846</v>
      </c>
      <c r="B369" s="2971" t="s">
        <v>214</v>
      </c>
      <c r="C369" s="2972">
        <v>0.15</v>
      </c>
      <c r="D369" s="2972">
        <v>0.15</v>
      </c>
      <c r="E369" s="2972">
        <v>0.15</v>
      </c>
      <c r="F369" s="2972">
        <v>0.14399999999999999</v>
      </c>
      <c r="G369" s="2973">
        <v>0.15</v>
      </c>
    </row>
    <row r="370" spans="1:7">
      <c r="A370" s="2982" t="s">
        <v>2846</v>
      </c>
      <c r="B370" s="2971" t="s">
        <v>221</v>
      </c>
      <c r="C370" s="2972">
        <v>0.15</v>
      </c>
      <c r="D370" s="2972">
        <v>0.15</v>
      </c>
      <c r="E370" s="2972">
        <v>0.15</v>
      </c>
      <c r="F370" s="2972">
        <v>0.14599999999999999</v>
      </c>
      <c r="G370" s="2973">
        <v>0.15</v>
      </c>
    </row>
    <row r="371" spans="1:7">
      <c r="A371" s="2982" t="s">
        <v>2846</v>
      </c>
      <c r="B371" s="2971" t="s">
        <v>229</v>
      </c>
      <c r="C371" s="2972">
        <v>0.15</v>
      </c>
      <c r="D371" s="2972">
        <v>0.15</v>
      </c>
      <c r="E371" s="2972">
        <v>0.15</v>
      </c>
      <c r="F371" s="2972">
        <v>0.12</v>
      </c>
      <c r="G371" s="2973">
        <v>0.15</v>
      </c>
    </row>
    <row r="372" spans="1:7">
      <c r="A372" s="2982" t="s">
        <v>2846</v>
      </c>
      <c r="B372" s="2971" t="s">
        <v>2907</v>
      </c>
      <c r="C372" s="2972">
        <v>0.15</v>
      </c>
      <c r="D372" s="2972">
        <v>0.15</v>
      </c>
      <c r="E372" s="2972">
        <v>0.15</v>
      </c>
      <c r="F372" s="2972">
        <v>0.14299999999999999</v>
      </c>
      <c r="G372" s="2973">
        <v>0.15</v>
      </c>
    </row>
    <row r="373" spans="1:7">
      <c r="A373" s="2982" t="s">
        <v>2846</v>
      </c>
      <c r="B373" s="2971" t="s">
        <v>258</v>
      </c>
      <c r="C373" s="2972">
        <v>0.15</v>
      </c>
      <c r="D373" s="2972">
        <v>0.15</v>
      </c>
      <c r="E373" s="2972">
        <v>0.15</v>
      </c>
      <c r="F373" s="2972">
        <v>0.14599999999999999</v>
      </c>
      <c r="G373" s="2973">
        <v>0.15</v>
      </c>
    </row>
    <row r="374" spans="1:7">
      <c r="A374" s="2982" t="s">
        <v>2846</v>
      </c>
      <c r="B374" s="2971" t="s">
        <v>266</v>
      </c>
      <c r="C374" s="2972">
        <v>0.15</v>
      </c>
      <c r="D374" s="2972">
        <v>0.15</v>
      </c>
      <c r="E374" s="2972">
        <v>0.15</v>
      </c>
      <c r="F374" s="2972">
        <v>0.14399999999999999</v>
      </c>
      <c r="G374" s="2973">
        <v>0.15</v>
      </c>
    </row>
    <row r="375" spans="1:7">
      <c r="A375" s="2982" t="s">
        <v>2846</v>
      </c>
      <c r="B375" s="2971" t="s">
        <v>2915</v>
      </c>
      <c r="C375" s="2972">
        <v>0.15</v>
      </c>
      <c r="D375" s="2972">
        <v>0.15</v>
      </c>
      <c r="E375" s="2972">
        <v>0.15</v>
      </c>
      <c r="F375" s="2972">
        <v>0.13</v>
      </c>
      <c r="G375" s="2973">
        <v>0.15</v>
      </c>
    </row>
    <row r="376" spans="1:7">
      <c r="A376" s="2982" t="s">
        <v>2846</v>
      </c>
      <c r="B376" s="2971" t="s">
        <v>277</v>
      </c>
      <c r="C376" s="2972">
        <v>0.15</v>
      </c>
      <c r="D376" s="2972">
        <v>0.15</v>
      </c>
      <c r="E376" s="2972">
        <v>0.15</v>
      </c>
      <c r="F376" s="2972">
        <v>0.14199999999999999</v>
      </c>
      <c r="G376" s="2973">
        <v>0.15</v>
      </c>
    </row>
    <row r="377" spans="1:7" ht="15" thickBot="1">
      <c r="A377" s="2985" t="s">
        <v>2846</v>
      </c>
      <c r="B377" s="2975" t="s">
        <v>2921</v>
      </c>
      <c r="C377" s="2976">
        <v>0.15</v>
      </c>
      <c r="D377" s="2976">
        <v>0.15</v>
      </c>
      <c r="E377" s="2976">
        <v>0.15</v>
      </c>
      <c r="F377" s="2976">
        <v>0.14000000000000001</v>
      </c>
      <c r="G377" s="2978">
        <v>0.15</v>
      </c>
    </row>
    <row r="378" spans="1:7">
      <c r="A378" s="2981" t="s">
        <v>2847</v>
      </c>
      <c r="B378" s="2967" t="s">
        <v>2861</v>
      </c>
      <c r="C378" s="2968">
        <v>0.15</v>
      </c>
      <c r="D378" s="2968">
        <v>0.15</v>
      </c>
      <c r="E378" s="2968">
        <v>0.15</v>
      </c>
      <c r="F378" s="2968">
        <v>0.107</v>
      </c>
      <c r="G378" s="2969">
        <v>0.15</v>
      </c>
    </row>
    <row r="379" spans="1:7">
      <c r="A379" s="2982" t="s">
        <v>2847</v>
      </c>
      <c r="B379" s="2971" t="s">
        <v>2867</v>
      </c>
      <c r="C379" s="2972">
        <v>0.15</v>
      </c>
      <c r="D379" s="2972">
        <v>0.15</v>
      </c>
      <c r="E379" s="2972">
        <v>0.15</v>
      </c>
      <c r="F379" s="2972">
        <v>0.115</v>
      </c>
      <c r="G379" s="2973">
        <v>0.14899999999999999</v>
      </c>
    </row>
    <row r="380" spans="1:7">
      <c r="A380" s="2982" t="s">
        <v>2847</v>
      </c>
      <c r="B380" s="2971" t="s">
        <v>2873</v>
      </c>
      <c r="C380" s="2972">
        <v>0.15</v>
      </c>
      <c r="D380" s="2972">
        <v>0.15</v>
      </c>
      <c r="E380" s="2972">
        <v>0.15</v>
      </c>
      <c r="F380" s="2972">
        <v>0.1</v>
      </c>
      <c r="G380" s="2973">
        <v>0.14799999999999999</v>
      </c>
    </row>
    <row r="381" spans="1:7">
      <c r="A381" s="2982" t="s">
        <v>2847</v>
      </c>
      <c r="B381" s="2971" t="s">
        <v>2876</v>
      </c>
      <c r="C381" s="2972">
        <v>0.15</v>
      </c>
      <c r="D381" s="2972">
        <v>0.15</v>
      </c>
      <c r="E381" s="2972">
        <v>0.15</v>
      </c>
      <c r="F381" s="2972">
        <v>0.126</v>
      </c>
      <c r="G381" s="2973">
        <v>0.15</v>
      </c>
    </row>
    <row r="382" spans="1:7">
      <c r="A382" s="2982" t="s">
        <v>2847</v>
      </c>
      <c r="B382" s="2971" t="s">
        <v>2880</v>
      </c>
      <c r="C382" s="2972">
        <v>0.15</v>
      </c>
      <c r="D382" s="2972">
        <v>0.15</v>
      </c>
      <c r="E382" s="2972">
        <v>0.15</v>
      </c>
      <c r="F382" s="2972">
        <v>0.15</v>
      </c>
      <c r="G382" s="2973">
        <v>0.15</v>
      </c>
    </row>
    <row r="383" spans="1:7">
      <c r="A383" s="2982" t="s">
        <v>2847</v>
      </c>
      <c r="B383" s="2971" t="s">
        <v>2885</v>
      </c>
      <c r="C383" s="2972">
        <v>0.15</v>
      </c>
      <c r="D383" s="2972">
        <v>0.15</v>
      </c>
      <c r="E383" s="2972">
        <v>0.15</v>
      </c>
      <c r="F383" s="2972">
        <v>0.14699999999999999</v>
      </c>
      <c r="G383" s="2973">
        <v>0.15</v>
      </c>
    </row>
    <row r="384" spans="1:7" ht="15" thickBot="1">
      <c r="A384" s="2992" t="s">
        <v>2847</v>
      </c>
      <c r="B384" s="2993" t="s">
        <v>2889</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88"/>
      <c r="B4" s="3189" t="s">
        <v>917</v>
      </c>
      <c r="C4" s="3189"/>
      <c r="D4" s="3189"/>
      <c r="E4" s="1388"/>
    </row>
    <row r="5" spans="1:5" ht="16.2" thickTop="1">
      <c r="B5" s="3187" t="s">
        <v>909</v>
      </c>
      <c r="C5" s="1389" t="s">
        <v>910</v>
      </c>
      <c r="D5" s="794">
        <f ca="1">结果表!H101</f>
        <v>321887</v>
      </c>
    </row>
    <row r="6" spans="1:5" ht="31.2">
      <c r="B6" s="3187"/>
      <c r="C6" s="1389" t="s">
        <v>911</v>
      </c>
      <c r="D6" s="794" t="str">
        <f ca="1">NUMBERSTRING(INT(D5*10000),2)&amp;"元整"</f>
        <v>叁拾贰亿壹仟捌佰捌拾柒万元整</v>
      </c>
    </row>
    <row r="7" spans="1:5" ht="15.6">
      <c r="B7" s="3192"/>
      <c r="C7" s="1390" t="s">
        <v>912</v>
      </c>
      <c r="D7" s="795">
        <f ca="1">结果表!H102</f>
        <v>64148</v>
      </c>
    </row>
    <row r="8" spans="1:5" ht="15.6">
      <c r="B8" s="3193" t="str">
        <f>结果表!E103</f>
        <v>2.估价师知悉的法定优先受偿款</v>
      </c>
      <c r="C8" s="1391" t="s">
        <v>913</v>
      </c>
      <c r="D8" s="795">
        <f>结果表!H103</f>
        <v>0</v>
      </c>
    </row>
    <row r="9" spans="1:5" ht="15.6">
      <c r="B9" s="3195"/>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86" t="str">
        <f>结果表!E107</f>
        <v>3.房地产抵押价值</v>
      </c>
      <c r="C13" s="1394" t="s">
        <v>910</v>
      </c>
      <c r="D13" s="797">
        <f ca="1">结果表!H107</f>
        <v>321887</v>
      </c>
    </row>
    <row r="14" spans="1:5" ht="31.2">
      <c r="B14" s="3187"/>
      <c r="C14" s="1389" t="s">
        <v>911</v>
      </c>
      <c r="D14" s="794" t="str">
        <f ca="1">NUMBERSTRING(INT(D13*10000),2)&amp;"元整"</f>
        <v>叁拾贰亿壹仟捌佰捌拾柒万元整</v>
      </c>
    </row>
    <row r="15" spans="1:5" ht="15.6">
      <c r="B15" s="3192"/>
      <c r="C15" s="1390" t="s">
        <v>921</v>
      </c>
      <c r="D15" s="803">
        <f ca="1">结果表!H108</f>
        <v>64148</v>
      </c>
    </row>
    <row r="16" spans="1:5" ht="15.6">
      <c r="B16" s="3193" t="str">
        <f>结果表!E109</f>
        <v>——</v>
      </c>
      <c r="C16" s="1394" t="s">
        <v>922</v>
      </c>
      <c r="D16" s="1395" t="str">
        <f>结果表!H109</f>
        <v>——</v>
      </c>
    </row>
    <row r="17" spans="1:5" ht="15.6">
      <c r="B17" s="3194"/>
      <c r="C17" s="1389" t="s">
        <v>923</v>
      </c>
      <c r="D17" s="794" t="e">
        <f>NUMBERSTRING(INT(D16*10000),2)&amp;"元整"</f>
        <v>#VALUE!</v>
      </c>
    </row>
    <row r="18" spans="1:5" ht="15.6">
      <c r="B18" s="3195"/>
      <c r="C18" s="1390" t="s">
        <v>912</v>
      </c>
      <c r="D18" s="803" t="str">
        <f>结果表!H110</f>
        <v>——</v>
      </c>
    </row>
    <row r="19" spans="1:5" ht="15.6">
      <c r="B19" s="3186" t="str">
        <f>结果表!E111</f>
        <v>4.抵押净值</v>
      </c>
      <c r="C19" s="1394" t="s">
        <v>910</v>
      </c>
      <c r="D19" s="795">
        <f ca="1">结果表!H111</f>
        <v>122371</v>
      </c>
    </row>
    <row r="20" spans="1:5" ht="15.6">
      <c r="B20" s="3187"/>
      <c r="C20" s="1389" t="s">
        <v>923</v>
      </c>
      <c r="D20" s="794" t="str">
        <f ca="1">NUMBERSTRING(INT(D19*10000),2)&amp;"元整"</f>
        <v>壹拾贰亿贰仟叁佰柒拾壹万元整</v>
      </c>
    </row>
    <row r="21" spans="1:5" ht="16.2" thickBot="1">
      <c r="B21" s="3188"/>
      <c r="C21" s="1396" t="s">
        <v>921</v>
      </c>
      <c r="D21" s="804">
        <f ca="1">结果表!H112</f>
        <v>24387</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4" t="s">
        <v>3228</v>
      </c>
      <c r="B1" s="3504"/>
      <c r="C1" s="3504"/>
      <c r="D1" s="3504"/>
      <c r="E1" s="3504"/>
      <c r="F1" s="3505"/>
    </row>
    <row r="2" spans="1:6">
      <c r="A2" s="2996" t="s">
        <v>3229</v>
      </c>
    </row>
    <row r="3" spans="1:6">
      <c r="A3" s="2996" t="s">
        <v>3230</v>
      </c>
      <c r="F3" s="2997" t="s">
        <v>3231</v>
      </c>
    </row>
    <row r="4" spans="1:6">
      <c r="A4" s="2998" t="s">
        <v>672</v>
      </c>
      <c r="B4" s="2998" t="s">
        <v>673</v>
      </c>
      <c r="C4" s="2998" t="s">
        <v>21</v>
      </c>
      <c r="D4" s="2998" t="s">
        <v>674</v>
      </c>
      <c r="E4" s="2998" t="s">
        <v>3</v>
      </c>
      <c r="F4" s="2998" t="s">
        <v>3232</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3415</v>
      </c>
      <c r="C1" s="190"/>
      <c r="D1" s="190"/>
      <c r="E1" s="190"/>
      <c r="F1" s="190"/>
      <c r="G1" s="1059" t="e">
        <f>MATCH(B1,'数据-取费表'!A6:A16,0)+5</f>
        <v>#N/A</v>
      </c>
    </row>
    <row r="2" spans="1:9" s="192" customFormat="1" ht="18" customHeight="1">
      <c r="A2" s="193" t="s">
        <v>1462</v>
      </c>
      <c r="B2" s="194" t="e">
        <f ca="1">IF(D2="——",C52,C52-E2)</f>
        <v>#DIV/0!</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29" t="s">
        <v>1472</v>
      </c>
      <c r="B6" s="207" t="s">
        <v>1473</v>
      </c>
      <c r="C6" s="208" t="e">
        <f>基准地价修正!E40+基准地价修正!E42</f>
        <v>#DIV/0!</v>
      </c>
      <c r="D6" s="209"/>
      <c r="E6" s="210"/>
      <c r="F6" s="210"/>
      <c r="G6" s="211"/>
    </row>
    <row r="7" spans="1:9" s="206" customFormat="1" ht="13.5" customHeight="1">
      <c r="A7" s="729" t="s">
        <v>1474</v>
      </c>
      <c r="B7" s="207" t="s">
        <v>1475</v>
      </c>
      <c r="C7" s="212" t="e">
        <f>ROUND(C6*F7,0)</f>
        <v>#DIV/0!</v>
      </c>
      <c r="D7" s="212"/>
      <c r="E7" s="210"/>
      <c r="F7" s="213">
        <f>IF(项目基本情况!B8="出让",0,'数据-取费表'!B48+'数据-取费表'!B49)</f>
        <v>3.0499999999999999E-2</v>
      </c>
      <c r="G7" s="211"/>
    </row>
    <row r="8" spans="1:9" s="215" customFormat="1">
      <c r="A8" s="729" t="s">
        <v>1476</v>
      </c>
      <c r="B8" s="207" t="s">
        <v>1477</v>
      </c>
      <c r="C8" s="212" t="e">
        <f ca="1">IF(G8="已包含在土地购买价格中","0",IF(B1="",'数据-取费表'!B29,IF(G9="全部缴纳",C9+C10,H9)))</f>
        <v>#N/A</v>
      </c>
      <c r="D8" s="214"/>
      <c r="E8" s="212"/>
      <c r="F8" s="213"/>
      <c r="G8" s="1711" t="s">
        <v>3433</v>
      </c>
    </row>
    <row r="9" spans="1:9" s="206" customFormat="1" ht="13.5" customHeight="1">
      <c r="A9" s="730" t="s">
        <v>355</v>
      </c>
      <c r="B9" s="216" t="s">
        <v>1478</v>
      </c>
      <c r="C9" s="217" t="e">
        <f ca="1">ROUND(D9*E9/10000,0)</f>
        <v>#N/A</v>
      </c>
      <c r="D9" s="792" t="e">
        <f ca="1">IF(B1="",'数据-汇总表'!E5,IF(INDIRECT("'数据-取费表'!c"&amp;$G$1)="住宅",INDIRECT("'数据-取费表'!k"&amp;$G$1),0))</f>
        <v>#N/A</v>
      </c>
      <c r="E9" s="217">
        <f>'数据-取费表'!B27</f>
        <v>160</v>
      </c>
      <c r="F9" s="213"/>
      <c r="G9" s="1712" t="s">
        <v>3434</v>
      </c>
      <c r="H9" s="1067"/>
      <c r="I9" s="1713" t="s">
        <v>1479</v>
      </c>
    </row>
    <row r="10" spans="1:9" s="206" customFormat="1" ht="13.5" customHeight="1">
      <c r="A10" s="730" t="s">
        <v>356</v>
      </c>
      <c r="B10" s="216" t="s">
        <v>1480</v>
      </c>
      <c r="C10" s="217" t="e">
        <f ca="1">ROUND(D10*E10/10000,0)</f>
        <v>#N/A</v>
      </c>
      <c r="D10" s="792"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1"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t="e">
        <f ca="1">ROUND(SUM(C23:C25),0)</f>
        <v>#DIV/0!</v>
      </c>
      <c r="D22" s="227">
        <f ca="1">C26</f>
        <v>8.9999999999999998E-4</v>
      </c>
      <c r="E22" s="228" t="s">
        <v>1498</v>
      </c>
      <c r="F22" s="229">
        <f ca="1">'数据-取费表'!B40</f>
        <v>0.03</v>
      </c>
      <c r="G22" s="226" t="str">
        <f>IF('数据-取费表'!B22&lt;=1,"单利计息","复利计息")</f>
        <v>复利计息</v>
      </c>
    </row>
    <row r="23" spans="1:7" s="206" customFormat="1" ht="13.5" customHeight="1">
      <c r="A23" s="731" t="s">
        <v>1502</v>
      </c>
      <c r="B23" s="207" t="s">
        <v>1503</v>
      </c>
      <c r="C23" s="1039" t="e">
        <f ca="1">ROUND(IF('数据-取费表'!B22&lt;=1,C5*F22*'数据-取费表'!B23,C5*(POWER((1+F22),'数据-取费表'!B23)-1)),0)</f>
        <v>#DIV/0!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t="e">
        <f ca="1">ROUND(IF('数据-取费表'!B22&lt;=1,C20*F22*'数据-取费表'!B23/2,C20*(POWER((1+F22),'数据-取费表'!B23/2)-1)),0)</f>
        <v>#DIV/0!</v>
      </c>
      <c r="D25" s="230"/>
      <c r="E25" s="233"/>
      <c r="F25" s="231"/>
      <c r="G25" s="234" t="s">
        <v>1510</v>
      </c>
    </row>
    <row r="26" spans="1:7" s="206" customFormat="1">
      <c r="A26" s="731"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1" t="s">
        <v>346</v>
      </c>
      <c r="B28" s="240" t="s">
        <v>1516</v>
      </c>
      <c r="C28" s="241" t="e">
        <f ca="1">ROUND((C5+C19+C20)*F27*'数据-取费表'!B21/'数据-取费表'!B20,0)</f>
        <v>#DIV/0!</v>
      </c>
      <c r="D28" s="227"/>
      <c r="E28" s="228"/>
      <c r="F28" s="238"/>
      <c r="G28" s="239"/>
    </row>
    <row r="29" spans="1:7" s="206" customFormat="1" ht="13.5" customHeight="1">
      <c r="A29" s="731"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1"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1" t="s">
        <v>353</v>
      </c>
      <c r="B37" s="207" t="s">
        <v>1531</v>
      </c>
      <c r="C37" s="241" t="e">
        <f ca="1">ROUND(E37*D37*F34/10000,0)</f>
        <v>#N/A</v>
      </c>
      <c r="D37" s="209" t="e">
        <f ca="1">D19</f>
        <v>#N/A</v>
      </c>
      <c r="E37" s="241">
        <f>'数据-取费表'!B35</f>
        <v>200</v>
      </c>
      <c r="F37" s="251"/>
      <c r="G37" s="253" t="s">
        <v>1532</v>
      </c>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8.9999999999999998E-4</v>
      </c>
      <c r="E41" s="228" t="s">
        <v>1539</v>
      </c>
      <c r="F41" s="229">
        <f ca="1">F22</f>
        <v>0.03</v>
      </c>
      <c r="G41" s="226" t="str">
        <f>IF('数据-取费表'!B22&lt;=1,"单利计息","复利计息")</f>
        <v>复利计息</v>
      </c>
    </row>
    <row r="42" spans="1:7" ht="13.5" customHeight="1">
      <c r="A42" s="731" t="s">
        <v>346</v>
      </c>
      <c r="B42" s="207" t="s">
        <v>1543</v>
      </c>
      <c r="C42" s="230" t="e">
        <f ca="1">ROUND(IF('数据-取费表'!B22&lt;=1,C33*F22*'数据-取费表'!B21/2,C33*(POWER((1+F22),'数据-取费表'!B21/2)-1)),0)</f>
        <v>#N/A</v>
      </c>
      <c r="D42" s="230"/>
      <c r="E42" s="230"/>
      <c r="F42" s="231"/>
      <c r="G42" s="3367" t="s">
        <v>1544</v>
      </c>
    </row>
    <row r="43" spans="1:7" ht="13.5" customHeight="1">
      <c r="A43" s="731" t="s">
        <v>347</v>
      </c>
      <c r="B43" s="207" t="s">
        <v>1545</v>
      </c>
      <c r="C43" s="230" t="e">
        <f ca="1">ROUND(IF('数据-取费表'!B22&lt;=1,C39*F22*'数据-取费表'!B21/2,C39*(POWER((1+F22),'数据-取费表'!B21/2)-1)),0)</f>
        <v>#N/A</v>
      </c>
      <c r="D43" s="230"/>
      <c r="E43" s="230"/>
      <c r="F43" s="231"/>
      <c r="G43" s="3368"/>
    </row>
    <row r="44" spans="1:7" ht="13.5" customHeight="1">
      <c r="A44" s="731" t="s">
        <v>348</v>
      </c>
      <c r="B44" s="207" t="s">
        <v>1546</v>
      </c>
      <c r="C44" s="230">
        <f ca="1">ROUND(IF('数据-取费表'!B22&lt;=1,C40*F22*'数据-取费表'!B21/2,C40*(POWER((1+F22),'数据-取费表'!B21/2)-1)),4)</f>
        <v>8.9999999999999998E-4</v>
      </c>
      <c r="D44" s="230"/>
      <c r="E44" s="230"/>
      <c r="F44" s="231"/>
      <c r="G44" s="3369"/>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 type="list" allowBlank="1" showInputMessage="1" showErrorMessage="1" sqref="B1" xr:uid="{00000000-0002-0000-2A00-000002000000}">
      <formula1>项目类型</formula1>
    </dataValidation>
    <dataValidation type="list" allowBlank="1" showInputMessage="1" showErrorMessage="1" sqref="G9" xr:uid="{00000000-0002-0000-2A00-000003000000}">
      <formula1>"部分缴纳,全部缴纳"</formula1>
    </dataValidation>
    <dataValidation type="list" allowBlank="1" showInputMessage="1" showErrorMessage="1" sqref="G2" xr:uid="{00000000-0002-0000-2A00-000004000000}">
      <formula1>估价方法</formula1>
    </dataValidation>
    <dataValidation type="list" allowBlank="1" showInputMessage="1" showErrorMessage="1" sqref="D2" xr:uid="{00000000-0002-0000-2A00-000005000000}">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1D69-803B-4A7A-BC8C-A64035B104EE}">
  <sheetPr>
    <tabColor rgb="FF92D050"/>
  </sheetPr>
  <dimension ref="A1:AK83"/>
  <sheetViews>
    <sheetView view="pageBreakPreview" topLeftCell="A25"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t="s">
        <v>21</v>
      </c>
      <c r="D1" s="1268" t="s">
        <v>43</v>
      </c>
      <c r="E1" s="1269" t="s">
        <v>678</v>
      </c>
      <c r="F1" s="996">
        <f ca="1">J53</f>
        <v>29</v>
      </c>
      <c r="G1" s="1283">
        <f>MATCH(C1,'数据-取费表'!A6:A16,0)+5</f>
        <v>7</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238796</v>
      </c>
      <c r="C2" s="1286" t="s">
        <v>805</v>
      </c>
      <c r="D2" s="1286"/>
      <c r="E2" s="1292"/>
      <c r="F2" s="1293"/>
      <c r="G2" s="2472"/>
      <c r="H2" s="2462"/>
      <c r="I2" s="2462"/>
      <c r="J2" s="2462"/>
      <c r="K2" s="2463"/>
      <c r="L2" s="2462"/>
      <c r="M2" s="2462"/>
    </row>
    <row r="3" spans="1:37" ht="18" customHeight="1" thickBot="1">
      <c r="A3" s="1294" t="s">
        <v>806</v>
      </c>
      <c r="B3" s="1295">
        <f ca="1">IF(ISERROR(B2*10000/F43),0,ROUND(B2*10000/F43,0))</f>
        <v>52649</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16410</v>
      </c>
      <c r="D5" s="1270" t="s">
        <v>693</v>
      </c>
      <c r="E5" s="1005"/>
      <c r="F5" s="1006"/>
      <c r="G5" s="1289"/>
      <c r="H5" s="291">
        <v>1</v>
      </c>
      <c r="I5" s="292" t="s">
        <v>692</v>
      </c>
      <c r="J5" s="1004">
        <f ca="1">J6+J10+J12</f>
        <v>0</v>
      </c>
      <c r="K5" s="1270" t="s">
        <v>693</v>
      </c>
      <c r="L5" s="1005"/>
      <c r="M5" s="1006"/>
    </row>
    <row r="6" spans="1:37" ht="18" customHeight="1">
      <c r="A6" s="1003" t="s">
        <v>398</v>
      </c>
      <c r="B6" s="3424" t="s">
        <v>694</v>
      </c>
      <c r="C6" s="1008">
        <f ca="1">ROUND(F6*F8*F7*(1-F9)/10000,0)</f>
        <v>16390</v>
      </c>
      <c r="D6" s="147" t="s">
        <v>2109</v>
      </c>
      <c r="E6" s="294" t="s">
        <v>696</v>
      </c>
      <c r="F6" s="295">
        <f ca="1">INDIRECT("'数据-取费表'!u"&amp;$G$1)</f>
        <v>11</v>
      </c>
      <c r="G6" s="1289"/>
      <c r="H6" s="1003" t="s">
        <v>398</v>
      </c>
      <c r="I6" s="3424" t="s">
        <v>694</v>
      </c>
      <c r="J6" s="293">
        <f ca="1">ROUND(M6*M8*M7*(1-M9)/10000,0)</f>
        <v>0</v>
      </c>
      <c r="K6" s="147" t="s">
        <v>2108</v>
      </c>
      <c r="L6" s="294" t="s">
        <v>696</v>
      </c>
      <c r="M6" s="295">
        <f ca="1">INDIRECT("'数据-取费表'!z"&amp;$G$1)</f>
        <v>0</v>
      </c>
    </row>
    <row r="7" spans="1:37" ht="18" customHeight="1">
      <c r="A7" s="1007"/>
      <c r="B7" s="3425"/>
      <c r="C7" s="1009"/>
      <c r="D7" s="299"/>
      <c r="E7" s="1010" t="s">
        <v>697</v>
      </c>
      <c r="F7" s="295">
        <f ca="1">IF(INDIRECT("'数据-取费表'!ah"&amp;$G$1)="",INDIRECT("'数据-取费表'!k"&amp;$G$1),INDIRECT("'数据-取费表'!ah"&amp;$G$1))</f>
        <v>45356.57</v>
      </c>
      <c r="G7" s="1289"/>
      <c r="H7" s="296"/>
      <c r="I7" s="3425"/>
      <c r="J7" s="298"/>
      <c r="K7" s="299"/>
      <c r="L7" s="294" t="s">
        <v>697</v>
      </c>
      <c r="M7" s="295">
        <f ca="1">F7</f>
        <v>45356.57</v>
      </c>
    </row>
    <row r="8" spans="1:37" ht="18" customHeight="1">
      <c r="A8" s="296"/>
      <c r="B8" s="3425"/>
      <c r="C8" s="298"/>
      <c r="D8" s="299"/>
      <c r="E8" s="294" t="s">
        <v>698</v>
      </c>
      <c r="F8" s="295">
        <f ca="1">INDIRECT("'数据-取费表'!ai"&amp;$G$1)</f>
        <v>365</v>
      </c>
      <c r="G8" s="1289"/>
      <c r="H8" s="296"/>
      <c r="I8" s="3425"/>
      <c r="J8" s="298"/>
      <c r="K8" s="299"/>
      <c r="L8" s="294" t="s">
        <v>698</v>
      </c>
      <c r="M8" s="295">
        <f ca="1">INDIRECT("'数据-取费表'!ai"&amp;$G$1)</f>
        <v>365</v>
      </c>
    </row>
    <row r="9" spans="1:37" ht="18" customHeight="1">
      <c r="A9" s="296"/>
      <c r="B9" s="3426"/>
      <c r="C9" s="298"/>
      <c r="D9" s="299"/>
      <c r="E9" s="294" t="s">
        <v>699</v>
      </c>
      <c r="F9" s="304">
        <f ca="1">INDIRECT("'数据-取费表'!w"&amp;$G$1)</f>
        <v>0.1</v>
      </c>
      <c r="G9" s="1289"/>
      <c r="H9" s="296"/>
      <c r="I9" s="3426"/>
      <c r="J9" s="298"/>
      <c r="K9" s="299"/>
      <c r="L9" s="305" t="s">
        <v>699</v>
      </c>
      <c r="M9" s="306">
        <f ca="1">INDIRECT("'数据-取费表'!ab"&amp;$G$1)</f>
        <v>0</v>
      </c>
    </row>
    <row r="10" spans="1:37" ht="18" customHeight="1">
      <c r="A10" s="1003" t="s">
        <v>402</v>
      </c>
      <c r="B10" s="1271" t="s">
        <v>700</v>
      </c>
      <c r="C10" s="308">
        <f ca="1">ROUND(IF(F10="押一",C6/12*F11,IF(F10="押二",C6/12*2*F11,IF(F10="押三",C6/12*3*F11,C11*F11))),0)</f>
        <v>20</v>
      </c>
      <c r="D10" s="150" t="s">
        <v>2116</v>
      </c>
      <c r="E10" s="305" t="s">
        <v>701</v>
      </c>
      <c r="F10" s="1050" t="s">
        <v>3436</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36438</v>
      </c>
      <c r="D13" s="1015" t="s">
        <v>705</v>
      </c>
      <c r="E13" s="1015" t="s">
        <v>706</v>
      </c>
      <c r="F13" s="1016">
        <f ca="1">INDIRECT("'数据-取费表'!y"&amp;$G$1)</f>
        <v>0.95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26239</v>
      </c>
      <c r="D14" s="1254" t="s">
        <v>708</v>
      </c>
      <c r="E14" s="1252"/>
      <c r="F14" s="311"/>
      <c r="G14" s="1289"/>
      <c r="H14" s="925" t="s">
        <v>398</v>
      </c>
      <c r="I14" s="294" t="s">
        <v>709</v>
      </c>
      <c r="J14" s="21">
        <f ca="1">C29</f>
        <v>38356</v>
      </c>
      <c r="K14" s="12"/>
      <c r="L14" s="756"/>
      <c r="M14" s="757"/>
    </row>
    <row r="15" spans="1:37" s="1301" customFormat="1" ht="18" customHeight="1" thickBot="1">
      <c r="A15" s="925" t="s">
        <v>399</v>
      </c>
      <c r="B15" s="294" t="s">
        <v>710</v>
      </c>
      <c r="C15" s="21">
        <f ca="1">ROUND(C14*F15,0)</f>
        <v>1312</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202</v>
      </c>
      <c r="K16" s="1021" t="s">
        <v>715</v>
      </c>
      <c r="L16" s="1022"/>
      <c r="M16" s="1006"/>
    </row>
    <row r="17" spans="1:37" s="1301" customFormat="1" ht="18" customHeight="1">
      <c r="A17" s="925" t="s">
        <v>681</v>
      </c>
      <c r="B17" s="294" t="s">
        <v>716</v>
      </c>
      <c r="C17" s="21">
        <f ca="1">ROUND(F17*(F43+INDIRECT("'数据-取费表'!S"&amp;$G$1))/10000,0)</f>
        <v>954</v>
      </c>
      <c r="D17" s="294" t="s">
        <v>717</v>
      </c>
      <c r="E17" s="294" t="s">
        <v>718</v>
      </c>
      <c r="F17" s="23">
        <f>'数据-取费表'!B35</f>
        <v>200</v>
      </c>
      <c r="G17" s="1300"/>
      <c r="H17" s="925" t="s">
        <v>398</v>
      </c>
      <c r="I17" s="294" t="s">
        <v>719</v>
      </c>
      <c r="J17" s="2137">
        <f ca="1">ROUND(IF(AND(项目基本情况!B11="自然人",项目基本情况!B10="北京市"),J6*M17/(1+'数据-取费表'!C42),J18+J19+J20),2)</f>
        <v>9.9700000000000006</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525</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29030</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581</v>
      </c>
      <c r="D20" s="315" t="s">
        <v>729</v>
      </c>
      <c r="E20" s="294" t="s">
        <v>712</v>
      </c>
      <c r="F20" s="314">
        <f>'数据-取费表'!B37</f>
        <v>0.02</v>
      </c>
      <c r="G20" s="1300"/>
      <c r="H20" s="925" t="s">
        <v>680</v>
      </c>
      <c r="I20" s="147" t="s">
        <v>730</v>
      </c>
      <c r="J20" s="22">
        <f ca="1">ROUND(M20*M21/10000,2)</f>
        <v>9.9700000000000006</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3324.91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191.78</v>
      </c>
      <c r="K22" s="1253" t="s">
        <v>739</v>
      </c>
      <c r="L22" s="294" t="s">
        <v>712</v>
      </c>
      <c r="M22" s="320">
        <f ca="1">INDIRECT("'数据-取费表'!Ak"&amp;$G$1)</f>
        <v>5.0000000000000001E-3</v>
      </c>
    </row>
    <row r="23" spans="1:37" s="1301" customFormat="1" ht="18" customHeight="1">
      <c r="A23" s="925" t="s">
        <v>397</v>
      </c>
      <c r="B23" s="294" t="s">
        <v>740</v>
      </c>
      <c r="C23" s="21">
        <f ca="1">IF('数据-取费表'!B22&lt;=1,ROUND(C19*F24*F23/2,0)+ROUND(C20*F24*F23/2,0),ROUND(C19*(POWER((1+F24),F23/2)-1),0)+ROUND(C20*(POWER((1+F24),F23/2)-1),0))</f>
        <v>1342</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0"/>
      <c r="H24" s="1023" t="s">
        <v>683</v>
      </c>
      <c r="I24" s="1024" t="s">
        <v>728</v>
      </c>
      <c r="J24" s="1025">
        <f ca="1">ROUND(J5*M24,2)</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-202</v>
      </c>
      <c r="K25" s="1029" t="s">
        <v>753</v>
      </c>
      <c r="L25" s="1030"/>
      <c r="M25" s="1031"/>
    </row>
    <row r="26" spans="1:37">
      <c r="A26" s="925" t="s">
        <v>397</v>
      </c>
      <c r="B26" s="294" t="s">
        <v>754</v>
      </c>
      <c r="C26" s="21">
        <f ca="1">ROUND((C19+C20)*F26,0)</f>
        <v>4442</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38356</v>
      </c>
      <c r="D29" s="1026"/>
      <c r="E29" s="1024"/>
      <c r="F29" s="1027"/>
      <c r="G29" s="1300"/>
      <c r="H29" s="325" t="s">
        <v>396</v>
      </c>
      <c r="I29" s="326" t="s">
        <v>768</v>
      </c>
      <c r="J29" s="327">
        <f ca="1">ROUND(J26/(1+F40)^F41,0)</f>
        <v>0</v>
      </c>
      <c r="K29" s="328" t="s">
        <v>769</v>
      </c>
      <c r="L29" s="329"/>
      <c r="M29" s="330">
        <f ca="1">INDIRECT("'数据-取费表'!k"&amp;$G$1)</f>
        <v>45356.57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3150</v>
      </c>
      <c r="D30" s="1021" t="s">
        <v>715</v>
      </c>
      <c r="E30" s="1022"/>
      <c r="F30" s="1006"/>
      <c r="G30" s="1289"/>
      <c r="H30" s="2464"/>
      <c r="I30" s="1302"/>
      <c r="J30" s="1303"/>
      <c r="K30" s="121"/>
      <c r="L30" s="2465"/>
      <c r="M30" s="2466"/>
    </row>
    <row r="31" spans="1:37" ht="18" customHeight="1">
      <c r="A31" s="925" t="s">
        <v>398</v>
      </c>
      <c r="B31" s="294" t="s">
        <v>719</v>
      </c>
      <c r="C31" s="2137">
        <f ca="1">ROUND(IF(AND(项目基本情况!B11="自然人",项目基本情况!B10="北京市"),C6*F31/(1+'数据-取费表'!C42),C32+C33+C34),2)</f>
        <v>2757.24</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5"/>
      <c r="M31" s="2466"/>
    </row>
    <row r="32" spans="1:37" ht="18" customHeight="1">
      <c r="A32" s="925" t="s">
        <v>397</v>
      </c>
      <c r="B32" s="294" t="s">
        <v>723</v>
      </c>
      <c r="C32" s="21">
        <f ca="1">IF(项目基本情况!B11="自然人","——",ROUND(C6*F32/(1+'数据-取费表'!C42),2))</f>
        <v>874.13</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1873.14</v>
      </c>
      <c r="D33" s="1275" t="s">
        <v>3332</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9.9700000000000006</v>
      </c>
      <c r="D34" s="316" t="s">
        <v>731</v>
      </c>
      <c r="E34" s="294" t="s">
        <v>732</v>
      </c>
      <c r="F34" s="317">
        <f>'数据-取费表'!B52</f>
        <v>30</v>
      </c>
      <c r="G34" s="1289"/>
      <c r="H34" s="2464"/>
      <c r="I34" s="1302"/>
      <c r="J34" s="1303"/>
      <c r="K34" s="2469"/>
      <c r="L34" s="2470"/>
      <c r="M34" s="2470"/>
    </row>
    <row r="35" spans="1:18" ht="18" customHeight="1">
      <c r="A35" s="1037"/>
      <c r="B35" s="1035"/>
      <c r="C35" s="26"/>
      <c r="D35" s="319"/>
      <c r="E35" s="294" t="s">
        <v>736</v>
      </c>
      <c r="F35" s="295">
        <f ca="1">INDIRECT("'数据-取费表'!r"&amp;$G$1)</f>
        <v>3324.91</v>
      </c>
      <c r="G35" s="1289"/>
      <c r="H35" s="2464"/>
      <c r="I35" s="1302"/>
      <c r="J35" s="1303"/>
      <c r="K35" s="2468"/>
      <c r="L35" s="2467"/>
      <c r="M35" s="2467"/>
    </row>
    <row r="36" spans="1:18" ht="18" customHeight="1">
      <c r="A36" s="1036" t="s">
        <v>402</v>
      </c>
      <c r="B36" s="294" t="s">
        <v>738</v>
      </c>
      <c r="C36" s="21">
        <f ca="1">ROUND(C29*F36,2)</f>
        <v>191.78</v>
      </c>
      <c r="D36" s="1253" t="s">
        <v>771</v>
      </c>
      <c r="E36" s="294" t="s">
        <v>712</v>
      </c>
      <c r="F36" s="320">
        <f ca="1">INDIRECT("'数据-取费表'!Ak"&amp;$G$1)</f>
        <v>5.0000000000000001E-3</v>
      </c>
      <c r="G36" s="1289"/>
      <c r="H36" s="2467"/>
      <c r="I36" s="1302"/>
      <c r="J36" s="1303"/>
      <c r="K36" s="2326"/>
      <c r="L36" s="2467"/>
      <c r="M36" s="2467"/>
    </row>
    <row r="37" spans="1:18" ht="18" customHeight="1">
      <c r="A37" s="925" t="s">
        <v>437</v>
      </c>
      <c r="B37" s="294" t="s">
        <v>742</v>
      </c>
      <c r="C37" s="21">
        <f ca="1">ROUND(C13*F37,2)</f>
        <v>36.44</v>
      </c>
      <c r="D37" s="1253" t="s">
        <v>743</v>
      </c>
      <c r="E37" s="294" t="s">
        <v>712</v>
      </c>
      <c r="F37" s="321">
        <f ca="1">INDIRECT("'数据-取费表'!Al"&amp;$G$1)</f>
        <v>1E-3</v>
      </c>
      <c r="G37" s="1289"/>
      <c r="H37" s="2467"/>
      <c r="I37" s="1302"/>
      <c r="J37" s="1303"/>
      <c r="K37" s="2326"/>
      <c r="L37" s="2467"/>
      <c r="M37" s="2467"/>
    </row>
    <row r="38" spans="1:18" ht="18" customHeight="1" thickBot="1">
      <c r="A38" s="1023" t="s">
        <v>683</v>
      </c>
      <c r="B38" s="1024" t="s">
        <v>728</v>
      </c>
      <c r="C38" s="1025">
        <f ca="1">ROUND(C5*F38,2)</f>
        <v>164.1</v>
      </c>
      <c r="D38" s="1026" t="s">
        <v>748</v>
      </c>
      <c r="E38" s="1024" t="s">
        <v>712</v>
      </c>
      <c r="F38" s="1020">
        <f ca="1">INDIRECT("'数据-取费表'!Am"&amp;$G$1)</f>
        <v>0.01</v>
      </c>
      <c r="G38" s="1289"/>
      <c r="H38" s="2467"/>
      <c r="I38" s="1302"/>
      <c r="J38" s="1303"/>
      <c r="K38" s="2465"/>
      <c r="L38" s="2467"/>
      <c r="M38" s="2467"/>
    </row>
    <row r="39" spans="1:18" ht="24.6" customHeight="1" thickTop="1">
      <c r="A39" s="1013" t="s">
        <v>394</v>
      </c>
      <c r="B39" s="1028" t="s">
        <v>752</v>
      </c>
      <c r="C39" s="302">
        <f ca="1">C5-C30</f>
        <v>13260</v>
      </c>
      <c r="D39" s="1029" t="s">
        <v>753</v>
      </c>
      <c r="E39" s="1030"/>
      <c r="F39" s="1031"/>
      <c r="G39" s="1289"/>
      <c r="H39" s="2467"/>
      <c r="I39" s="1302"/>
      <c r="J39" s="1303"/>
      <c r="K39" s="2465"/>
      <c r="L39" s="2467"/>
      <c r="M39" s="2467"/>
    </row>
    <row r="40" spans="1:18" ht="18" customHeight="1">
      <c r="A40" s="291" t="s">
        <v>395</v>
      </c>
      <c r="B40" s="292" t="s">
        <v>774</v>
      </c>
      <c r="C40" s="293">
        <f ca="1">ROUND(C39*(1-((1+F42)/(1+F40))^F41)/(F40-F42),0)</f>
        <v>236441</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52129</v>
      </c>
      <c r="D43" s="328" t="s">
        <v>777</v>
      </c>
      <c r="E43" s="329" t="s">
        <v>778</v>
      </c>
      <c r="F43" s="330">
        <f ca="1">INDIRECT("'数据-取费表'!k"&amp;$G$1)</f>
        <v>45356.57</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8" thickBot="1">
      <c r="A46" s="1308" t="s">
        <v>809</v>
      </c>
      <c r="C46" s="1309">
        <f ca="1">C68-C40</f>
        <v>-239852</v>
      </c>
      <c r="D46" s="1310" t="str">
        <f>C2</f>
        <v>万元</v>
      </c>
      <c r="E46" s="1304"/>
      <c r="F46" s="1304"/>
      <c r="I46" s="1311" t="s">
        <v>810</v>
      </c>
      <c r="J46" s="1312"/>
      <c r="K46" s="1313"/>
      <c r="L46" s="1314">
        <f ca="1">IF(M47="住宅",0,IF(L48&gt;J51,L60,J60))</f>
        <v>2355</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1"/>
      <c r="I47" s="1318" t="s">
        <v>815</v>
      </c>
      <c r="J47" s="1319" t="s">
        <v>3437</v>
      </c>
      <c r="K47" s="1320" t="s">
        <v>816</v>
      </c>
      <c r="L47" s="1321">
        <f ca="1">INDIRECT("'数据-取费表'!d"&amp;$G$1)</f>
        <v>50</v>
      </c>
      <c r="M47" s="1285" t="str">
        <f>IF(ISNUMBER(FIND("住宅",C1)),"住宅","非住宅")</f>
        <v>非住宅</v>
      </c>
      <c r="O47" s="1322" t="s">
        <v>403</v>
      </c>
      <c r="P47" s="1323" t="s">
        <v>817</v>
      </c>
      <c r="Q47" s="1324">
        <f ca="1">C40+J29</f>
        <v>236441</v>
      </c>
      <c r="R47" s="1324" t="s">
        <v>818</v>
      </c>
    </row>
    <row r="48" spans="1:18" s="1289" customFormat="1" ht="40.200000000000003" thickBot="1">
      <c r="A48" s="1044" t="s">
        <v>438</v>
      </c>
      <c r="B48" s="292" t="s">
        <v>692</v>
      </c>
      <c r="C48" s="1265">
        <f ca="1">C49+C53+C55</f>
        <v>0</v>
      </c>
      <c r="D48" s="1046"/>
      <c r="E48" s="1047"/>
      <c r="F48" s="905"/>
      <c r="G48" s="681"/>
      <c r="H48" s="682"/>
      <c r="I48" s="1325" t="s">
        <v>819</v>
      </c>
      <c r="J48" s="1326" t="s">
        <v>3438</v>
      </c>
      <c r="K48" s="1327" t="s">
        <v>820</v>
      </c>
      <c r="L48" s="1328">
        <f ca="1">INDIRECT("'数据-取费表'!f"&amp;$G$1)</f>
        <v>29</v>
      </c>
      <c r="O48" s="1322" t="s">
        <v>404</v>
      </c>
      <c r="P48" s="1323" t="s">
        <v>821</v>
      </c>
      <c r="Q48" s="1324">
        <f ca="1">J60</f>
        <v>2355</v>
      </c>
      <c r="R48" s="1324" t="s">
        <v>822</v>
      </c>
    </row>
    <row r="49" spans="1:18" s="1289" customFormat="1" ht="13.8" thickBot="1">
      <c r="A49" s="918" t="s">
        <v>439</v>
      </c>
      <c r="B49" s="1276" t="s">
        <v>779</v>
      </c>
      <c r="C49" s="1048">
        <f ca="1">ROUND(F49*F51*F50*(1-F52)/10000,0)</f>
        <v>0</v>
      </c>
      <c r="D49" s="989" t="s">
        <v>2108</v>
      </c>
      <c r="E49" s="1277" t="s">
        <v>780</v>
      </c>
      <c r="F49" s="994"/>
      <c r="H49" s="682"/>
      <c r="I49" s="1325" t="s">
        <v>823</v>
      </c>
      <c r="J49" s="1329">
        <f>'数据-取费表'!N18</f>
        <v>2024</v>
      </c>
      <c r="K49" s="1327" t="s">
        <v>824</v>
      </c>
      <c r="L49" s="1330"/>
      <c r="O49" s="1331" t="s">
        <v>405</v>
      </c>
      <c r="P49" s="1323" t="s">
        <v>825</v>
      </c>
      <c r="Q49" s="1324">
        <f ca="1">C29</f>
        <v>38356</v>
      </c>
      <c r="R49" s="1324" t="s">
        <v>818</v>
      </c>
    </row>
    <row r="50" spans="1:18" s="1289" customFormat="1" ht="13.8" thickBot="1">
      <c r="A50" s="919"/>
      <c r="B50" s="922"/>
      <c r="C50" s="1052"/>
      <c r="D50" s="896"/>
      <c r="E50" s="990" t="s">
        <v>697</v>
      </c>
      <c r="F50" s="991">
        <f ca="1">F7</f>
        <v>45356.57</v>
      </c>
      <c r="H50" s="682"/>
      <c r="I50" s="1325" t="s">
        <v>826</v>
      </c>
      <c r="J50" s="1332">
        <f>SUMPRODUCT((I63:I65=J47)*(J62:L62=J48)*(J63:L65))</f>
        <v>60</v>
      </c>
      <c r="K50" s="1327" t="s">
        <v>827</v>
      </c>
      <c r="L50" s="1330"/>
      <c r="M50" s="1333"/>
      <c r="O50" s="1331" t="s">
        <v>406</v>
      </c>
      <c r="P50" s="1323" t="s">
        <v>828</v>
      </c>
      <c r="Q50" s="1334">
        <f ca="1">J58</f>
        <v>0.5</v>
      </c>
      <c r="R50" s="1324"/>
    </row>
    <row r="51" spans="1:18" s="1289" customFormat="1" ht="13.8"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202147</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29</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29</v>
      </c>
      <c r="K53" s="3422" t="s">
        <v>837</v>
      </c>
      <c r="L53" s="3423"/>
      <c r="O53" s="1322" t="s">
        <v>409</v>
      </c>
      <c r="P53" s="1323" t="s">
        <v>838</v>
      </c>
      <c r="Q53" s="1324">
        <f ca="1">Q47+Q48</f>
        <v>238796</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36438</v>
      </c>
      <c r="D56" s="1349"/>
      <c r="E56" s="1350"/>
      <c r="F56" s="1342"/>
      <c r="I56" s="1351" t="s">
        <v>842</v>
      </c>
      <c r="J56" s="1352" t="s">
        <v>3439</v>
      </c>
      <c r="K56" s="1325" t="s">
        <v>843</v>
      </c>
      <c r="L56" s="1328" t="str">
        <f ca="1">IF(L48&lt;J51,"——",L48-J53)</f>
        <v>——</v>
      </c>
      <c r="O56" s="1322" t="s">
        <v>403</v>
      </c>
      <c r="P56" s="1323" t="s">
        <v>817</v>
      </c>
      <c r="Q56" s="1324">
        <f ca="1">C40+J29</f>
        <v>236441</v>
      </c>
      <c r="R56" s="1324" t="s">
        <v>818</v>
      </c>
    </row>
    <row r="57" spans="1:18" s="1289" customFormat="1" ht="24.6" thickBot="1">
      <c r="A57" s="1353"/>
      <c r="B57" s="893" t="s">
        <v>767</v>
      </c>
      <c r="C57" s="230">
        <f ca="1">C29</f>
        <v>38356</v>
      </c>
      <c r="D57" s="1354"/>
      <c r="E57" s="1355"/>
      <c r="F57" s="1356"/>
      <c r="I57" s="1357" t="s">
        <v>844</v>
      </c>
      <c r="J57" s="1358">
        <f ca="1">IF(OR(M47="住宅",J51&lt;L48,J56="是"),"——",J51-L48)</f>
        <v>30</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238</v>
      </c>
      <c r="D58" s="903" t="s">
        <v>715</v>
      </c>
      <c r="E58" s="904"/>
      <c r="F58" s="905"/>
      <c r="I58" s="1357" t="s">
        <v>848</v>
      </c>
      <c r="J58" s="1359">
        <f ca="1">IF(J55&lt;0.4,0.4,J55)</f>
        <v>0.5</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19178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2355</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9.9700000000000006</v>
      </c>
      <c r="D62" s="908" t="s">
        <v>731</v>
      </c>
      <c r="E62" s="893" t="s">
        <v>732</v>
      </c>
      <c r="F62" s="317">
        <f t="shared" si="0"/>
        <v>30</v>
      </c>
      <c r="I62" s="1364" t="s">
        <v>858</v>
      </c>
      <c r="J62" s="610" t="s">
        <v>859</v>
      </c>
      <c r="K62" s="610" t="s">
        <v>860</v>
      </c>
      <c r="L62" s="610" t="s">
        <v>861</v>
      </c>
      <c r="M62" s="1365" t="s">
        <v>862</v>
      </c>
      <c r="O62" s="1322" t="s">
        <v>409</v>
      </c>
      <c r="P62" s="1323" t="s">
        <v>838</v>
      </c>
      <c r="Q62" s="1324">
        <f ca="1">Q56+Q57</f>
        <v>236441</v>
      </c>
      <c r="R62" s="1324" t="s">
        <v>410</v>
      </c>
    </row>
    <row r="63" spans="1:18" s="1289" customFormat="1" ht="13.8" thickBot="1">
      <c r="A63" s="318"/>
      <c r="B63" s="899"/>
      <c r="C63" s="26"/>
      <c r="D63" s="909"/>
      <c r="E63" s="893" t="s">
        <v>736</v>
      </c>
      <c r="F63" s="295">
        <f t="shared" ca="1" si="0"/>
        <v>3324.91</v>
      </c>
      <c r="I63" s="1364" t="s">
        <v>864</v>
      </c>
      <c r="J63" s="610">
        <v>70</v>
      </c>
      <c r="K63" s="610">
        <v>50</v>
      </c>
      <c r="L63" s="610">
        <v>80</v>
      </c>
      <c r="M63" s="1366">
        <v>0.02</v>
      </c>
      <c r="O63" s="1307" t="s">
        <v>865</v>
      </c>
      <c r="P63" s="1286"/>
      <c r="Q63" s="1286"/>
      <c r="R63" s="1286"/>
    </row>
    <row r="64" spans="1:18" s="1289" customFormat="1" ht="13.8" thickBot="1">
      <c r="A64" s="925" t="s">
        <v>402</v>
      </c>
      <c r="B64" s="893" t="s">
        <v>738</v>
      </c>
      <c r="C64" s="21">
        <f ca="1">ROUND(C57*F64,2)</f>
        <v>191.78</v>
      </c>
      <c r="D64" s="907" t="s">
        <v>771</v>
      </c>
      <c r="E64" s="893"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8" thickBot="1">
      <c r="A65" s="925" t="s">
        <v>792</v>
      </c>
      <c r="B65" s="893" t="s">
        <v>742</v>
      </c>
      <c r="C65" s="21">
        <f ca="1">ROUND(C56*F65,2)</f>
        <v>36.44</v>
      </c>
      <c r="D65" s="907" t="s">
        <v>743</v>
      </c>
      <c r="E65" s="893" t="s">
        <v>712</v>
      </c>
      <c r="F65" s="321">
        <f t="shared" ca="1" si="0"/>
        <v>1E-3</v>
      </c>
      <c r="I65" s="1364" t="s">
        <v>867</v>
      </c>
      <c r="J65" s="610">
        <v>40</v>
      </c>
      <c r="K65" s="610">
        <v>30</v>
      </c>
      <c r="L65" s="610">
        <v>50</v>
      </c>
      <c r="M65" s="1366">
        <v>0.02</v>
      </c>
      <c r="O65" s="1322" t="s">
        <v>403</v>
      </c>
      <c r="P65" s="1323" t="s">
        <v>817</v>
      </c>
      <c r="Q65" s="1324">
        <f ca="1">C40+J29</f>
        <v>236441</v>
      </c>
      <c r="R65" s="1324" t="s">
        <v>818</v>
      </c>
    </row>
    <row r="66" spans="1:18" s="1289" customFormat="1" ht="16.2" thickBot="1">
      <c r="A66" s="925" t="s">
        <v>793</v>
      </c>
      <c r="B66" s="893" t="s">
        <v>728</v>
      </c>
      <c r="C66" s="21">
        <f ca="1">ROUND(C48*F66,2)</f>
        <v>0</v>
      </c>
      <c r="D66" s="907" t="s">
        <v>748</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-238</v>
      </c>
      <c r="D67" s="906" t="s">
        <v>753</v>
      </c>
      <c r="E67" s="911"/>
      <c r="F67" s="912"/>
      <c r="O67" s="1331" t="s">
        <v>405</v>
      </c>
      <c r="P67" s="1323" t="s">
        <v>850</v>
      </c>
      <c r="Q67" s="1367">
        <f ca="1">L51</f>
        <v>202147</v>
      </c>
      <c r="R67" s="1324" t="s">
        <v>870</v>
      </c>
    </row>
    <row r="68" spans="1:18" s="1289" customFormat="1" ht="16.2" thickBot="1">
      <c r="A68" s="890" t="s">
        <v>395</v>
      </c>
      <c r="B68" s="891" t="s">
        <v>774</v>
      </c>
      <c r="C68" s="293">
        <f ca="1">ROUND(C67*(1-((1+F70)/(1+F68))^F69)/(F68-F70),0)</f>
        <v>-3411</v>
      </c>
      <c r="D68" s="908" t="s">
        <v>758</v>
      </c>
      <c r="E68" s="893" t="s">
        <v>759</v>
      </c>
      <c r="F68" s="304">
        <f ca="1">F40</f>
        <v>5.5E-2</v>
      </c>
      <c r="O68" s="1331" t="s">
        <v>406</v>
      </c>
      <c r="P68" s="1368" t="s">
        <v>871</v>
      </c>
      <c r="Q68" s="1324">
        <f ca="1">ROUND(Q69-Q70*Q71,0)</f>
        <v>10709</v>
      </c>
      <c r="R68" s="1324" t="s">
        <v>414</v>
      </c>
    </row>
    <row r="69" spans="1:18" s="1289" customFormat="1" ht="13.8" thickBot="1">
      <c r="A69" s="894"/>
      <c r="B69" s="895"/>
      <c r="C69" s="298"/>
      <c r="D69" s="913" t="s">
        <v>762</v>
      </c>
      <c r="E69" s="893" t="s">
        <v>763</v>
      </c>
      <c r="F69" s="324">
        <f ca="1">F41</f>
        <v>29</v>
      </c>
      <c r="O69" s="1331" t="s">
        <v>411</v>
      </c>
      <c r="P69" s="1368" t="s">
        <v>872</v>
      </c>
      <c r="Q69" s="1324">
        <f ca="1">C39</f>
        <v>13260</v>
      </c>
      <c r="R69" s="1324" t="s">
        <v>818</v>
      </c>
    </row>
    <row r="70" spans="1:18" s="1289" customFormat="1" ht="13.8" thickBot="1">
      <c r="A70" s="897"/>
      <c r="B70" s="898"/>
      <c r="C70" s="302"/>
      <c r="D70" s="909"/>
      <c r="E70" s="893" t="s">
        <v>766</v>
      </c>
      <c r="F70" s="988"/>
      <c r="O70" s="1331" t="s">
        <v>412</v>
      </c>
      <c r="P70" s="1368" t="s">
        <v>873</v>
      </c>
      <c r="Q70" s="1324">
        <f ca="1">C13</f>
        <v>36438</v>
      </c>
      <c r="R70" s="1324" t="s">
        <v>818</v>
      </c>
    </row>
    <row r="71" spans="1:18" s="1289" customFormat="1" ht="13.8" thickBot="1">
      <c r="A71" s="914" t="s">
        <v>396</v>
      </c>
      <c r="B71" s="915" t="s">
        <v>776</v>
      </c>
      <c r="C71" s="327">
        <f ca="1">ROUND(C68*10000/F71,0)</f>
        <v>-752</v>
      </c>
      <c r="D71" s="916" t="s">
        <v>777</v>
      </c>
      <c r="E71" s="917" t="s">
        <v>778</v>
      </c>
      <c r="F71" s="330">
        <f ca="1">F43</f>
        <v>45356.57</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2551</v>
      </c>
      <c r="D75" s="1289"/>
      <c r="E75" s="1289"/>
      <c r="F75" s="1289"/>
      <c r="K75" s="1306"/>
      <c r="L75" s="1289"/>
      <c r="O75" s="1322" t="s">
        <v>409</v>
      </c>
      <c r="P75" s="1323" t="s">
        <v>838</v>
      </c>
      <c r="Q75" s="1324">
        <f ca="1">Q65+Q66</f>
        <v>236441</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0.80800000000000005</v>
      </c>
    </row>
    <row r="80" spans="1:18">
      <c r="B80" s="331" t="s">
        <v>800</v>
      </c>
      <c r="C80" s="266">
        <f ca="1">ROUND(C75/C39,3)</f>
        <v>0.192</v>
      </c>
    </row>
    <row r="81" spans="2:3">
      <c r="B81" s="262" t="s">
        <v>801</v>
      </c>
      <c r="C81" s="230"/>
    </row>
    <row r="82" spans="2:3">
      <c r="B82" s="265" t="s">
        <v>802</v>
      </c>
      <c r="C82" s="267">
        <f ca="1">1-C83</f>
        <v>0.84599999999999997</v>
      </c>
    </row>
    <row r="83" spans="2:3">
      <c r="B83" s="265" t="s">
        <v>803</v>
      </c>
      <c r="C83" s="266">
        <f ca="1">ROUND(C13/C40,3)</f>
        <v>0.154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DB98E683-34D8-46D9-822D-B27B0A19A2DA}">
      <formula1>"在建（套用方法）,土地（套用方法）,——"</formula1>
    </dataValidation>
    <dataValidation type="list" allowBlank="1" showInputMessage="1" showErrorMessage="1" sqref="M10 F10 F53" xr:uid="{5A8F053E-DF52-4A0C-AE37-026F63854B7C}">
      <formula1>"押一,押二,押三,自定义"</formula1>
    </dataValidation>
    <dataValidation type="list" allowBlank="1" showInputMessage="1" showErrorMessage="1" sqref="L55" xr:uid="{691B966D-BEE0-448A-BC91-98F584EC6A4A}">
      <formula1>"比较法,基准地价,收益还原"</formula1>
    </dataValidation>
    <dataValidation type="list" allowBlank="1" showInputMessage="1" showErrorMessage="1" sqref="J56" xr:uid="{4EBB48A7-57F7-407D-858C-FB47BBCBCC8D}">
      <formula1>估价范围判定</formula1>
    </dataValidation>
    <dataValidation type="list" allowBlank="1" showInputMessage="1" showErrorMessage="1" sqref="J48" xr:uid="{E58AEFDD-4DE6-4617-992E-5255102E76E0}">
      <formula1>"非生产用房,生产用房,受腐蚀的生产用房"</formula1>
    </dataValidation>
    <dataValidation type="list" allowBlank="1" showInputMessage="1" showErrorMessage="1" sqref="J47" xr:uid="{9E35C400-727D-4A3E-9E43-752CAC4F8268}">
      <formula1>"钢,钢混,砖混"</formula1>
    </dataValidation>
    <dataValidation type="list" allowBlank="1" showInputMessage="1" showErrorMessage="1" sqref="C1" xr:uid="{661D474B-0D0C-4079-A6C2-7A3D0228875A}">
      <formula1>项目类型</formula1>
    </dataValidation>
    <dataValidation type="list" allowBlank="1" showInputMessage="1" showErrorMessage="1" sqref="D33 D61" xr:uid="{B143EB42-AAAD-49E7-98F4-790CC1D7B6E2}">
      <formula1>"按租金收入计税,按房产原值计税,按票据"</formula1>
    </dataValidation>
    <dataValidation type="list" allowBlank="1" showInputMessage="1" showErrorMessage="1" sqref="K19" xr:uid="{E6D6A295-7103-4F4A-8074-A7456A61A1B1}">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1D51E-857D-4D30-99F4-958A4AA24937}">
  <sheetPr>
    <tabColor rgb="FF7030A0"/>
  </sheetPr>
  <dimension ref="A1:N42"/>
  <sheetViews>
    <sheetView topLeftCell="A25" workbookViewId="0">
      <selection activeCell="X51" sqref="X51"/>
    </sheetView>
  </sheetViews>
  <sheetFormatPr defaultColWidth="9" defaultRowHeight="14.4"/>
  <cols>
    <col min="1" max="1" width="17" style="3166" customWidth="1"/>
    <col min="2" max="2" width="11.21875" style="3166" customWidth="1"/>
    <col min="3" max="16384" width="9" style="3166"/>
  </cols>
  <sheetData>
    <row r="1" spans="1:14">
      <c r="A1" s="3165" t="s">
        <v>3506</v>
      </c>
      <c r="B1" s="3165" t="s">
        <v>3507</v>
      </c>
      <c r="C1" s="3165" t="s">
        <v>3508</v>
      </c>
      <c r="D1" s="3165" t="s">
        <v>3509</v>
      </c>
      <c r="E1" s="3165" t="s">
        <v>3510</v>
      </c>
      <c r="F1" s="3165" t="s">
        <v>3461</v>
      </c>
      <c r="G1" s="3165" t="s">
        <v>3511</v>
      </c>
      <c r="H1" s="3165" t="s">
        <v>3512</v>
      </c>
      <c r="I1" s="3165" t="s">
        <v>3513</v>
      </c>
      <c r="J1" s="3165" t="s">
        <v>3514</v>
      </c>
      <c r="K1" s="3165" t="s">
        <v>3515</v>
      </c>
      <c r="L1" s="3165" t="s">
        <v>3516</v>
      </c>
      <c r="M1" s="3165" t="s">
        <v>3517</v>
      </c>
      <c r="N1" s="3165" t="s">
        <v>3518</v>
      </c>
    </row>
    <row r="2" spans="1:14">
      <c r="A2" s="3182">
        <v>45657.333831018499</v>
      </c>
      <c r="B2" s="3182">
        <v>45566.333831018499</v>
      </c>
      <c r="C2" s="3165">
        <v>91</v>
      </c>
      <c r="D2" s="3165" t="s">
        <v>3519</v>
      </c>
      <c r="E2" s="3165" t="s">
        <v>3520</v>
      </c>
      <c r="F2" s="3165" t="s">
        <v>3520</v>
      </c>
      <c r="G2" s="3165">
        <v>10</v>
      </c>
      <c r="H2" s="3165">
        <v>1003</v>
      </c>
      <c r="I2" s="3165" t="s">
        <v>3521</v>
      </c>
      <c r="J2" s="3165" t="s">
        <v>21</v>
      </c>
      <c r="K2" s="3165" t="s">
        <v>3522</v>
      </c>
      <c r="L2" s="3165">
        <v>819.52</v>
      </c>
      <c r="M2" s="3165">
        <v>6310.3</v>
      </c>
      <c r="N2" s="3165">
        <v>77000</v>
      </c>
    </row>
    <row r="3" spans="1:14">
      <c r="A3" s="3182">
        <v>45657.333831018499</v>
      </c>
      <c r="B3" s="3182">
        <v>45566.333831018499</v>
      </c>
      <c r="C3" s="3165">
        <v>91</v>
      </c>
      <c r="D3" s="3165" t="s">
        <v>3519</v>
      </c>
      <c r="E3" s="3165" t="s">
        <v>3520</v>
      </c>
      <c r="F3" s="3165" t="s">
        <v>3520</v>
      </c>
      <c r="G3" s="3165">
        <v>12</v>
      </c>
      <c r="H3" s="3165">
        <v>1201</v>
      </c>
      <c r="I3" s="3165" t="s">
        <v>3521</v>
      </c>
      <c r="J3" s="3165" t="s">
        <v>21</v>
      </c>
      <c r="K3" s="3165" t="s">
        <v>3522</v>
      </c>
      <c r="L3" s="3165">
        <v>1094.1400000000001</v>
      </c>
      <c r="M3" s="3165">
        <v>8424.8799999999992</v>
      </c>
      <c r="N3" s="3165">
        <v>77000</v>
      </c>
    </row>
    <row r="4" spans="1:14">
      <c r="A4" s="3182">
        <v>45657.333831018499</v>
      </c>
      <c r="B4" s="3182">
        <v>45566.333831018499</v>
      </c>
      <c r="C4" s="3165">
        <v>91</v>
      </c>
      <c r="D4" s="3165" t="s">
        <v>3519</v>
      </c>
      <c r="E4" s="3165" t="s">
        <v>3520</v>
      </c>
      <c r="F4" s="3165" t="s">
        <v>3520</v>
      </c>
      <c r="G4" s="3165">
        <v>10</v>
      </c>
      <c r="H4" s="3165">
        <v>1001</v>
      </c>
      <c r="I4" s="3165" t="s">
        <v>3521</v>
      </c>
      <c r="J4" s="3165" t="s">
        <v>21</v>
      </c>
      <c r="K4" s="3165" t="s">
        <v>3522</v>
      </c>
      <c r="L4" s="3165">
        <v>776.66</v>
      </c>
      <c r="M4" s="3165">
        <v>5980.28</v>
      </c>
      <c r="N4" s="3165">
        <v>77000</v>
      </c>
    </row>
    <row r="5" spans="1:14">
      <c r="A5" s="3182">
        <v>45657.333831018499</v>
      </c>
      <c r="B5" s="3182">
        <v>45566.333831018499</v>
      </c>
      <c r="C5" s="3165">
        <v>91</v>
      </c>
      <c r="D5" s="3165" t="s">
        <v>3519</v>
      </c>
      <c r="E5" s="3165" t="s">
        <v>3520</v>
      </c>
      <c r="F5" s="3165" t="s">
        <v>3520</v>
      </c>
      <c r="G5" s="3165">
        <v>3</v>
      </c>
      <c r="H5" s="3165">
        <v>302</v>
      </c>
      <c r="I5" s="3165" t="s">
        <v>3521</v>
      </c>
      <c r="J5" s="3165" t="s">
        <v>21</v>
      </c>
      <c r="K5" s="3165" t="s">
        <v>3522</v>
      </c>
      <c r="L5" s="3165">
        <v>759.81</v>
      </c>
      <c r="M5" s="3165">
        <v>5850.54</v>
      </c>
      <c r="N5" s="3165">
        <v>77000</v>
      </c>
    </row>
    <row r="6" spans="1:14">
      <c r="A6" s="3182">
        <v>45657.333831018499</v>
      </c>
      <c r="B6" s="3182">
        <v>45566.333831018499</v>
      </c>
      <c r="C6" s="3165">
        <v>91</v>
      </c>
      <c r="D6" s="3165" t="s">
        <v>3519</v>
      </c>
      <c r="E6" s="3165" t="s">
        <v>3520</v>
      </c>
      <c r="F6" s="3165" t="s">
        <v>3520</v>
      </c>
      <c r="G6" s="3165">
        <v>5</v>
      </c>
      <c r="H6" s="3165">
        <v>502</v>
      </c>
      <c r="I6" s="3165" t="s">
        <v>3521</v>
      </c>
      <c r="J6" s="3165" t="s">
        <v>21</v>
      </c>
      <c r="K6" s="3165" t="s">
        <v>3522</v>
      </c>
      <c r="L6" s="3165">
        <v>759.81</v>
      </c>
      <c r="M6" s="3165">
        <v>5850.54</v>
      </c>
      <c r="N6" s="3165">
        <v>77000</v>
      </c>
    </row>
    <row r="7" spans="1:14">
      <c r="A7" s="3182">
        <v>45657.333831018499</v>
      </c>
      <c r="B7" s="3182">
        <v>45566.333831018499</v>
      </c>
      <c r="C7" s="3165">
        <v>91</v>
      </c>
      <c r="D7" s="3165" t="s">
        <v>3519</v>
      </c>
      <c r="E7" s="3165" t="s">
        <v>3520</v>
      </c>
      <c r="F7" s="3165" t="s">
        <v>3520</v>
      </c>
      <c r="G7" s="3165">
        <v>4</v>
      </c>
      <c r="H7" s="3165">
        <v>404</v>
      </c>
      <c r="I7" s="3165" t="s">
        <v>3521</v>
      </c>
      <c r="J7" s="3165" t="s">
        <v>21</v>
      </c>
      <c r="K7" s="3165" t="s">
        <v>3522</v>
      </c>
      <c r="L7" s="3165">
        <v>820.62</v>
      </c>
      <c r="M7" s="3165">
        <v>6318.77</v>
      </c>
      <c r="N7" s="3165">
        <v>77000</v>
      </c>
    </row>
    <row r="8" spans="1:14">
      <c r="A8" s="3182">
        <v>45657.333831018499</v>
      </c>
      <c r="B8" s="3182">
        <v>45566.333831018499</v>
      </c>
      <c r="C8" s="3165">
        <v>91</v>
      </c>
      <c r="D8" s="3165" t="s">
        <v>3519</v>
      </c>
      <c r="E8" s="3165" t="s">
        <v>3520</v>
      </c>
      <c r="F8" s="3165" t="s">
        <v>3520</v>
      </c>
      <c r="G8" s="3165">
        <v>6</v>
      </c>
      <c r="H8" s="3165">
        <v>603</v>
      </c>
      <c r="I8" s="3165" t="s">
        <v>3521</v>
      </c>
      <c r="J8" s="3165" t="s">
        <v>21</v>
      </c>
      <c r="K8" s="3165" t="s">
        <v>3522</v>
      </c>
      <c r="L8" s="3165">
        <v>819.52</v>
      </c>
      <c r="M8" s="3165">
        <v>6310.3</v>
      </c>
      <c r="N8" s="3165">
        <v>77000</v>
      </c>
    </row>
    <row r="9" spans="1:14">
      <c r="A9" s="3182">
        <v>45657.333831018499</v>
      </c>
      <c r="B9" s="3182">
        <v>45566.333831018499</v>
      </c>
      <c r="C9" s="3165">
        <v>91</v>
      </c>
      <c r="D9" s="3165" t="s">
        <v>3519</v>
      </c>
      <c r="E9" s="3165" t="s">
        <v>3520</v>
      </c>
      <c r="F9" s="3165" t="s">
        <v>3520</v>
      </c>
      <c r="G9" s="3165">
        <v>4</v>
      </c>
      <c r="H9" s="3165">
        <v>403</v>
      </c>
      <c r="I9" s="3165" t="s">
        <v>3521</v>
      </c>
      <c r="J9" s="3165" t="s">
        <v>21</v>
      </c>
      <c r="K9" s="3165" t="s">
        <v>3522</v>
      </c>
      <c r="L9" s="3165">
        <v>819.52</v>
      </c>
      <c r="M9" s="3165">
        <v>6310.3</v>
      </c>
      <c r="N9" s="3165">
        <v>77000</v>
      </c>
    </row>
    <row r="10" spans="1:14">
      <c r="A10" s="3182">
        <v>45657.333831018499</v>
      </c>
      <c r="B10" s="3182">
        <v>45566.333831018499</v>
      </c>
      <c r="C10" s="3165">
        <v>91</v>
      </c>
      <c r="D10" s="3165" t="s">
        <v>3519</v>
      </c>
      <c r="E10" s="3165" t="s">
        <v>3520</v>
      </c>
      <c r="F10" s="3165" t="s">
        <v>3520</v>
      </c>
      <c r="G10" s="3165">
        <v>6</v>
      </c>
      <c r="H10" s="3165">
        <v>602</v>
      </c>
      <c r="I10" s="3165" t="s">
        <v>3521</v>
      </c>
      <c r="J10" s="3165" t="s">
        <v>21</v>
      </c>
      <c r="K10" s="3165" t="s">
        <v>3522</v>
      </c>
      <c r="L10" s="3165">
        <v>759.81</v>
      </c>
      <c r="M10" s="3165">
        <v>5850.54</v>
      </c>
      <c r="N10" s="3165">
        <v>77000</v>
      </c>
    </row>
    <row r="11" spans="1:14">
      <c r="A11" s="3182">
        <v>45657.333831018499</v>
      </c>
      <c r="B11" s="3182">
        <v>45566.333831018499</v>
      </c>
      <c r="C11" s="3165">
        <v>91</v>
      </c>
      <c r="D11" s="3165" t="s">
        <v>3519</v>
      </c>
      <c r="E11" s="3165" t="s">
        <v>3520</v>
      </c>
      <c r="F11" s="3165" t="s">
        <v>3520</v>
      </c>
      <c r="G11" s="3165">
        <v>5</v>
      </c>
      <c r="H11" s="3165">
        <v>501</v>
      </c>
      <c r="I11" s="3165" t="s">
        <v>3521</v>
      </c>
      <c r="J11" s="3165" t="s">
        <v>21</v>
      </c>
      <c r="K11" s="3165" t="s">
        <v>3522</v>
      </c>
      <c r="L11" s="3165">
        <v>776.66</v>
      </c>
      <c r="M11" s="3165">
        <v>5980.28</v>
      </c>
      <c r="N11" s="3165">
        <v>77000</v>
      </c>
    </row>
    <row r="12" spans="1:14">
      <c r="A12" s="3182">
        <v>45657.333831018499</v>
      </c>
      <c r="B12" s="3182">
        <v>45566.333831018499</v>
      </c>
      <c r="C12" s="3165">
        <v>91</v>
      </c>
      <c r="D12" s="3165" t="s">
        <v>3519</v>
      </c>
      <c r="E12" s="3165" t="s">
        <v>3520</v>
      </c>
      <c r="F12" s="3165" t="s">
        <v>3520</v>
      </c>
      <c r="G12" s="3165">
        <v>11</v>
      </c>
      <c r="H12" s="3165">
        <v>1102</v>
      </c>
      <c r="I12" s="3165" t="s">
        <v>3521</v>
      </c>
      <c r="J12" s="3165" t="s">
        <v>21</v>
      </c>
      <c r="K12" s="3165" t="s">
        <v>3522</v>
      </c>
      <c r="L12" s="3165">
        <v>759.81</v>
      </c>
      <c r="M12" s="3165">
        <v>5850.54</v>
      </c>
      <c r="N12" s="3165">
        <v>77000</v>
      </c>
    </row>
    <row r="13" spans="1:14">
      <c r="A13" s="3182">
        <v>45657.333831018499</v>
      </c>
      <c r="B13" s="3182">
        <v>45566.333831018499</v>
      </c>
      <c r="C13" s="3165">
        <v>91</v>
      </c>
      <c r="D13" s="3165" t="s">
        <v>3519</v>
      </c>
      <c r="E13" s="3165" t="s">
        <v>3520</v>
      </c>
      <c r="F13" s="3165" t="s">
        <v>3520</v>
      </c>
      <c r="G13" s="3165">
        <v>11</v>
      </c>
      <c r="H13" s="3165">
        <v>1104</v>
      </c>
      <c r="I13" s="3165" t="s">
        <v>3521</v>
      </c>
      <c r="J13" s="3165" t="s">
        <v>21</v>
      </c>
      <c r="K13" s="3165" t="s">
        <v>3522</v>
      </c>
      <c r="L13" s="3165">
        <v>820.62</v>
      </c>
      <c r="M13" s="3165">
        <v>6318.77</v>
      </c>
      <c r="N13" s="3165">
        <v>77000</v>
      </c>
    </row>
    <row r="14" spans="1:14">
      <c r="A14" s="3182">
        <v>45657.333831018499</v>
      </c>
      <c r="B14" s="3182">
        <v>45566.333831018499</v>
      </c>
      <c r="C14" s="3165">
        <v>91</v>
      </c>
      <c r="D14" s="3165" t="s">
        <v>3519</v>
      </c>
      <c r="E14" s="3165" t="s">
        <v>3520</v>
      </c>
      <c r="F14" s="3165" t="s">
        <v>3520</v>
      </c>
      <c r="G14" s="3165">
        <v>7</v>
      </c>
      <c r="H14" s="3165">
        <v>701</v>
      </c>
      <c r="I14" s="3165" t="s">
        <v>3521</v>
      </c>
      <c r="J14" s="3165" t="s">
        <v>21</v>
      </c>
      <c r="K14" s="3165" t="s">
        <v>3522</v>
      </c>
      <c r="L14" s="3165">
        <v>776.66</v>
      </c>
      <c r="M14" s="3165">
        <v>5980.28</v>
      </c>
      <c r="N14" s="3165">
        <v>77000</v>
      </c>
    </row>
    <row r="15" spans="1:14">
      <c r="A15" s="3182">
        <v>45657.333831018499</v>
      </c>
      <c r="B15" s="3182">
        <v>45566.333831018499</v>
      </c>
      <c r="C15" s="3165">
        <v>91</v>
      </c>
      <c r="D15" s="3165" t="s">
        <v>3519</v>
      </c>
      <c r="E15" s="3165" t="s">
        <v>3520</v>
      </c>
      <c r="F15" s="3165" t="s">
        <v>3520</v>
      </c>
      <c r="G15" s="3165">
        <v>12</v>
      </c>
      <c r="H15" s="3165">
        <v>1203</v>
      </c>
      <c r="I15" s="3165" t="s">
        <v>3521</v>
      </c>
      <c r="J15" s="3165" t="s">
        <v>21</v>
      </c>
      <c r="K15" s="3165" t="s">
        <v>3522</v>
      </c>
      <c r="L15" s="3165">
        <v>140.06</v>
      </c>
      <c r="M15" s="3165">
        <v>1078.46</v>
      </c>
      <c r="N15" s="3165">
        <v>77000</v>
      </c>
    </row>
    <row r="16" spans="1:14">
      <c r="A16" s="3182">
        <v>45657.333831018499</v>
      </c>
      <c r="B16" s="3182">
        <v>45566.333831018499</v>
      </c>
      <c r="C16" s="3165">
        <v>91</v>
      </c>
      <c r="D16" s="3165" t="s">
        <v>3519</v>
      </c>
      <c r="E16" s="3165" t="s">
        <v>3520</v>
      </c>
      <c r="F16" s="3165" t="s">
        <v>3520</v>
      </c>
      <c r="G16" s="3165">
        <v>2</v>
      </c>
      <c r="H16" s="3165">
        <v>201</v>
      </c>
      <c r="I16" s="3165" t="s">
        <v>3521</v>
      </c>
      <c r="J16" s="3165" t="s">
        <v>21</v>
      </c>
      <c r="K16" s="3165" t="s">
        <v>3522</v>
      </c>
      <c r="L16" s="3165">
        <v>1637.13</v>
      </c>
      <c r="M16" s="3165">
        <v>12279.29</v>
      </c>
      <c r="N16" s="3165">
        <v>75005</v>
      </c>
    </row>
    <row r="17" spans="1:14">
      <c r="A17" s="3182">
        <v>45657.333831018499</v>
      </c>
      <c r="B17" s="3182">
        <v>45566.333831018499</v>
      </c>
      <c r="C17" s="3165">
        <v>91</v>
      </c>
      <c r="D17" s="3165" t="s">
        <v>3519</v>
      </c>
      <c r="E17" s="3165" t="s">
        <v>3520</v>
      </c>
      <c r="F17" s="3165" t="s">
        <v>3520</v>
      </c>
      <c r="G17" s="3165">
        <v>9</v>
      </c>
      <c r="H17" s="3165">
        <v>904</v>
      </c>
      <c r="I17" s="3165" t="s">
        <v>3521</v>
      </c>
      <c r="J17" s="3165" t="s">
        <v>21</v>
      </c>
      <c r="K17" s="3165" t="s">
        <v>3522</v>
      </c>
      <c r="L17" s="3165">
        <v>820.62</v>
      </c>
      <c r="M17" s="3165">
        <v>6318.77</v>
      </c>
      <c r="N17" s="3165">
        <v>77000</v>
      </c>
    </row>
    <row r="18" spans="1:14">
      <c r="A18" s="3182">
        <v>45657.333831018499</v>
      </c>
      <c r="B18" s="3182">
        <v>45566.333831018499</v>
      </c>
      <c r="C18" s="3165">
        <v>91</v>
      </c>
      <c r="D18" s="3165" t="s">
        <v>3519</v>
      </c>
      <c r="E18" s="3165" t="s">
        <v>3520</v>
      </c>
      <c r="F18" s="3165" t="s">
        <v>3520</v>
      </c>
      <c r="G18" s="3165">
        <v>7</v>
      </c>
      <c r="H18" s="3165">
        <v>702</v>
      </c>
      <c r="I18" s="3165" t="s">
        <v>3521</v>
      </c>
      <c r="J18" s="3165" t="s">
        <v>21</v>
      </c>
      <c r="K18" s="3165" t="s">
        <v>3522</v>
      </c>
      <c r="L18" s="3165">
        <v>759.81</v>
      </c>
      <c r="M18" s="3165">
        <v>5850.54</v>
      </c>
      <c r="N18" s="3165">
        <v>77000</v>
      </c>
    </row>
    <row r="19" spans="1:14">
      <c r="A19" s="3182">
        <v>45657.333831018499</v>
      </c>
      <c r="B19" s="3182">
        <v>45566.333831018499</v>
      </c>
      <c r="C19" s="3165">
        <v>91</v>
      </c>
      <c r="D19" s="3165" t="s">
        <v>3519</v>
      </c>
      <c r="E19" s="3165" t="s">
        <v>3520</v>
      </c>
      <c r="F19" s="3165" t="s">
        <v>3520</v>
      </c>
      <c r="G19" s="3165">
        <v>5</v>
      </c>
      <c r="H19" s="3165">
        <v>504</v>
      </c>
      <c r="I19" s="3165" t="s">
        <v>3521</v>
      </c>
      <c r="J19" s="3165" t="s">
        <v>21</v>
      </c>
      <c r="K19" s="3165" t="s">
        <v>3522</v>
      </c>
      <c r="L19" s="3165">
        <v>820.62</v>
      </c>
      <c r="M19" s="3165">
        <v>6318.77</v>
      </c>
      <c r="N19" s="3165">
        <v>77000</v>
      </c>
    </row>
    <row r="20" spans="1:14">
      <c r="A20" s="3182">
        <v>45657.333831018499</v>
      </c>
      <c r="B20" s="3182">
        <v>45566.333831018499</v>
      </c>
      <c r="C20" s="3165">
        <v>91</v>
      </c>
      <c r="D20" s="3165" t="s">
        <v>3519</v>
      </c>
      <c r="E20" s="3165" t="s">
        <v>3520</v>
      </c>
      <c r="F20" s="3165" t="s">
        <v>3520</v>
      </c>
      <c r="G20" s="3165">
        <v>5</v>
      </c>
      <c r="H20" s="3165">
        <v>503</v>
      </c>
      <c r="I20" s="3165" t="s">
        <v>3521</v>
      </c>
      <c r="J20" s="3165" t="s">
        <v>21</v>
      </c>
      <c r="K20" s="3165" t="s">
        <v>3522</v>
      </c>
      <c r="L20" s="3165">
        <v>819.52</v>
      </c>
      <c r="M20" s="3165">
        <v>6310.3</v>
      </c>
      <c r="N20" s="3165">
        <v>77000</v>
      </c>
    </row>
    <row r="21" spans="1:14">
      <c r="A21" s="3182">
        <v>45657.333831018499</v>
      </c>
      <c r="B21" s="3182">
        <v>45566.333831018499</v>
      </c>
      <c r="C21" s="3165">
        <v>91</v>
      </c>
      <c r="D21" s="3165" t="s">
        <v>3519</v>
      </c>
      <c r="E21" s="3165" t="s">
        <v>3520</v>
      </c>
      <c r="F21" s="3165" t="s">
        <v>3520</v>
      </c>
      <c r="G21" s="3165">
        <v>6</v>
      </c>
      <c r="H21" s="3165">
        <v>601</v>
      </c>
      <c r="I21" s="3165" t="s">
        <v>3521</v>
      </c>
      <c r="J21" s="3165" t="s">
        <v>21</v>
      </c>
      <c r="K21" s="3165" t="s">
        <v>3522</v>
      </c>
      <c r="L21" s="3165">
        <v>776.66</v>
      </c>
      <c r="M21" s="3165">
        <v>5980.28</v>
      </c>
      <c r="N21" s="3165">
        <v>77000</v>
      </c>
    </row>
    <row r="22" spans="1:14">
      <c r="A22" s="3182">
        <v>45657.333831018499</v>
      </c>
      <c r="B22" s="3182">
        <v>45566.333831018499</v>
      </c>
      <c r="C22" s="3165">
        <v>91</v>
      </c>
      <c r="D22" s="3165" t="s">
        <v>3519</v>
      </c>
      <c r="E22" s="3165" t="s">
        <v>3520</v>
      </c>
      <c r="F22" s="3165" t="s">
        <v>3520</v>
      </c>
      <c r="G22" s="3165">
        <v>4</v>
      </c>
      <c r="H22" s="3165">
        <v>401</v>
      </c>
      <c r="I22" s="3165" t="s">
        <v>3521</v>
      </c>
      <c r="J22" s="3165" t="s">
        <v>21</v>
      </c>
      <c r="K22" s="3165" t="s">
        <v>3522</v>
      </c>
      <c r="L22" s="3165">
        <v>776.66</v>
      </c>
      <c r="M22" s="3165">
        <v>5980.28</v>
      </c>
      <c r="N22" s="3165">
        <v>77000</v>
      </c>
    </row>
    <row r="23" spans="1:14">
      <c r="A23" s="3182">
        <v>45657.333831018499</v>
      </c>
      <c r="B23" s="3182">
        <v>45566.333831018499</v>
      </c>
      <c r="C23" s="3165">
        <v>91</v>
      </c>
      <c r="D23" s="3165" t="s">
        <v>3519</v>
      </c>
      <c r="E23" s="3165" t="s">
        <v>3520</v>
      </c>
      <c r="F23" s="3165" t="s">
        <v>3520</v>
      </c>
      <c r="G23" s="3165">
        <v>3</v>
      </c>
      <c r="H23" s="3165">
        <v>303</v>
      </c>
      <c r="I23" s="3165" t="s">
        <v>3521</v>
      </c>
      <c r="J23" s="3165" t="s">
        <v>21</v>
      </c>
      <c r="K23" s="3165" t="s">
        <v>3522</v>
      </c>
      <c r="L23" s="3165">
        <v>819.52</v>
      </c>
      <c r="M23" s="3165">
        <v>6310.3</v>
      </c>
      <c r="N23" s="3165">
        <v>77000</v>
      </c>
    </row>
    <row r="24" spans="1:14">
      <c r="A24" s="3182">
        <v>45657.333831018499</v>
      </c>
      <c r="B24" s="3182">
        <v>45566.333831018499</v>
      </c>
      <c r="C24" s="3165">
        <v>91</v>
      </c>
      <c r="D24" s="3165" t="s">
        <v>3519</v>
      </c>
      <c r="E24" s="3165" t="s">
        <v>3520</v>
      </c>
      <c r="F24" s="3165" t="s">
        <v>3520</v>
      </c>
      <c r="G24" s="3165">
        <v>6</v>
      </c>
      <c r="H24" s="3165">
        <v>604</v>
      </c>
      <c r="I24" s="3165" t="s">
        <v>3521</v>
      </c>
      <c r="J24" s="3165" t="s">
        <v>21</v>
      </c>
      <c r="K24" s="3165" t="s">
        <v>3522</v>
      </c>
      <c r="L24" s="3165">
        <v>820.62</v>
      </c>
      <c r="M24" s="3165">
        <v>6318.77</v>
      </c>
      <c r="N24" s="3165">
        <v>77000</v>
      </c>
    </row>
    <row r="25" spans="1:14">
      <c r="A25" s="3182">
        <v>45657.333831018499</v>
      </c>
      <c r="B25" s="3182">
        <v>45566.333831018499</v>
      </c>
      <c r="C25" s="3165">
        <v>91</v>
      </c>
      <c r="D25" s="3165" t="s">
        <v>3519</v>
      </c>
      <c r="E25" s="3165" t="s">
        <v>3520</v>
      </c>
      <c r="F25" s="3165" t="s">
        <v>3520</v>
      </c>
      <c r="G25" s="3165">
        <v>3</v>
      </c>
      <c r="H25" s="3165">
        <v>304</v>
      </c>
      <c r="I25" s="3165" t="s">
        <v>3521</v>
      </c>
      <c r="J25" s="3165" t="s">
        <v>21</v>
      </c>
      <c r="K25" s="3165" t="s">
        <v>3522</v>
      </c>
      <c r="L25" s="3165">
        <v>820.62</v>
      </c>
      <c r="M25" s="3165">
        <v>6318.77</v>
      </c>
      <c r="N25" s="3165">
        <v>77000</v>
      </c>
    </row>
    <row r="26" spans="1:14">
      <c r="A26" s="3182">
        <v>45657.333831018499</v>
      </c>
      <c r="B26" s="3182">
        <v>45566.333831018499</v>
      </c>
      <c r="C26" s="3165">
        <v>91</v>
      </c>
      <c r="D26" s="3165" t="s">
        <v>3519</v>
      </c>
      <c r="E26" s="3165" t="s">
        <v>3520</v>
      </c>
      <c r="F26" s="3165" t="s">
        <v>3520</v>
      </c>
      <c r="G26" s="3165">
        <v>12</v>
      </c>
      <c r="H26" s="3165">
        <v>1202</v>
      </c>
      <c r="I26" s="3165" t="s">
        <v>3521</v>
      </c>
      <c r="J26" s="3165" t="s">
        <v>21</v>
      </c>
      <c r="K26" s="3165" t="s">
        <v>3522</v>
      </c>
      <c r="L26" s="3165">
        <v>1264.49</v>
      </c>
      <c r="M26" s="3165">
        <v>9736.57</v>
      </c>
      <c r="N26" s="3165">
        <v>77000</v>
      </c>
    </row>
    <row r="27" spans="1:14">
      <c r="A27" s="3182">
        <v>45657.333831018499</v>
      </c>
      <c r="B27" s="3182">
        <v>45566.333831018499</v>
      </c>
      <c r="C27" s="3165">
        <v>91</v>
      </c>
      <c r="D27" s="3165" t="s">
        <v>3519</v>
      </c>
      <c r="E27" s="3165" t="s">
        <v>3520</v>
      </c>
      <c r="F27" s="3165" t="s">
        <v>3520</v>
      </c>
      <c r="G27" s="3165">
        <v>9</v>
      </c>
      <c r="H27" s="3165">
        <v>902</v>
      </c>
      <c r="I27" s="3165" t="s">
        <v>3521</v>
      </c>
      <c r="J27" s="3165" t="s">
        <v>21</v>
      </c>
      <c r="K27" s="3165" t="s">
        <v>3522</v>
      </c>
      <c r="L27" s="3165">
        <v>759.81</v>
      </c>
      <c r="M27" s="3165">
        <v>5850.54</v>
      </c>
      <c r="N27" s="3165">
        <v>77000</v>
      </c>
    </row>
    <row r="28" spans="1:14">
      <c r="A28" s="3182">
        <v>45657.333831018499</v>
      </c>
      <c r="B28" s="3182">
        <v>45566.333831018499</v>
      </c>
      <c r="C28" s="3165">
        <v>91</v>
      </c>
      <c r="D28" s="3165" t="s">
        <v>3519</v>
      </c>
      <c r="E28" s="3165" t="s">
        <v>3520</v>
      </c>
      <c r="F28" s="3165" t="s">
        <v>3520</v>
      </c>
      <c r="G28" s="3165">
        <v>9</v>
      </c>
      <c r="H28" s="3165">
        <v>901</v>
      </c>
      <c r="I28" s="3165" t="s">
        <v>3521</v>
      </c>
      <c r="J28" s="3165" t="s">
        <v>21</v>
      </c>
      <c r="K28" s="3165" t="s">
        <v>3522</v>
      </c>
      <c r="L28" s="3165">
        <v>776.66</v>
      </c>
      <c r="M28" s="3165">
        <v>5980.28</v>
      </c>
      <c r="N28" s="3165">
        <v>77000</v>
      </c>
    </row>
    <row r="29" spans="1:14">
      <c r="A29" s="3182">
        <v>45657.333831018499</v>
      </c>
      <c r="B29" s="3182">
        <v>45566.333831018499</v>
      </c>
      <c r="C29" s="3165">
        <v>91</v>
      </c>
      <c r="D29" s="3165" t="s">
        <v>3519</v>
      </c>
      <c r="E29" s="3165" t="s">
        <v>3520</v>
      </c>
      <c r="F29" s="3165" t="s">
        <v>3520</v>
      </c>
      <c r="G29" s="3165">
        <v>7</v>
      </c>
      <c r="H29" s="3165">
        <v>703</v>
      </c>
      <c r="I29" s="3165" t="s">
        <v>3521</v>
      </c>
      <c r="J29" s="3165" t="s">
        <v>21</v>
      </c>
      <c r="K29" s="3165" t="s">
        <v>3522</v>
      </c>
      <c r="L29" s="3165">
        <v>819.52</v>
      </c>
      <c r="M29" s="3165">
        <v>6310.3</v>
      </c>
      <c r="N29" s="3165">
        <v>77000</v>
      </c>
    </row>
    <row r="30" spans="1:14">
      <c r="A30" s="3182">
        <v>45657.333831018499</v>
      </c>
      <c r="B30" s="3182">
        <v>45566.333831018499</v>
      </c>
      <c r="C30" s="3165">
        <v>91</v>
      </c>
      <c r="D30" s="3165" t="s">
        <v>3519</v>
      </c>
      <c r="E30" s="3165" t="s">
        <v>3520</v>
      </c>
      <c r="F30" s="3165" t="s">
        <v>3520</v>
      </c>
      <c r="G30" s="3165">
        <v>8</v>
      </c>
      <c r="H30" s="3165">
        <v>803</v>
      </c>
      <c r="I30" s="3165" t="s">
        <v>3521</v>
      </c>
      <c r="J30" s="3165" t="s">
        <v>21</v>
      </c>
      <c r="K30" s="3165" t="s">
        <v>3522</v>
      </c>
      <c r="L30" s="3165">
        <v>819.52</v>
      </c>
      <c r="M30" s="3165">
        <v>6310.3</v>
      </c>
      <c r="N30" s="3165">
        <v>77000</v>
      </c>
    </row>
    <row r="31" spans="1:14">
      <c r="A31" s="3182">
        <v>45657.333831018499</v>
      </c>
      <c r="B31" s="3182">
        <v>45566.333831018499</v>
      </c>
      <c r="C31" s="3165">
        <v>91</v>
      </c>
      <c r="D31" s="3165" t="s">
        <v>3519</v>
      </c>
      <c r="E31" s="3165" t="s">
        <v>3520</v>
      </c>
      <c r="F31" s="3165" t="s">
        <v>3520</v>
      </c>
      <c r="G31" s="3165">
        <v>9</v>
      </c>
      <c r="H31" s="3165">
        <v>903</v>
      </c>
      <c r="I31" s="3165" t="s">
        <v>3521</v>
      </c>
      <c r="J31" s="3165" t="s">
        <v>21</v>
      </c>
      <c r="K31" s="3165" t="s">
        <v>3522</v>
      </c>
      <c r="L31" s="3165">
        <v>819.52</v>
      </c>
      <c r="M31" s="3165">
        <v>6310.3</v>
      </c>
      <c r="N31" s="3165">
        <v>77000</v>
      </c>
    </row>
    <row r="32" spans="1:14">
      <c r="A32" s="3182">
        <v>45657.333831018499</v>
      </c>
      <c r="B32" s="3182">
        <v>45566.333831018499</v>
      </c>
      <c r="C32" s="3165">
        <v>91</v>
      </c>
      <c r="D32" s="3165" t="s">
        <v>3519</v>
      </c>
      <c r="E32" s="3165" t="s">
        <v>3520</v>
      </c>
      <c r="F32" s="3165" t="s">
        <v>3520</v>
      </c>
      <c r="G32" s="3165">
        <v>10</v>
      </c>
      <c r="H32" s="3165">
        <v>1004</v>
      </c>
      <c r="I32" s="3165" t="s">
        <v>3521</v>
      </c>
      <c r="J32" s="3165" t="s">
        <v>21</v>
      </c>
      <c r="K32" s="3165" t="s">
        <v>3522</v>
      </c>
      <c r="L32" s="3165">
        <v>820.62</v>
      </c>
      <c r="M32" s="3165">
        <v>6318.77</v>
      </c>
      <c r="N32" s="3165">
        <v>77000</v>
      </c>
    </row>
    <row r="33" spans="1:14">
      <c r="A33" s="3182">
        <v>45657.333831018499</v>
      </c>
      <c r="B33" s="3182">
        <v>45566.333831018499</v>
      </c>
      <c r="C33" s="3165">
        <v>91</v>
      </c>
      <c r="D33" s="3165" t="s">
        <v>3519</v>
      </c>
      <c r="E33" s="3165" t="s">
        <v>3520</v>
      </c>
      <c r="F33" s="3165" t="s">
        <v>3520</v>
      </c>
      <c r="G33" s="3165">
        <v>11</v>
      </c>
      <c r="H33" s="3165">
        <v>1103</v>
      </c>
      <c r="I33" s="3165" t="s">
        <v>3521</v>
      </c>
      <c r="J33" s="3165" t="s">
        <v>21</v>
      </c>
      <c r="K33" s="3165" t="s">
        <v>3522</v>
      </c>
      <c r="L33" s="3165">
        <v>819.52</v>
      </c>
      <c r="M33" s="3165">
        <v>6310.3</v>
      </c>
      <c r="N33" s="3165">
        <v>77000</v>
      </c>
    </row>
    <row r="34" spans="1:14">
      <c r="A34" s="3182">
        <v>45657.333831018499</v>
      </c>
      <c r="B34" s="3182">
        <v>45566.333831018499</v>
      </c>
      <c r="C34" s="3165">
        <v>91</v>
      </c>
      <c r="D34" s="3165" t="s">
        <v>3519</v>
      </c>
      <c r="E34" s="3165" t="s">
        <v>3520</v>
      </c>
      <c r="F34" s="3165" t="s">
        <v>3520</v>
      </c>
      <c r="G34" s="3165">
        <v>7</v>
      </c>
      <c r="H34" s="3165">
        <v>704</v>
      </c>
      <c r="I34" s="3165" t="s">
        <v>3521</v>
      </c>
      <c r="J34" s="3165" t="s">
        <v>21</v>
      </c>
      <c r="K34" s="3165" t="s">
        <v>3522</v>
      </c>
      <c r="L34" s="3165">
        <v>820.62</v>
      </c>
      <c r="M34" s="3165">
        <v>6318.77</v>
      </c>
      <c r="N34" s="3165">
        <v>77000</v>
      </c>
    </row>
    <row r="35" spans="1:14">
      <c r="A35" s="3182">
        <v>45657.333831018499</v>
      </c>
      <c r="B35" s="3182">
        <v>45566.333831018499</v>
      </c>
      <c r="C35" s="3165">
        <v>91</v>
      </c>
      <c r="D35" s="3165" t="s">
        <v>3519</v>
      </c>
      <c r="E35" s="3165" t="s">
        <v>3520</v>
      </c>
      <c r="F35" s="3165" t="s">
        <v>3520</v>
      </c>
      <c r="G35" s="3165">
        <v>8</v>
      </c>
      <c r="H35" s="3165">
        <v>804</v>
      </c>
      <c r="I35" s="3165" t="s">
        <v>3521</v>
      </c>
      <c r="J35" s="3165" t="s">
        <v>21</v>
      </c>
      <c r="K35" s="3165" t="s">
        <v>3522</v>
      </c>
      <c r="L35" s="3165">
        <v>820.62</v>
      </c>
      <c r="M35" s="3165">
        <v>6318.77</v>
      </c>
      <c r="N35" s="3165">
        <v>77000</v>
      </c>
    </row>
    <row r="36" spans="1:14">
      <c r="A36" s="3182">
        <v>45657.333831018499</v>
      </c>
      <c r="B36" s="3182">
        <v>45566.333831018499</v>
      </c>
      <c r="C36" s="3165">
        <v>91</v>
      </c>
      <c r="D36" s="3165" t="s">
        <v>3519</v>
      </c>
      <c r="E36" s="3165" t="s">
        <v>3520</v>
      </c>
      <c r="F36" s="3165" t="s">
        <v>3520</v>
      </c>
      <c r="G36" s="3165">
        <v>4</v>
      </c>
      <c r="H36" s="3165">
        <v>402</v>
      </c>
      <c r="I36" s="3165" t="s">
        <v>3521</v>
      </c>
      <c r="J36" s="3165" t="s">
        <v>21</v>
      </c>
      <c r="K36" s="3165" t="s">
        <v>3522</v>
      </c>
      <c r="L36" s="3165">
        <v>759.81</v>
      </c>
      <c r="M36" s="3165">
        <v>5850.54</v>
      </c>
      <c r="N36" s="3165">
        <v>77000</v>
      </c>
    </row>
    <row r="37" spans="1:14">
      <c r="A37" s="3182">
        <v>45657.333831018499</v>
      </c>
      <c r="B37" s="3182">
        <v>45566.333831018499</v>
      </c>
      <c r="C37" s="3165">
        <v>91</v>
      </c>
      <c r="D37" s="3165" t="s">
        <v>3519</v>
      </c>
      <c r="E37" s="3165" t="s">
        <v>3520</v>
      </c>
      <c r="F37" s="3165" t="s">
        <v>3520</v>
      </c>
      <c r="G37" s="3165">
        <v>11</v>
      </c>
      <c r="H37" s="3165">
        <v>1101</v>
      </c>
      <c r="I37" s="3165" t="s">
        <v>3521</v>
      </c>
      <c r="J37" s="3165" t="s">
        <v>21</v>
      </c>
      <c r="K37" s="3165" t="s">
        <v>3522</v>
      </c>
      <c r="L37" s="3165">
        <v>776.66</v>
      </c>
      <c r="M37" s="3165">
        <v>5980.28</v>
      </c>
      <c r="N37" s="3165">
        <v>77000</v>
      </c>
    </row>
    <row r="38" spans="1:14">
      <c r="A38" s="3182">
        <v>45657.333831018499</v>
      </c>
      <c r="B38" s="3182">
        <v>45566.333831018499</v>
      </c>
      <c r="C38" s="3165">
        <v>91</v>
      </c>
      <c r="D38" s="3165" t="s">
        <v>3519</v>
      </c>
      <c r="E38" s="3165" t="s">
        <v>3520</v>
      </c>
      <c r="F38" s="3165" t="s">
        <v>3520</v>
      </c>
      <c r="G38" s="3165">
        <v>10</v>
      </c>
      <c r="H38" s="3165">
        <v>1002</v>
      </c>
      <c r="I38" s="3165" t="s">
        <v>3521</v>
      </c>
      <c r="J38" s="3165" t="s">
        <v>21</v>
      </c>
      <c r="K38" s="3165" t="s">
        <v>3522</v>
      </c>
      <c r="L38" s="3165">
        <v>759.81</v>
      </c>
      <c r="M38" s="3165">
        <v>5850.54</v>
      </c>
      <c r="N38" s="3165">
        <v>77000</v>
      </c>
    </row>
    <row r="39" spans="1:14">
      <c r="A39" s="3182">
        <v>45657.333831018499</v>
      </c>
      <c r="B39" s="3182">
        <v>45566.333831018499</v>
      </c>
      <c r="C39" s="3165">
        <v>91</v>
      </c>
      <c r="D39" s="3165" t="s">
        <v>3519</v>
      </c>
      <c r="E39" s="3165" t="s">
        <v>3520</v>
      </c>
      <c r="F39" s="3165" t="s">
        <v>3520</v>
      </c>
      <c r="G39" s="3165">
        <v>8</v>
      </c>
      <c r="H39" s="3165">
        <v>801</v>
      </c>
      <c r="I39" s="3165" t="s">
        <v>3521</v>
      </c>
      <c r="J39" s="3165" t="s">
        <v>21</v>
      </c>
      <c r="K39" s="3165" t="s">
        <v>3522</v>
      </c>
      <c r="L39" s="3165">
        <v>776.66</v>
      </c>
      <c r="M39" s="3165">
        <v>5980.28</v>
      </c>
      <c r="N39" s="3165">
        <v>77000</v>
      </c>
    </row>
    <row r="40" spans="1:14">
      <c r="A40" s="3182">
        <v>45657.333831018499</v>
      </c>
      <c r="B40" s="3182">
        <v>45566.333831018499</v>
      </c>
      <c r="C40" s="3165">
        <v>91</v>
      </c>
      <c r="D40" s="3165" t="s">
        <v>3519</v>
      </c>
      <c r="E40" s="3165" t="s">
        <v>3520</v>
      </c>
      <c r="F40" s="3165" t="s">
        <v>3520</v>
      </c>
      <c r="G40" s="3165">
        <v>8</v>
      </c>
      <c r="H40" s="3165">
        <v>802</v>
      </c>
      <c r="I40" s="3165" t="s">
        <v>3521</v>
      </c>
      <c r="J40" s="3165" t="s">
        <v>21</v>
      </c>
      <c r="K40" s="3165" t="s">
        <v>3522</v>
      </c>
      <c r="L40" s="3165">
        <v>759.81</v>
      </c>
      <c r="M40" s="3165">
        <v>5850.54</v>
      </c>
      <c r="N40" s="3165">
        <v>77000</v>
      </c>
    </row>
    <row r="41" spans="1:14">
      <c r="A41" s="3182">
        <v>45657.333831018499</v>
      </c>
      <c r="B41" s="3182">
        <v>45566.333831018499</v>
      </c>
      <c r="C41" s="3165">
        <v>91</v>
      </c>
      <c r="D41" s="3165" t="s">
        <v>3519</v>
      </c>
      <c r="E41" s="3165" t="s">
        <v>3520</v>
      </c>
      <c r="F41" s="3165" t="s">
        <v>3520</v>
      </c>
      <c r="G41" s="3165">
        <v>3</v>
      </c>
      <c r="H41" s="3165">
        <v>301</v>
      </c>
      <c r="I41" s="3165" t="s">
        <v>3521</v>
      </c>
      <c r="J41" s="3165" t="s">
        <v>21</v>
      </c>
      <c r="K41" s="3165" t="s">
        <v>3522</v>
      </c>
      <c r="L41" s="3165">
        <v>776.66</v>
      </c>
      <c r="M41" s="3165">
        <v>5980.28</v>
      </c>
      <c r="N41" s="3165">
        <v>77000</v>
      </c>
    </row>
    <row r="42" spans="1:14">
      <c r="A42" s="3165"/>
      <c r="B42" s="3165"/>
      <c r="C42" s="3165"/>
      <c r="D42" s="3165"/>
      <c r="E42" s="3165"/>
      <c r="F42" s="3165"/>
      <c r="G42" s="3165"/>
      <c r="H42" s="3165"/>
      <c r="I42" s="3165"/>
      <c r="J42" s="3165" t="s">
        <v>3462</v>
      </c>
      <c r="K42" s="3165"/>
      <c r="L42" s="3165">
        <f>SUM(L2:L41)</f>
        <v>32725.310000000005</v>
      </c>
      <c r="M42" s="3165">
        <f>SUM(M2:M41)</f>
        <v>251658.20999999993</v>
      </c>
      <c r="N42" s="3165">
        <f>ROUND(M42/L42*10000,0)</f>
        <v>76900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E497-6E35-4E5D-824C-5F530C7A1A41}">
  <sheetPr>
    <tabColor rgb="FF7030A0"/>
  </sheetPr>
  <dimension ref="A83:N141"/>
  <sheetViews>
    <sheetView topLeftCell="A121" workbookViewId="0">
      <selection activeCell="X51" sqref="X51"/>
    </sheetView>
  </sheetViews>
  <sheetFormatPr defaultColWidth="9" defaultRowHeight="14.4"/>
  <cols>
    <col min="1" max="1" width="11.33203125" style="3166" customWidth="1"/>
    <col min="2" max="16384" width="9" style="3166"/>
  </cols>
  <sheetData>
    <row r="83" spans="1:14">
      <c r="A83" s="3165" t="s">
        <v>3506</v>
      </c>
      <c r="B83" s="3165" t="s">
        <v>3507</v>
      </c>
      <c r="C83" s="3165" t="s">
        <v>3508</v>
      </c>
      <c r="D83" s="3165" t="s">
        <v>3509</v>
      </c>
      <c r="E83" s="3165" t="s">
        <v>3510</v>
      </c>
      <c r="F83" s="3165" t="s">
        <v>3461</v>
      </c>
      <c r="G83" s="3165" t="s">
        <v>3511</v>
      </c>
      <c r="H83" s="3165" t="s">
        <v>3512</v>
      </c>
      <c r="I83" s="3165" t="s">
        <v>3513</v>
      </c>
      <c r="J83" s="3165" t="s">
        <v>3514</v>
      </c>
      <c r="K83" s="3165" t="s">
        <v>3515</v>
      </c>
      <c r="L83" s="3165" t="s">
        <v>3516</v>
      </c>
      <c r="M83" s="3165" t="s">
        <v>3517</v>
      </c>
      <c r="N83" s="3165" t="s">
        <v>3518</v>
      </c>
    </row>
    <row r="84" spans="1:14">
      <c r="A84" s="3182">
        <v>45393.333831018499</v>
      </c>
      <c r="B84" s="3165" t="s">
        <v>3520</v>
      </c>
      <c r="C84" s="3165" t="s">
        <v>3520</v>
      </c>
      <c r="D84" s="3165" t="s">
        <v>3523</v>
      </c>
      <c r="E84" s="3165" t="s">
        <v>3520</v>
      </c>
      <c r="F84" s="3165" t="s">
        <v>3520</v>
      </c>
      <c r="G84" s="3165">
        <v>14</v>
      </c>
      <c r="H84" s="3165" t="s">
        <v>3524</v>
      </c>
      <c r="I84" s="3165" t="s">
        <v>3525</v>
      </c>
      <c r="J84" s="3165" t="s">
        <v>21</v>
      </c>
      <c r="K84" s="3165" t="s">
        <v>3522</v>
      </c>
      <c r="L84" s="3165">
        <v>945.92</v>
      </c>
      <c r="M84" s="3165">
        <v>7818.31</v>
      </c>
      <c r="N84" s="3165">
        <v>82653</v>
      </c>
    </row>
    <row r="85" spans="1:14">
      <c r="A85" s="3182">
        <v>45393.333831018499</v>
      </c>
      <c r="B85" s="3165" t="s">
        <v>3520</v>
      </c>
      <c r="C85" s="3165" t="s">
        <v>3520</v>
      </c>
      <c r="D85" s="3165" t="s">
        <v>3523</v>
      </c>
      <c r="E85" s="3165" t="s">
        <v>3520</v>
      </c>
      <c r="F85" s="3165" t="s">
        <v>3520</v>
      </c>
      <c r="G85" s="3165">
        <v>11</v>
      </c>
      <c r="H85" s="3165" t="s">
        <v>3526</v>
      </c>
      <c r="I85" s="3165" t="s">
        <v>3525</v>
      </c>
      <c r="J85" s="3165" t="s">
        <v>21</v>
      </c>
      <c r="K85" s="3165" t="s">
        <v>3522</v>
      </c>
      <c r="L85" s="3165">
        <v>1194.76</v>
      </c>
      <c r="M85" s="3165">
        <v>9743.6299999999992</v>
      </c>
      <c r="N85" s="3165">
        <v>81553</v>
      </c>
    </row>
    <row r="86" spans="1:14">
      <c r="A86" s="3182">
        <v>45393.333831018499</v>
      </c>
      <c r="B86" s="3165" t="s">
        <v>3520</v>
      </c>
      <c r="C86" s="3165" t="s">
        <v>3520</v>
      </c>
      <c r="D86" s="3165" t="s">
        <v>3523</v>
      </c>
      <c r="E86" s="3165" t="s">
        <v>3520</v>
      </c>
      <c r="F86" s="3165" t="s">
        <v>3520</v>
      </c>
      <c r="G86" s="3165">
        <v>15</v>
      </c>
      <c r="H86" s="3165" t="s">
        <v>3527</v>
      </c>
      <c r="I86" s="3165" t="s">
        <v>3525</v>
      </c>
      <c r="J86" s="3165" t="s">
        <v>21</v>
      </c>
      <c r="K86" s="3165" t="s">
        <v>3522</v>
      </c>
      <c r="L86" s="3165">
        <v>1030</v>
      </c>
      <c r="M86" s="3165">
        <v>8492.66</v>
      </c>
      <c r="N86" s="3165">
        <v>82453</v>
      </c>
    </row>
    <row r="87" spans="1:14">
      <c r="A87" s="3182">
        <v>45393.333831018499</v>
      </c>
      <c r="B87" s="3165" t="s">
        <v>3520</v>
      </c>
      <c r="C87" s="3165" t="s">
        <v>3520</v>
      </c>
      <c r="D87" s="3165" t="s">
        <v>3523</v>
      </c>
      <c r="E87" s="3165" t="s">
        <v>3520</v>
      </c>
      <c r="F87" s="3165" t="s">
        <v>3520</v>
      </c>
      <c r="G87" s="3165">
        <v>17</v>
      </c>
      <c r="H87" s="3165" t="s">
        <v>3528</v>
      </c>
      <c r="I87" s="3165" t="s">
        <v>3525</v>
      </c>
      <c r="J87" s="3165" t="s">
        <v>21</v>
      </c>
      <c r="K87" s="3165" t="s">
        <v>3522</v>
      </c>
      <c r="L87" s="3165">
        <v>1030</v>
      </c>
      <c r="M87" s="3165">
        <v>8513.26</v>
      </c>
      <c r="N87" s="3165">
        <v>82653</v>
      </c>
    </row>
    <row r="88" spans="1:14">
      <c r="A88" s="3182">
        <v>45393.333831018499</v>
      </c>
      <c r="B88" s="3165" t="s">
        <v>3520</v>
      </c>
      <c r="C88" s="3165" t="s">
        <v>3520</v>
      </c>
      <c r="D88" s="3165" t="s">
        <v>3523</v>
      </c>
      <c r="E88" s="3165" t="s">
        <v>3520</v>
      </c>
      <c r="F88" s="3165" t="s">
        <v>3520</v>
      </c>
      <c r="G88" s="3165">
        <v>13</v>
      </c>
      <c r="H88" s="3165" t="s">
        <v>3529</v>
      </c>
      <c r="I88" s="3165" t="s">
        <v>3525</v>
      </c>
      <c r="J88" s="3165" t="s">
        <v>21</v>
      </c>
      <c r="K88" s="3165" t="s">
        <v>3522</v>
      </c>
      <c r="L88" s="3165">
        <v>945.92</v>
      </c>
      <c r="M88" s="3165">
        <v>7808.85</v>
      </c>
      <c r="N88" s="3165">
        <v>82553</v>
      </c>
    </row>
    <row r="89" spans="1:14">
      <c r="A89" s="3182">
        <v>45393.333831018499</v>
      </c>
      <c r="B89" s="3165" t="s">
        <v>3520</v>
      </c>
      <c r="C89" s="3165" t="s">
        <v>3520</v>
      </c>
      <c r="D89" s="3165" t="s">
        <v>3523</v>
      </c>
      <c r="E89" s="3165" t="s">
        <v>3520</v>
      </c>
      <c r="F89" s="3165" t="s">
        <v>3520</v>
      </c>
      <c r="G89" s="3165">
        <v>17</v>
      </c>
      <c r="H89" s="3165" t="s">
        <v>3530</v>
      </c>
      <c r="I89" s="3165" t="s">
        <v>3525</v>
      </c>
      <c r="J89" s="3165" t="s">
        <v>21</v>
      </c>
      <c r="K89" s="3165" t="s">
        <v>3522</v>
      </c>
      <c r="L89" s="3165">
        <v>945.92</v>
      </c>
      <c r="M89" s="3165">
        <v>7846.69</v>
      </c>
      <c r="N89" s="3165">
        <v>82953</v>
      </c>
    </row>
    <row r="90" spans="1:14">
      <c r="A90" s="3182">
        <v>45393.333831018499</v>
      </c>
      <c r="B90" s="3165" t="s">
        <v>3520</v>
      </c>
      <c r="C90" s="3165" t="s">
        <v>3520</v>
      </c>
      <c r="D90" s="3165" t="s">
        <v>3523</v>
      </c>
      <c r="E90" s="3165" t="s">
        <v>3520</v>
      </c>
      <c r="F90" s="3165" t="s">
        <v>3520</v>
      </c>
      <c r="G90" s="3165">
        <v>1</v>
      </c>
      <c r="H90" s="3165">
        <v>106</v>
      </c>
      <c r="I90" s="3165" t="s">
        <v>3525</v>
      </c>
      <c r="J90" s="3165" t="s">
        <v>21</v>
      </c>
      <c r="K90" s="3165" t="s">
        <v>3522</v>
      </c>
      <c r="L90" s="3165">
        <v>75.930000000000007</v>
      </c>
      <c r="M90" s="3165">
        <v>439.63</v>
      </c>
      <c r="N90" s="3165">
        <v>57900</v>
      </c>
    </row>
    <row r="91" spans="1:14">
      <c r="A91" s="3182">
        <v>45393.333831018499</v>
      </c>
      <c r="B91" s="3165" t="s">
        <v>3520</v>
      </c>
      <c r="C91" s="3165" t="s">
        <v>3520</v>
      </c>
      <c r="D91" s="3165" t="s">
        <v>3523</v>
      </c>
      <c r="E91" s="3165" t="s">
        <v>3520</v>
      </c>
      <c r="F91" s="3165" t="s">
        <v>3520</v>
      </c>
      <c r="G91" s="3165">
        <v>4</v>
      </c>
      <c r="H91" s="3165" t="s">
        <v>3531</v>
      </c>
      <c r="I91" s="3165" t="s">
        <v>3525</v>
      </c>
      <c r="J91" s="3165" t="s">
        <v>21</v>
      </c>
      <c r="K91" s="3165" t="s">
        <v>3522</v>
      </c>
      <c r="L91" s="3165">
        <v>929.37</v>
      </c>
      <c r="M91" s="3165">
        <v>7514.24</v>
      </c>
      <c r="N91" s="3165">
        <v>80853</v>
      </c>
    </row>
    <row r="92" spans="1:14">
      <c r="A92" s="3182">
        <v>45393.333831018499</v>
      </c>
      <c r="B92" s="3165" t="s">
        <v>3520</v>
      </c>
      <c r="C92" s="3165" t="s">
        <v>3520</v>
      </c>
      <c r="D92" s="3165" t="s">
        <v>3523</v>
      </c>
      <c r="E92" s="3165" t="s">
        <v>3520</v>
      </c>
      <c r="F92" s="3165" t="s">
        <v>3520</v>
      </c>
      <c r="G92" s="3165">
        <v>6</v>
      </c>
      <c r="H92" s="3165" t="s">
        <v>3532</v>
      </c>
      <c r="I92" s="3165" t="s">
        <v>3525</v>
      </c>
      <c r="J92" s="3165" t="s">
        <v>21</v>
      </c>
      <c r="K92" s="3165" t="s">
        <v>3522</v>
      </c>
      <c r="L92" s="3165">
        <v>1029.51</v>
      </c>
      <c r="M92" s="3165">
        <v>8395.9599999999991</v>
      </c>
      <c r="N92" s="3165">
        <v>81553</v>
      </c>
    </row>
    <row r="93" spans="1:14">
      <c r="A93" s="3182">
        <v>45393.333831018499</v>
      </c>
      <c r="B93" s="3165" t="s">
        <v>3520</v>
      </c>
      <c r="C93" s="3165" t="s">
        <v>3520</v>
      </c>
      <c r="D93" s="3165" t="s">
        <v>3523</v>
      </c>
      <c r="E93" s="3165" t="s">
        <v>3520</v>
      </c>
      <c r="F93" s="3165" t="s">
        <v>3520</v>
      </c>
      <c r="G93" s="3165">
        <v>11</v>
      </c>
      <c r="H93" s="3165" t="s">
        <v>3533</v>
      </c>
      <c r="I93" s="3165" t="s">
        <v>3525</v>
      </c>
      <c r="J93" s="3165" t="s">
        <v>21</v>
      </c>
      <c r="K93" s="3165" t="s">
        <v>3522</v>
      </c>
      <c r="L93" s="3165">
        <v>1030.96</v>
      </c>
      <c r="M93" s="3165">
        <v>8459.34</v>
      </c>
      <c r="N93" s="3165">
        <v>82053</v>
      </c>
    </row>
    <row r="94" spans="1:14">
      <c r="A94" s="3182">
        <v>45393.333831018499</v>
      </c>
      <c r="B94" s="3165" t="s">
        <v>3520</v>
      </c>
      <c r="C94" s="3165" t="s">
        <v>3520</v>
      </c>
      <c r="D94" s="3165" t="s">
        <v>3523</v>
      </c>
      <c r="E94" s="3165" t="s">
        <v>3520</v>
      </c>
      <c r="F94" s="3165" t="s">
        <v>3520</v>
      </c>
      <c r="G94" s="3165">
        <v>11</v>
      </c>
      <c r="H94" s="3165" t="s">
        <v>3534</v>
      </c>
      <c r="I94" s="3165" t="s">
        <v>3525</v>
      </c>
      <c r="J94" s="3165" t="s">
        <v>21</v>
      </c>
      <c r="K94" s="3165" t="s">
        <v>3522</v>
      </c>
      <c r="L94" s="3165">
        <v>888.19</v>
      </c>
      <c r="M94" s="3165">
        <v>7314.51</v>
      </c>
      <c r="N94" s="3165">
        <v>82353</v>
      </c>
    </row>
    <row r="95" spans="1:14">
      <c r="A95" s="3182">
        <v>45393.333831018499</v>
      </c>
      <c r="B95" s="3165" t="s">
        <v>3520</v>
      </c>
      <c r="C95" s="3165" t="s">
        <v>3520</v>
      </c>
      <c r="D95" s="3165" t="s">
        <v>3523</v>
      </c>
      <c r="E95" s="3165" t="s">
        <v>3520</v>
      </c>
      <c r="F95" s="3165" t="s">
        <v>3520</v>
      </c>
      <c r="G95" s="3165">
        <v>7</v>
      </c>
      <c r="H95" s="3165" t="s">
        <v>3535</v>
      </c>
      <c r="I95" s="3165" t="s">
        <v>3525</v>
      </c>
      <c r="J95" s="3165" t="s">
        <v>21</v>
      </c>
      <c r="K95" s="3165" t="s">
        <v>3522</v>
      </c>
      <c r="L95" s="3165">
        <v>807.36</v>
      </c>
      <c r="M95" s="3165">
        <v>6632.7</v>
      </c>
      <c r="N95" s="3165">
        <v>82153</v>
      </c>
    </row>
    <row r="96" spans="1:14">
      <c r="A96" s="3182">
        <v>45393.333831018499</v>
      </c>
      <c r="B96" s="3165" t="s">
        <v>3520</v>
      </c>
      <c r="C96" s="3165" t="s">
        <v>3520</v>
      </c>
      <c r="D96" s="3165" t="s">
        <v>3523</v>
      </c>
      <c r="E96" s="3165" t="s">
        <v>3520</v>
      </c>
      <c r="F96" s="3165" t="s">
        <v>3520</v>
      </c>
      <c r="G96" s="3165">
        <v>6</v>
      </c>
      <c r="H96" s="3165" t="s">
        <v>3536</v>
      </c>
      <c r="I96" s="3165" t="s">
        <v>3525</v>
      </c>
      <c r="J96" s="3165" t="s">
        <v>21</v>
      </c>
      <c r="K96" s="3165" t="s">
        <v>3522</v>
      </c>
      <c r="L96" s="3165">
        <v>807.37</v>
      </c>
      <c r="M96" s="3165">
        <v>6624.71</v>
      </c>
      <c r="N96" s="3165">
        <v>82053</v>
      </c>
    </row>
    <row r="97" spans="1:14">
      <c r="A97" s="3182">
        <v>45393.333831018499</v>
      </c>
      <c r="B97" s="3165" t="s">
        <v>3520</v>
      </c>
      <c r="C97" s="3165" t="s">
        <v>3520</v>
      </c>
      <c r="D97" s="3165" t="s">
        <v>3523</v>
      </c>
      <c r="E97" s="3165" t="s">
        <v>3520</v>
      </c>
      <c r="F97" s="3165" t="s">
        <v>3520</v>
      </c>
      <c r="G97" s="3165">
        <v>8</v>
      </c>
      <c r="H97" s="3165" t="s">
        <v>3537</v>
      </c>
      <c r="I97" s="3165" t="s">
        <v>3525</v>
      </c>
      <c r="J97" s="3165" t="s">
        <v>21</v>
      </c>
      <c r="K97" s="3165" t="s">
        <v>3522</v>
      </c>
      <c r="L97" s="3165">
        <v>1197.99</v>
      </c>
      <c r="M97" s="3165">
        <v>9734.0300000000007</v>
      </c>
      <c r="N97" s="3165">
        <v>81253</v>
      </c>
    </row>
    <row r="98" spans="1:14">
      <c r="A98" s="3182">
        <v>45393.333831018499</v>
      </c>
      <c r="B98" s="3165" t="s">
        <v>3520</v>
      </c>
      <c r="C98" s="3165" t="s">
        <v>3520</v>
      </c>
      <c r="D98" s="3165" t="s">
        <v>3523</v>
      </c>
      <c r="E98" s="3165" t="s">
        <v>3520</v>
      </c>
      <c r="F98" s="3165" t="s">
        <v>3520</v>
      </c>
      <c r="G98" s="3165">
        <v>9</v>
      </c>
      <c r="H98" s="3165" t="s">
        <v>3538</v>
      </c>
      <c r="I98" s="3165" t="s">
        <v>3525</v>
      </c>
      <c r="J98" s="3165" t="s">
        <v>21</v>
      </c>
      <c r="K98" s="3165" t="s">
        <v>3522</v>
      </c>
      <c r="L98" s="3165">
        <v>1028.6300000000001</v>
      </c>
      <c r="M98" s="3165">
        <v>8419.65</v>
      </c>
      <c r="N98" s="3165">
        <v>81853</v>
      </c>
    </row>
    <row r="99" spans="1:14">
      <c r="A99" s="3182">
        <v>45393.333831018499</v>
      </c>
      <c r="B99" s="3165" t="s">
        <v>3520</v>
      </c>
      <c r="C99" s="3165" t="s">
        <v>3520</v>
      </c>
      <c r="D99" s="3165" t="s">
        <v>3523</v>
      </c>
      <c r="E99" s="3165" t="s">
        <v>3520</v>
      </c>
      <c r="F99" s="3165" t="s">
        <v>3520</v>
      </c>
      <c r="G99" s="3165">
        <v>5</v>
      </c>
      <c r="H99" s="3165" t="s">
        <v>3539</v>
      </c>
      <c r="I99" s="3165" t="s">
        <v>3525</v>
      </c>
      <c r="J99" s="3165" t="s">
        <v>21</v>
      </c>
      <c r="K99" s="3165" t="s">
        <v>3522</v>
      </c>
      <c r="L99" s="3165">
        <v>1058.1500000000001</v>
      </c>
      <c r="M99" s="3165">
        <v>8618.9500000000007</v>
      </c>
      <c r="N99" s="3165">
        <v>81453</v>
      </c>
    </row>
    <row r="100" spans="1:14">
      <c r="A100" s="3182">
        <v>45393.333831018499</v>
      </c>
      <c r="B100" s="3165" t="s">
        <v>3520</v>
      </c>
      <c r="C100" s="3165" t="s">
        <v>3520</v>
      </c>
      <c r="D100" s="3165" t="s">
        <v>3523</v>
      </c>
      <c r="E100" s="3165" t="s">
        <v>3520</v>
      </c>
      <c r="F100" s="3165" t="s">
        <v>3520</v>
      </c>
      <c r="G100" s="3165">
        <v>8</v>
      </c>
      <c r="H100" s="3165" t="s">
        <v>3540</v>
      </c>
      <c r="I100" s="3165" t="s">
        <v>3525</v>
      </c>
      <c r="J100" s="3165" t="s">
        <v>21</v>
      </c>
      <c r="K100" s="3165" t="s">
        <v>3522</v>
      </c>
      <c r="L100" s="3165">
        <v>1028.6300000000001</v>
      </c>
      <c r="M100" s="3165">
        <v>8409.36</v>
      </c>
      <c r="N100" s="3165">
        <v>81753</v>
      </c>
    </row>
    <row r="101" spans="1:14">
      <c r="A101" s="3182">
        <v>45393.333831018499</v>
      </c>
      <c r="B101" s="3165" t="s">
        <v>3520</v>
      </c>
      <c r="C101" s="3165" t="s">
        <v>3520</v>
      </c>
      <c r="D101" s="3165" t="s">
        <v>3523</v>
      </c>
      <c r="E101" s="3165" t="s">
        <v>3520</v>
      </c>
      <c r="F101" s="3165" t="s">
        <v>3520</v>
      </c>
      <c r="G101" s="3165">
        <v>14</v>
      </c>
      <c r="H101" s="3165" t="s">
        <v>3541</v>
      </c>
      <c r="I101" s="3165" t="s">
        <v>3525</v>
      </c>
      <c r="J101" s="3165" t="s">
        <v>21</v>
      </c>
      <c r="K101" s="3165" t="s">
        <v>3522</v>
      </c>
      <c r="L101" s="3165">
        <v>895.88</v>
      </c>
      <c r="M101" s="3165">
        <v>7422.63</v>
      </c>
      <c r="N101" s="3165">
        <v>82853</v>
      </c>
    </row>
    <row r="102" spans="1:14">
      <c r="A102" s="3182">
        <v>45393.333831018499</v>
      </c>
      <c r="B102" s="3165" t="s">
        <v>3520</v>
      </c>
      <c r="C102" s="3165" t="s">
        <v>3520</v>
      </c>
      <c r="D102" s="3165" t="s">
        <v>3523</v>
      </c>
      <c r="E102" s="3165" t="s">
        <v>3520</v>
      </c>
      <c r="F102" s="3165" t="s">
        <v>3520</v>
      </c>
      <c r="G102" s="3165">
        <v>9</v>
      </c>
      <c r="H102" s="3165" t="s">
        <v>3542</v>
      </c>
      <c r="I102" s="3165" t="s">
        <v>3525</v>
      </c>
      <c r="J102" s="3165" t="s">
        <v>21</v>
      </c>
      <c r="K102" s="3165" t="s">
        <v>3522</v>
      </c>
      <c r="L102" s="3165">
        <v>807.36</v>
      </c>
      <c r="M102" s="3165">
        <v>6648.85</v>
      </c>
      <c r="N102" s="3165">
        <v>82353</v>
      </c>
    </row>
    <row r="103" spans="1:14">
      <c r="A103" s="3182">
        <v>45393.333831018499</v>
      </c>
      <c r="B103" s="3165" t="s">
        <v>3520</v>
      </c>
      <c r="C103" s="3165" t="s">
        <v>3520</v>
      </c>
      <c r="D103" s="3165" t="s">
        <v>3523</v>
      </c>
      <c r="E103" s="3165" t="s">
        <v>3520</v>
      </c>
      <c r="F103" s="3165" t="s">
        <v>3520</v>
      </c>
      <c r="G103" s="3165">
        <v>8</v>
      </c>
      <c r="H103" s="3165" t="s">
        <v>3543</v>
      </c>
      <c r="I103" s="3165" t="s">
        <v>3525</v>
      </c>
      <c r="J103" s="3165" t="s">
        <v>21</v>
      </c>
      <c r="K103" s="3165" t="s">
        <v>3522</v>
      </c>
      <c r="L103" s="3165">
        <v>807.36</v>
      </c>
      <c r="M103" s="3165">
        <v>6640.78</v>
      </c>
      <c r="N103" s="3165">
        <v>82253</v>
      </c>
    </row>
    <row r="104" spans="1:14">
      <c r="A104" s="3182">
        <v>45393.333831018499</v>
      </c>
      <c r="B104" s="3165" t="s">
        <v>3520</v>
      </c>
      <c r="C104" s="3165" t="s">
        <v>3520</v>
      </c>
      <c r="D104" s="3165" t="s">
        <v>3523</v>
      </c>
      <c r="E104" s="3165" t="s">
        <v>3520</v>
      </c>
      <c r="F104" s="3165" t="s">
        <v>3520</v>
      </c>
      <c r="G104" s="3165">
        <v>7</v>
      </c>
      <c r="H104" s="3165" t="s">
        <v>3544</v>
      </c>
      <c r="I104" s="3165" t="s">
        <v>3525</v>
      </c>
      <c r="J104" s="3165" t="s">
        <v>21</v>
      </c>
      <c r="K104" s="3165" t="s">
        <v>3522</v>
      </c>
      <c r="L104" s="3165">
        <v>972.69</v>
      </c>
      <c r="M104" s="3165">
        <v>7971.49</v>
      </c>
      <c r="N104" s="3165">
        <v>81953</v>
      </c>
    </row>
    <row r="105" spans="1:14">
      <c r="A105" s="3182">
        <v>45393.333831018499</v>
      </c>
      <c r="B105" s="3165" t="s">
        <v>3520</v>
      </c>
      <c r="C105" s="3165" t="s">
        <v>3520</v>
      </c>
      <c r="D105" s="3165" t="s">
        <v>3523</v>
      </c>
      <c r="E105" s="3165" t="s">
        <v>3520</v>
      </c>
      <c r="F105" s="3165" t="s">
        <v>3520</v>
      </c>
      <c r="G105" s="3165">
        <v>5</v>
      </c>
      <c r="H105" s="3165" t="s">
        <v>3545</v>
      </c>
      <c r="I105" s="3165" t="s">
        <v>3525</v>
      </c>
      <c r="J105" s="3165" t="s">
        <v>21</v>
      </c>
      <c r="K105" s="3165" t="s">
        <v>3522</v>
      </c>
      <c r="L105" s="3165">
        <v>721.91</v>
      </c>
      <c r="M105" s="3165">
        <v>5901.83</v>
      </c>
      <c r="N105" s="3165">
        <v>81753</v>
      </c>
    </row>
    <row r="106" spans="1:14">
      <c r="A106" s="3182">
        <v>45393.333831018499</v>
      </c>
      <c r="B106" s="3165" t="s">
        <v>3520</v>
      </c>
      <c r="C106" s="3165" t="s">
        <v>3520</v>
      </c>
      <c r="D106" s="3165" t="s">
        <v>3523</v>
      </c>
      <c r="E106" s="3165" t="s">
        <v>3520</v>
      </c>
      <c r="F106" s="3165" t="s">
        <v>3520</v>
      </c>
      <c r="G106" s="3165">
        <v>14</v>
      </c>
      <c r="H106" s="3165" t="s">
        <v>3546</v>
      </c>
      <c r="I106" s="3165" t="s">
        <v>3525</v>
      </c>
      <c r="J106" s="3165" t="s">
        <v>21</v>
      </c>
      <c r="K106" s="3165" t="s">
        <v>3522</v>
      </c>
      <c r="L106" s="3165">
        <v>1194.1099999999999</v>
      </c>
      <c r="M106" s="3165">
        <v>9774.15</v>
      </c>
      <c r="N106" s="3165">
        <v>81853</v>
      </c>
    </row>
    <row r="107" spans="1:14">
      <c r="A107" s="3182">
        <v>45393.333831018499</v>
      </c>
      <c r="B107" s="3165" t="s">
        <v>3520</v>
      </c>
      <c r="C107" s="3165" t="s">
        <v>3520</v>
      </c>
      <c r="D107" s="3165" t="s">
        <v>3523</v>
      </c>
      <c r="E107" s="3165" t="s">
        <v>3520</v>
      </c>
      <c r="F107" s="3165" t="s">
        <v>3520</v>
      </c>
      <c r="G107" s="3165">
        <v>12</v>
      </c>
      <c r="H107" s="3165" t="s">
        <v>3547</v>
      </c>
      <c r="I107" s="3165" t="s">
        <v>3525</v>
      </c>
      <c r="J107" s="3165" t="s">
        <v>21</v>
      </c>
      <c r="K107" s="3165" t="s">
        <v>3522</v>
      </c>
      <c r="L107" s="3165">
        <v>888.19</v>
      </c>
      <c r="M107" s="3165">
        <v>7323.39</v>
      </c>
      <c r="N107" s="3165">
        <v>82453</v>
      </c>
    </row>
    <row r="108" spans="1:14">
      <c r="A108" s="3182">
        <v>45393.333831018499</v>
      </c>
      <c r="B108" s="3165" t="s">
        <v>3520</v>
      </c>
      <c r="C108" s="3165" t="s">
        <v>3520</v>
      </c>
      <c r="D108" s="3165" t="s">
        <v>3523</v>
      </c>
      <c r="E108" s="3165" t="s">
        <v>3520</v>
      </c>
      <c r="F108" s="3165" t="s">
        <v>3520</v>
      </c>
      <c r="G108" s="3165">
        <v>12</v>
      </c>
      <c r="H108" s="3165" t="s">
        <v>3548</v>
      </c>
      <c r="I108" s="3165" t="s">
        <v>3525</v>
      </c>
      <c r="J108" s="3165" t="s">
        <v>21</v>
      </c>
      <c r="K108" s="3165" t="s">
        <v>3522</v>
      </c>
      <c r="L108" s="3165">
        <v>1030.96</v>
      </c>
      <c r="M108" s="3165">
        <v>8469.65</v>
      </c>
      <c r="N108" s="3165">
        <v>82153</v>
      </c>
    </row>
    <row r="109" spans="1:14">
      <c r="A109" s="3182">
        <v>45393.333831018499</v>
      </c>
      <c r="B109" s="3165" t="s">
        <v>3520</v>
      </c>
      <c r="C109" s="3165" t="s">
        <v>3520</v>
      </c>
      <c r="D109" s="3165" t="s">
        <v>3523</v>
      </c>
      <c r="E109" s="3165" t="s">
        <v>3520</v>
      </c>
      <c r="F109" s="3165" t="s">
        <v>3520</v>
      </c>
      <c r="G109" s="3165">
        <v>9</v>
      </c>
      <c r="H109" s="3165" t="s">
        <v>3549</v>
      </c>
      <c r="I109" s="3165" t="s">
        <v>3525</v>
      </c>
      <c r="J109" s="3165" t="s">
        <v>21</v>
      </c>
      <c r="K109" s="3165" t="s">
        <v>3522</v>
      </c>
      <c r="L109" s="3165">
        <v>972.69</v>
      </c>
      <c r="M109" s="3165">
        <v>7990.94</v>
      </c>
      <c r="N109" s="3165">
        <v>82153</v>
      </c>
    </row>
    <row r="110" spans="1:14">
      <c r="A110" s="3182">
        <v>45393.333831018499</v>
      </c>
      <c r="B110" s="3165" t="s">
        <v>3520</v>
      </c>
      <c r="C110" s="3165" t="s">
        <v>3520</v>
      </c>
      <c r="D110" s="3165" t="s">
        <v>3523</v>
      </c>
      <c r="E110" s="3165" t="s">
        <v>3520</v>
      </c>
      <c r="F110" s="3165" t="s">
        <v>3520</v>
      </c>
      <c r="G110" s="3165">
        <v>15</v>
      </c>
      <c r="H110" s="3165" t="s">
        <v>3550</v>
      </c>
      <c r="I110" s="3165" t="s">
        <v>3525</v>
      </c>
      <c r="J110" s="3165" t="s">
        <v>21</v>
      </c>
      <c r="K110" s="3165" t="s">
        <v>3522</v>
      </c>
      <c r="L110" s="3165">
        <v>895.88</v>
      </c>
      <c r="M110" s="3165">
        <v>7431.59</v>
      </c>
      <c r="N110" s="3165">
        <v>82953</v>
      </c>
    </row>
    <row r="111" spans="1:14">
      <c r="A111" s="3182">
        <v>45393.333831018499</v>
      </c>
      <c r="B111" s="3165" t="s">
        <v>3520</v>
      </c>
      <c r="C111" s="3165" t="s">
        <v>3520</v>
      </c>
      <c r="D111" s="3165" t="s">
        <v>3523</v>
      </c>
      <c r="E111" s="3165" t="s">
        <v>3520</v>
      </c>
      <c r="F111" s="3165" t="s">
        <v>3520</v>
      </c>
      <c r="G111" s="3165">
        <v>13</v>
      </c>
      <c r="H111" s="3165" t="s">
        <v>3551</v>
      </c>
      <c r="I111" s="3165" t="s">
        <v>3525</v>
      </c>
      <c r="J111" s="3165" t="s">
        <v>21</v>
      </c>
      <c r="K111" s="3165" t="s">
        <v>3522</v>
      </c>
      <c r="L111" s="3165">
        <v>1030</v>
      </c>
      <c r="M111" s="3165">
        <v>8472.06</v>
      </c>
      <c r="N111" s="3165">
        <v>82253</v>
      </c>
    </row>
    <row r="112" spans="1:14">
      <c r="A112" s="3182">
        <v>45393.333831018499</v>
      </c>
      <c r="B112" s="3165" t="s">
        <v>3520</v>
      </c>
      <c r="C112" s="3165" t="s">
        <v>3520</v>
      </c>
      <c r="D112" s="3165" t="s">
        <v>3523</v>
      </c>
      <c r="E112" s="3165" t="s">
        <v>3520</v>
      </c>
      <c r="F112" s="3165" t="s">
        <v>3520</v>
      </c>
      <c r="G112" s="3165">
        <v>17</v>
      </c>
      <c r="H112" s="3165" t="s">
        <v>3552</v>
      </c>
      <c r="I112" s="3165" t="s">
        <v>3525</v>
      </c>
      <c r="J112" s="3165" t="s">
        <v>21</v>
      </c>
      <c r="K112" s="3165" t="s">
        <v>3522</v>
      </c>
      <c r="L112" s="3165">
        <v>1194.1099999999999</v>
      </c>
      <c r="M112" s="3165">
        <v>9809.9699999999993</v>
      </c>
      <c r="N112" s="3165">
        <v>82153</v>
      </c>
    </row>
    <row r="113" spans="1:14">
      <c r="A113" s="3182">
        <v>45393.333831018499</v>
      </c>
      <c r="B113" s="3165" t="s">
        <v>3520</v>
      </c>
      <c r="C113" s="3165" t="s">
        <v>3520</v>
      </c>
      <c r="D113" s="3165" t="s">
        <v>3523</v>
      </c>
      <c r="E113" s="3165" t="s">
        <v>3520</v>
      </c>
      <c r="F113" s="3165" t="s">
        <v>3520</v>
      </c>
      <c r="G113" s="3165">
        <v>5</v>
      </c>
      <c r="H113" s="3165" t="s">
        <v>3553</v>
      </c>
      <c r="I113" s="3165" t="s">
        <v>3525</v>
      </c>
      <c r="J113" s="3165" t="s">
        <v>21</v>
      </c>
      <c r="K113" s="3165" t="s">
        <v>3522</v>
      </c>
      <c r="L113" s="3165">
        <v>803.93</v>
      </c>
      <c r="M113" s="3165">
        <v>6588.45</v>
      </c>
      <c r="N113" s="3165">
        <v>81953</v>
      </c>
    </row>
    <row r="114" spans="1:14">
      <c r="A114" s="3182">
        <v>45393.333831018499</v>
      </c>
      <c r="B114" s="3165" t="s">
        <v>3520</v>
      </c>
      <c r="C114" s="3165" t="s">
        <v>3520</v>
      </c>
      <c r="D114" s="3165" t="s">
        <v>3523</v>
      </c>
      <c r="E114" s="3165" t="s">
        <v>3520</v>
      </c>
      <c r="F114" s="3165" t="s">
        <v>3520</v>
      </c>
      <c r="G114" s="3165">
        <v>16</v>
      </c>
      <c r="H114" s="3165" t="s">
        <v>3554</v>
      </c>
      <c r="I114" s="3165" t="s">
        <v>3525</v>
      </c>
      <c r="J114" s="3165" t="s">
        <v>21</v>
      </c>
      <c r="K114" s="3165" t="s">
        <v>3522</v>
      </c>
      <c r="L114" s="3165">
        <v>1194.1099999999999</v>
      </c>
      <c r="M114" s="3165">
        <v>9798.0300000000007</v>
      </c>
      <c r="N114" s="3165">
        <v>82053</v>
      </c>
    </row>
    <row r="115" spans="1:14">
      <c r="A115" s="3182">
        <v>45393.333831018499</v>
      </c>
      <c r="B115" s="3165" t="s">
        <v>3520</v>
      </c>
      <c r="C115" s="3165" t="s">
        <v>3520</v>
      </c>
      <c r="D115" s="3165" t="s">
        <v>3523</v>
      </c>
      <c r="E115" s="3165" t="s">
        <v>3520</v>
      </c>
      <c r="F115" s="3165" t="s">
        <v>3520</v>
      </c>
      <c r="G115" s="3165">
        <v>14</v>
      </c>
      <c r="H115" s="3165" t="s">
        <v>3555</v>
      </c>
      <c r="I115" s="3165" t="s">
        <v>3525</v>
      </c>
      <c r="J115" s="3165" t="s">
        <v>21</v>
      </c>
      <c r="K115" s="3165" t="s">
        <v>3522</v>
      </c>
      <c r="L115" s="3165">
        <v>1030</v>
      </c>
      <c r="M115" s="3165">
        <v>8482.36</v>
      </c>
      <c r="N115" s="3165">
        <v>82353</v>
      </c>
    </row>
    <row r="116" spans="1:14">
      <c r="A116" s="3182">
        <v>45393.333831018499</v>
      </c>
      <c r="B116" s="3165" t="s">
        <v>3520</v>
      </c>
      <c r="C116" s="3165" t="s">
        <v>3520</v>
      </c>
      <c r="D116" s="3165" t="s">
        <v>3523</v>
      </c>
      <c r="E116" s="3165" t="s">
        <v>3520</v>
      </c>
      <c r="F116" s="3165" t="s">
        <v>3520</v>
      </c>
      <c r="G116" s="3165">
        <v>8</v>
      </c>
      <c r="H116" s="3165" t="s">
        <v>3556</v>
      </c>
      <c r="I116" s="3165" t="s">
        <v>3525</v>
      </c>
      <c r="J116" s="3165" t="s">
        <v>21</v>
      </c>
      <c r="K116" s="3165" t="s">
        <v>3522</v>
      </c>
      <c r="L116" s="3165">
        <v>972.69</v>
      </c>
      <c r="M116" s="3165">
        <v>7981.21</v>
      </c>
      <c r="N116" s="3165">
        <v>82053</v>
      </c>
    </row>
    <row r="117" spans="1:14">
      <c r="A117" s="3182">
        <v>45393.333831018499</v>
      </c>
      <c r="B117" s="3165" t="s">
        <v>3520</v>
      </c>
      <c r="C117" s="3165" t="s">
        <v>3520</v>
      </c>
      <c r="D117" s="3165" t="s">
        <v>3523</v>
      </c>
      <c r="E117" s="3165" t="s">
        <v>3520</v>
      </c>
      <c r="F117" s="3165" t="s">
        <v>3520</v>
      </c>
      <c r="G117" s="3165">
        <v>10</v>
      </c>
      <c r="H117" s="3165" t="s">
        <v>3557</v>
      </c>
      <c r="I117" s="3165" t="s">
        <v>3525</v>
      </c>
      <c r="J117" s="3165" t="s">
        <v>21</v>
      </c>
      <c r="K117" s="3165" t="s">
        <v>3522</v>
      </c>
      <c r="L117" s="3165">
        <v>807.36</v>
      </c>
      <c r="M117" s="3165">
        <v>6656.93</v>
      </c>
      <c r="N117" s="3165">
        <v>82453</v>
      </c>
    </row>
    <row r="118" spans="1:14">
      <c r="A118" s="3182">
        <v>45393.333831018499</v>
      </c>
      <c r="B118" s="3165" t="s">
        <v>3520</v>
      </c>
      <c r="C118" s="3165" t="s">
        <v>3520</v>
      </c>
      <c r="D118" s="3165" t="s">
        <v>3523</v>
      </c>
      <c r="E118" s="3165" t="s">
        <v>3520</v>
      </c>
      <c r="F118" s="3165" t="s">
        <v>3520</v>
      </c>
      <c r="G118" s="3165">
        <v>12</v>
      </c>
      <c r="H118" s="3165" t="s">
        <v>3558</v>
      </c>
      <c r="I118" s="3165" t="s">
        <v>3525</v>
      </c>
      <c r="J118" s="3165" t="s">
        <v>21</v>
      </c>
      <c r="K118" s="3165" t="s">
        <v>3522</v>
      </c>
      <c r="L118" s="3165">
        <v>956.84</v>
      </c>
      <c r="M118" s="3165">
        <v>7908.57</v>
      </c>
      <c r="N118" s="3165">
        <v>82653</v>
      </c>
    </row>
    <row r="119" spans="1:14">
      <c r="A119" s="3182">
        <v>45393.333831018499</v>
      </c>
      <c r="B119" s="3165" t="s">
        <v>3520</v>
      </c>
      <c r="C119" s="3165" t="s">
        <v>3520</v>
      </c>
      <c r="D119" s="3165" t="s">
        <v>3523</v>
      </c>
      <c r="E119" s="3165" t="s">
        <v>3520</v>
      </c>
      <c r="F119" s="3165" t="s">
        <v>3520</v>
      </c>
      <c r="G119" s="3165">
        <v>7</v>
      </c>
      <c r="H119" s="3165" t="s">
        <v>3559</v>
      </c>
      <c r="I119" s="3165" t="s">
        <v>3525</v>
      </c>
      <c r="J119" s="3165" t="s">
        <v>21</v>
      </c>
      <c r="K119" s="3165" t="s">
        <v>3522</v>
      </c>
      <c r="L119" s="3165">
        <v>1197.99</v>
      </c>
      <c r="M119" s="3165">
        <v>9722.0499999999993</v>
      </c>
      <c r="N119" s="3165">
        <v>81153</v>
      </c>
    </row>
    <row r="120" spans="1:14">
      <c r="A120" s="3182">
        <v>45393.333831018499</v>
      </c>
      <c r="B120" s="3165" t="s">
        <v>3520</v>
      </c>
      <c r="C120" s="3165" t="s">
        <v>3520</v>
      </c>
      <c r="D120" s="3165" t="s">
        <v>3523</v>
      </c>
      <c r="E120" s="3165" t="s">
        <v>3520</v>
      </c>
      <c r="F120" s="3165" t="s">
        <v>3520</v>
      </c>
      <c r="G120" s="3165">
        <v>11</v>
      </c>
      <c r="H120" s="3165" t="s">
        <v>3560</v>
      </c>
      <c r="I120" s="3165" t="s">
        <v>3525</v>
      </c>
      <c r="J120" s="3165" t="s">
        <v>21</v>
      </c>
      <c r="K120" s="3165" t="s">
        <v>3522</v>
      </c>
      <c r="L120" s="3165">
        <v>956.84</v>
      </c>
      <c r="M120" s="3165">
        <v>7899</v>
      </c>
      <c r="N120" s="3165">
        <v>82553</v>
      </c>
    </row>
    <row r="121" spans="1:14">
      <c r="A121" s="3182">
        <v>45393.333831018499</v>
      </c>
      <c r="B121" s="3165" t="s">
        <v>3520</v>
      </c>
      <c r="C121" s="3165" t="s">
        <v>3520</v>
      </c>
      <c r="D121" s="3165" t="s">
        <v>3523</v>
      </c>
      <c r="E121" s="3165" t="s">
        <v>3520</v>
      </c>
      <c r="F121" s="3165" t="s">
        <v>3520</v>
      </c>
      <c r="G121" s="3165">
        <v>15</v>
      </c>
      <c r="H121" s="3165" t="s">
        <v>3561</v>
      </c>
      <c r="I121" s="3165" t="s">
        <v>3525</v>
      </c>
      <c r="J121" s="3165" t="s">
        <v>21</v>
      </c>
      <c r="K121" s="3165" t="s">
        <v>3522</v>
      </c>
      <c r="L121" s="3165">
        <v>1194.1099999999999</v>
      </c>
      <c r="M121" s="3165">
        <v>9786.09</v>
      </c>
      <c r="N121" s="3165">
        <v>81953</v>
      </c>
    </row>
    <row r="122" spans="1:14">
      <c r="A122" s="3182">
        <v>45393.333831018499</v>
      </c>
      <c r="B122" s="3165" t="s">
        <v>3520</v>
      </c>
      <c r="C122" s="3165" t="s">
        <v>3520</v>
      </c>
      <c r="D122" s="3165" t="s">
        <v>3523</v>
      </c>
      <c r="E122" s="3165" t="s">
        <v>3520</v>
      </c>
      <c r="F122" s="3165" t="s">
        <v>3520</v>
      </c>
      <c r="G122" s="3165">
        <v>10</v>
      </c>
      <c r="H122" s="3165" t="s">
        <v>3562</v>
      </c>
      <c r="I122" s="3165" t="s">
        <v>3525</v>
      </c>
      <c r="J122" s="3165" t="s">
        <v>21</v>
      </c>
      <c r="K122" s="3165" t="s">
        <v>3522</v>
      </c>
      <c r="L122" s="3165">
        <v>1197.99</v>
      </c>
      <c r="M122" s="3165">
        <v>9757.99</v>
      </c>
      <c r="N122" s="3165">
        <v>81453</v>
      </c>
    </row>
    <row r="123" spans="1:14">
      <c r="A123" s="3182">
        <v>45393.333831018499</v>
      </c>
      <c r="B123" s="3165" t="s">
        <v>3520</v>
      </c>
      <c r="C123" s="3165" t="s">
        <v>3520</v>
      </c>
      <c r="D123" s="3165" t="s">
        <v>3523</v>
      </c>
      <c r="E123" s="3165" t="s">
        <v>3520</v>
      </c>
      <c r="F123" s="3165" t="s">
        <v>3520</v>
      </c>
      <c r="G123" s="3165">
        <v>4</v>
      </c>
      <c r="H123" s="3165" t="s">
        <v>3563</v>
      </c>
      <c r="I123" s="3165" t="s">
        <v>3525</v>
      </c>
      <c r="J123" s="3165" t="s">
        <v>21</v>
      </c>
      <c r="K123" s="3165" t="s">
        <v>3522</v>
      </c>
      <c r="L123" s="3165">
        <v>1080.1400000000001</v>
      </c>
      <c r="M123" s="3165">
        <v>8787.26</v>
      </c>
      <c r="N123" s="3165">
        <v>81353</v>
      </c>
    </row>
    <row r="124" spans="1:14">
      <c r="A124" s="3182">
        <v>45393.333831018499</v>
      </c>
      <c r="B124" s="3165" t="s">
        <v>3520</v>
      </c>
      <c r="C124" s="3165" t="s">
        <v>3520</v>
      </c>
      <c r="D124" s="3165" t="s">
        <v>3523</v>
      </c>
      <c r="E124" s="3165" t="s">
        <v>3520</v>
      </c>
      <c r="F124" s="3165" t="s">
        <v>3520</v>
      </c>
      <c r="G124" s="3165">
        <v>6</v>
      </c>
      <c r="H124" s="3165" t="s">
        <v>3564</v>
      </c>
      <c r="I124" s="3165" t="s">
        <v>3525</v>
      </c>
      <c r="J124" s="3165" t="s">
        <v>21</v>
      </c>
      <c r="K124" s="3165" t="s">
        <v>3522</v>
      </c>
      <c r="L124" s="3165">
        <v>1115.79</v>
      </c>
      <c r="M124" s="3165">
        <v>9043.81</v>
      </c>
      <c r="N124" s="3165">
        <v>81053</v>
      </c>
    </row>
    <row r="125" spans="1:14">
      <c r="A125" s="3182">
        <v>45393.333831018499</v>
      </c>
      <c r="B125" s="3165" t="s">
        <v>3520</v>
      </c>
      <c r="C125" s="3165" t="s">
        <v>3520</v>
      </c>
      <c r="D125" s="3165" t="s">
        <v>3523</v>
      </c>
      <c r="E125" s="3165" t="s">
        <v>3520</v>
      </c>
      <c r="F125" s="3165" t="s">
        <v>3520</v>
      </c>
      <c r="G125" s="3165">
        <v>10</v>
      </c>
      <c r="H125" s="3165" t="s">
        <v>3565</v>
      </c>
      <c r="I125" s="3165" t="s">
        <v>3525</v>
      </c>
      <c r="J125" s="3165" t="s">
        <v>21</v>
      </c>
      <c r="K125" s="3165" t="s">
        <v>3522</v>
      </c>
      <c r="L125" s="3165">
        <v>972.69</v>
      </c>
      <c r="M125" s="3165">
        <v>8000.67</v>
      </c>
      <c r="N125" s="3165">
        <v>82253</v>
      </c>
    </row>
    <row r="126" spans="1:14">
      <c r="A126" s="3182">
        <v>45393.333831018499</v>
      </c>
      <c r="B126" s="3165" t="s">
        <v>3520</v>
      </c>
      <c r="C126" s="3165" t="s">
        <v>3520</v>
      </c>
      <c r="D126" s="3165" t="s">
        <v>3523</v>
      </c>
      <c r="E126" s="3165" t="s">
        <v>3520</v>
      </c>
      <c r="F126" s="3165" t="s">
        <v>3520</v>
      </c>
      <c r="G126" s="3165">
        <v>9</v>
      </c>
      <c r="H126" s="3165" t="s">
        <v>3566</v>
      </c>
      <c r="I126" s="3165" t="s">
        <v>3525</v>
      </c>
      <c r="J126" s="3165" t="s">
        <v>21</v>
      </c>
      <c r="K126" s="3165" t="s">
        <v>3522</v>
      </c>
      <c r="L126" s="3165">
        <v>1197.99</v>
      </c>
      <c r="M126" s="3165">
        <v>9746.01</v>
      </c>
      <c r="N126" s="3165">
        <v>81353</v>
      </c>
    </row>
    <row r="127" spans="1:14">
      <c r="A127" s="3182">
        <v>45393.333831018499</v>
      </c>
      <c r="B127" s="3165" t="s">
        <v>3520</v>
      </c>
      <c r="C127" s="3165" t="s">
        <v>3520</v>
      </c>
      <c r="D127" s="3165" t="s">
        <v>3523</v>
      </c>
      <c r="E127" s="3165" t="s">
        <v>3520</v>
      </c>
      <c r="F127" s="3165" t="s">
        <v>3520</v>
      </c>
      <c r="G127" s="3165">
        <v>16</v>
      </c>
      <c r="H127" s="3165" t="s">
        <v>3567</v>
      </c>
      <c r="I127" s="3165" t="s">
        <v>3525</v>
      </c>
      <c r="J127" s="3165" t="s">
        <v>21</v>
      </c>
      <c r="K127" s="3165" t="s">
        <v>3522</v>
      </c>
      <c r="L127" s="3165">
        <v>895.88</v>
      </c>
      <c r="M127" s="3165">
        <v>7440.55</v>
      </c>
      <c r="N127" s="3165">
        <v>83053</v>
      </c>
    </row>
    <row r="128" spans="1:14">
      <c r="A128" s="3182">
        <v>45393.333831018499</v>
      </c>
      <c r="B128" s="3165" t="s">
        <v>3520</v>
      </c>
      <c r="C128" s="3165" t="s">
        <v>3520</v>
      </c>
      <c r="D128" s="3165" t="s">
        <v>3523</v>
      </c>
      <c r="E128" s="3165" t="s">
        <v>3520</v>
      </c>
      <c r="F128" s="3165" t="s">
        <v>3520</v>
      </c>
      <c r="G128" s="3165">
        <v>13</v>
      </c>
      <c r="H128" s="3165" t="s">
        <v>3568</v>
      </c>
      <c r="I128" s="3165" t="s">
        <v>3525</v>
      </c>
      <c r="J128" s="3165" t="s">
        <v>21</v>
      </c>
      <c r="K128" s="3165" t="s">
        <v>3522</v>
      </c>
      <c r="L128" s="3165">
        <v>1194.1099999999999</v>
      </c>
      <c r="M128" s="3165">
        <v>9762.2099999999991</v>
      </c>
      <c r="N128" s="3165">
        <v>81753</v>
      </c>
    </row>
    <row r="129" spans="1:14">
      <c r="A129" s="3182">
        <v>45393.333831018499</v>
      </c>
      <c r="B129" s="3165" t="s">
        <v>3520</v>
      </c>
      <c r="C129" s="3165" t="s">
        <v>3520</v>
      </c>
      <c r="D129" s="3165" t="s">
        <v>3523</v>
      </c>
      <c r="E129" s="3165" t="s">
        <v>3520</v>
      </c>
      <c r="F129" s="3165" t="s">
        <v>3520</v>
      </c>
      <c r="G129" s="3165">
        <v>16</v>
      </c>
      <c r="H129" s="3165" t="s">
        <v>3569</v>
      </c>
      <c r="I129" s="3165" t="s">
        <v>3525</v>
      </c>
      <c r="J129" s="3165" t="s">
        <v>21</v>
      </c>
      <c r="K129" s="3165" t="s">
        <v>3522</v>
      </c>
      <c r="L129" s="3165">
        <v>1030</v>
      </c>
      <c r="M129" s="3165">
        <v>8502.9599999999991</v>
      </c>
      <c r="N129" s="3165">
        <v>82553</v>
      </c>
    </row>
    <row r="130" spans="1:14">
      <c r="A130" s="3182">
        <v>45393.333831018499</v>
      </c>
      <c r="B130" s="3165" t="s">
        <v>3520</v>
      </c>
      <c r="C130" s="3165" t="s">
        <v>3520</v>
      </c>
      <c r="D130" s="3165" t="s">
        <v>3523</v>
      </c>
      <c r="E130" s="3165" t="s">
        <v>3520</v>
      </c>
      <c r="F130" s="3165" t="s">
        <v>3520</v>
      </c>
      <c r="G130" s="3165">
        <v>10</v>
      </c>
      <c r="H130" s="3165" t="s">
        <v>3570</v>
      </c>
      <c r="I130" s="3165" t="s">
        <v>3525</v>
      </c>
      <c r="J130" s="3165" t="s">
        <v>21</v>
      </c>
      <c r="K130" s="3165" t="s">
        <v>3522</v>
      </c>
      <c r="L130" s="3165">
        <v>1028.6300000000001</v>
      </c>
      <c r="M130" s="3165">
        <v>8429.93</v>
      </c>
      <c r="N130" s="3165">
        <v>81953</v>
      </c>
    </row>
    <row r="131" spans="1:14">
      <c r="A131" s="3182">
        <v>45393.333831018499</v>
      </c>
      <c r="B131" s="3165" t="s">
        <v>3520</v>
      </c>
      <c r="C131" s="3165" t="s">
        <v>3520</v>
      </c>
      <c r="D131" s="3165" t="s">
        <v>3523</v>
      </c>
      <c r="E131" s="3165" t="s">
        <v>3520</v>
      </c>
      <c r="F131" s="3165" t="s">
        <v>3520</v>
      </c>
      <c r="G131" s="3165">
        <v>12</v>
      </c>
      <c r="H131" s="3165" t="s">
        <v>3571</v>
      </c>
      <c r="I131" s="3165" t="s">
        <v>3525</v>
      </c>
      <c r="J131" s="3165" t="s">
        <v>21</v>
      </c>
      <c r="K131" s="3165" t="s">
        <v>3522</v>
      </c>
      <c r="L131" s="3165">
        <v>1194.76</v>
      </c>
      <c r="M131" s="3165">
        <v>9755.57</v>
      </c>
      <c r="N131" s="3165">
        <v>81653</v>
      </c>
    </row>
    <row r="132" spans="1:14">
      <c r="A132" s="3182">
        <v>45393.333831018499</v>
      </c>
      <c r="B132" s="3165" t="s">
        <v>3520</v>
      </c>
      <c r="C132" s="3165" t="s">
        <v>3520</v>
      </c>
      <c r="D132" s="3165" t="s">
        <v>3523</v>
      </c>
      <c r="E132" s="3165" t="s">
        <v>3520</v>
      </c>
      <c r="F132" s="3165" t="s">
        <v>3520</v>
      </c>
      <c r="G132" s="3165">
        <v>13</v>
      </c>
      <c r="H132" s="3165" t="s">
        <v>3572</v>
      </c>
      <c r="I132" s="3165" t="s">
        <v>3525</v>
      </c>
      <c r="J132" s="3165" t="s">
        <v>21</v>
      </c>
      <c r="K132" s="3165" t="s">
        <v>3522</v>
      </c>
      <c r="L132" s="3165">
        <v>895.88</v>
      </c>
      <c r="M132" s="3165">
        <v>7413.68</v>
      </c>
      <c r="N132" s="3165">
        <v>82753</v>
      </c>
    </row>
    <row r="133" spans="1:14">
      <c r="A133" s="3182">
        <v>45393.333831018499</v>
      </c>
      <c r="B133" s="3165" t="s">
        <v>3520</v>
      </c>
      <c r="C133" s="3165" t="s">
        <v>3520</v>
      </c>
      <c r="D133" s="3165" t="s">
        <v>3523</v>
      </c>
      <c r="E133" s="3165" t="s">
        <v>3520</v>
      </c>
      <c r="F133" s="3165" t="s">
        <v>3520</v>
      </c>
      <c r="G133" s="3165">
        <v>7</v>
      </c>
      <c r="H133" s="3165" t="s">
        <v>3573</v>
      </c>
      <c r="I133" s="3165" t="s">
        <v>3525</v>
      </c>
      <c r="J133" s="3165" t="s">
        <v>21</v>
      </c>
      <c r="K133" s="3165" t="s">
        <v>3522</v>
      </c>
      <c r="L133" s="3165">
        <v>1029.51</v>
      </c>
      <c r="M133" s="3165">
        <v>8406.26</v>
      </c>
      <c r="N133" s="3165">
        <v>81653</v>
      </c>
    </row>
    <row r="134" spans="1:14">
      <c r="A134" s="3182">
        <v>45393.333831018499</v>
      </c>
      <c r="B134" s="3165" t="s">
        <v>3520</v>
      </c>
      <c r="C134" s="3165" t="s">
        <v>3520</v>
      </c>
      <c r="D134" s="3165" t="s">
        <v>3523</v>
      </c>
      <c r="E134" s="3165" t="s">
        <v>3520</v>
      </c>
      <c r="F134" s="3165" t="s">
        <v>3520</v>
      </c>
      <c r="G134" s="3165">
        <v>6</v>
      </c>
      <c r="H134" s="3165" t="s">
        <v>3574</v>
      </c>
      <c r="I134" s="3165" t="s">
        <v>3525</v>
      </c>
      <c r="J134" s="3165" t="s">
        <v>21</v>
      </c>
      <c r="K134" s="3165" t="s">
        <v>3522</v>
      </c>
      <c r="L134" s="3165">
        <v>794.59</v>
      </c>
      <c r="M134" s="3165">
        <v>6503.96</v>
      </c>
      <c r="N134" s="3165">
        <v>81853</v>
      </c>
    </row>
    <row r="135" spans="1:14">
      <c r="A135" s="3182">
        <v>45393.333831018499</v>
      </c>
      <c r="B135" s="3165" t="s">
        <v>3520</v>
      </c>
      <c r="C135" s="3165" t="s">
        <v>3520</v>
      </c>
      <c r="D135" s="3165" t="s">
        <v>3523</v>
      </c>
      <c r="E135" s="3165" t="s">
        <v>3520</v>
      </c>
      <c r="F135" s="3165" t="s">
        <v>3520</v>
      </c>
      <c r="G135" s="3165">
        <v>15</v>
      </c>
      <c r="H135" s="3165" t="s">
        <v>3575</v>
      </c>
      <c r="I135" s="3165" t="s">
        <v>3525</v>
      </c>
      <c r="J135" s="3165" t="s">
        <v>21</v>
      </c>
      <c r="K135" s="3165" t="s">
        <v>3522</v>
      </c>
      <c r="L135" s="3165">
        <v>945.92</v>
      </c>
      <c r="M135" s="3165">
        <v>7827.77</v>
      </c>
      <c r="N135" s="3165">
        <v>82753</v>
      </c>
    </row>
    <row r="136" spans="1:14">
      <c r="A136" s="3182">
        <v>45393.333831018499</v>
      </c>
      <c r="B136" s="3165" t="s">
        <v>3520</v>
      </c>
      <c r="C136" s="3165" t="s">
        <v>3520</v>
      </c>
      <c r="D136" s="3165" t="s">
        <v>3523</v>
      </c>
      <c r="E136" s="3165" t="s">
        <v>3520</v>
      </c>
      <c r="F136" s="3165" t="s">
        <v>3520</v>
      </c>
      <c r="G136" s="3165">
        <v>16</v>
      </c>
      <c r="H136" s="3165" t="s">
        <v>3576</v>
      </c>
      <c r="I136" s="3165" t="s">
        <v>3525</v>
      </c>
      <c r="J136" s="3165" t="s">
        <v>21</v>
      </c>
      <c r="K136" s="3165" t="s">
        <v>3522</v>
      </c>
      <c r="L136" s="3165">
        <v>945.92</v>
      </c>
      <c r="M136" s="3165">
        <v>7837.23</v>
      </c>
      <c r="N136" s="3165">
        <v>82853</v>
      </c>
    </row>
    <row r="137" spans="1:14">
      <c r="A137" s="3182">
        <v>45393.333831018499</v>
      </c>
      <c r="B137" s="3165" t="s">
        <v>3520</v>
      </c>
      <c r="C137" s="3165" t="s">
        <v>3520</v>
      </c>
      <c r="D137" s="3165" t="s">
        <v>3523</v>
      </c>
      <c r="E137" s="3165" t="s">
        <v>3520</v>
      </c>
      <c r="F137" s="3165" t="s">
        <v>3520</v>
      </c>
      <c r="G137" s="3165">
        <v>5</v>
      </c>
      <c r="H137" s="3165" t="s">
        <v>3577</v>
      </c>
      <c r="I137" s="3165" t="s">
        <v>3525</v>
      </c>
      <c r="J137" s="3165" t="s">
        <v>21</v>
      </c>
      <c r="K137" s="3165" t="s">
        <v>3522</v>
      </c>
      <c r="L137" s="3165">
        <v>920.59</v>
      </c>
      <c r="M137" s="3165">
        <v>7452.45</v>
      </c>
      <c r="N137" s="3165">
        <v>80953</v>
      </c>
    </row>
    <row r="138" spans="1:14">
      <c r="A138" s="3182">
        <v>45393.333831018499</v>
      </c>
      <c r="B138" s="3165" t="s">
        <v>3520</v>
      </c>
      <c r="C138" s="3165" t="s">
        <v>3520</v>
      </c>
      <c r="D138" s="3165" t="s">
        <v>3523</v>
      </c>
      <c r="E138" s="3165" t="s">
        <v>3520</v>
      </c>
      <c r="F138" s="3165" t="s">
        <v>3520</v>
      </c>
      <c r="G138" s="3165">
        <v>4</v>
      </c>
      <c r="H138" s="3165" t="s">
        <v>3578</v>
      </c>
      <c r="I138" s="3165" t="s">
        <v>3525</v>
      </c>
      <c r="J138" s="3165" t="s">
        <v>21</v>
      </c>
      <c r="K138" s="3165" t="s">
        <v>3522</v>
      </c>
      <c r="L138" s="3165">
        <v>721.51</v>
      </c>
      <c r="M138" s="3165">
        <v>5891.35</v>
      </c>
      <c r="N138" s="3165">
        <v>81653</v>
      </c>
    </row>
    <row r="139" spans="1:14">
      <c r="A139" s="3182">
        <v>45393.333831018499</v>
      </c>
      <c r="B139" s="3165" t="s">
        <v>3520</v>
      </c>
      <c r="C139" s="3165" t="s">
        <v>3520</v>
      </c>
      <c r="D139" s="3165" t="s">
        <v>3523</v>
      </c>
      <c r="E139" s="3165" t="s">
        <v>3520</v>
      </c>
      <c r="F139" s="3165" t="s">
        <v>3520</v>
      </c>
      <c r="G139" s="3165">
        <v>17</v>
      </c>
      <c r="H139" s="3165" t="s">
        <v>3579</v>
      </c>
      <c r="I139" s="3165" t="s">
        <v>3525</v>
      </c>
      <c r="J139" s="3165" t="s">
        <v>21</v>
      </c>
      <c r="K139" s="3165" t="s">
        <v>3522</v>
      </c>
      <c r="L139" s="3165">
        <v>895.88</v>
      </c>
      <c r="M139" s="3165">
        <v>7449.51</v>
      </c>
      <c r="N139" s="3165">
        <v>83153</v>
      </c>
    </row>
    <row r="140" spans="1:14">
      <c r="A140" s="3182">
        <v>45393.333831018499</v>
      </c>
      <c r="B140" s="3165" t="s">
        <v>3520</v>
      </c>
      <c r="C140" s="3165" t="s">
        <v>3520</v>
      </c>
      <c r="D140" s="3165" t="s">
        <v>3523</v>
      </c>
      <c r="E140" s="3165" t="s">
        <v>3520</v>
      </c>
      <c r="F140" s="3165" t="s">
        <v>3520</v>
      </c>
      <c r="G140" s="3165">
        <v>4</v>
      </c>
      <c r="H140" s="3165" t="s">
        <v>3580</v>
      </c>
      <c r="I140" s="3165" t="s">
        <v>3525</v>
      </c>
      <c r="J140" s="3165" t="s">
        <v>21</v>
      </c>
      <c r="K140" s="3165" t="s">
        <v>3522</v>
      </c>
      <c r="L140" s="3165">
        <v>829.74</v>
      </c>
      <c r="M140" s="3165">
        <v>6791.67</v>
      </c>
      <c r="N140" s="3165">
        <v>81853</v>
      </c>
    </row>
    <row r="141" spans="1:14">
      <c r="A141" s="3165"/>
      <c r="B141" s="3165"/>
      <c r="C141" s="3165"/>
      <c r="D141" s="3165"/>
      <c r="E141" s="3165"/>
      <c r="F141" s="3165"/>
      <c r="G141" s="3165"/>
      <c r="H141" s="3165"/>
      <c r="I141" s="3165"/>
      <c r="J141" s="3165"/>
      <c r="K141" s="3165" t="s">
        <v>3462</v>
      </c>
      <c r="L141" s="3183">
        <f>SUM(L84:L140)</f>
        <v>55387.139999999978</v>
      </c>
      <c r="M141" s="3165">
        <f>SUM(M84:M140)</f>
        <v>454267.34</v>
      </c>
      <c r="N141" s="3183">
        <f>ROUND(M141*10000/L141,0)</f>
        <v>82017</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D6DC-8ABA-4BF3-A29C-1A432857E2BE}">
  <sheetPr>
    <tabColor rgb="FF7030A0"/>
  </sheetPr>
  <dimension ref="B46:O83"/>
  <sheetViews>
    <sheetView topLeftCell="A64" workbookViewId="0">
      <selection activeCell="X51" sqref="X51"/>
    </sheetView>
  </sheetViews>
  <sheetFormatPr defaultColWidth="9" defaultRowHeight="14.4"/>
  <cols>
    <col min="1" max="1" width="9" style="3166"/>
    <col min="2" max="2" width="12" style="3166" customWidth="1"/>
    <col min="3" max="3" width="11.44140625" style="3166" customWidth="1"/>
    <col min="4" max="16384" width="9" style="3166"/>
  </cols>
  <sheetData>
    <row r="46" spans="2:15">
      <c r="B46" s="3165" t="s">
        <v>3506</v>
      </c>
      <c r="C46" s="3165" t="s">
        <v>3507</v>
      </c>
      <c r="D46" s="3165" t="s">
        <v>3508</v>
      </c>
      <c r="E46" s="3165" t="s">
        <v>3509</v>
      </c>
      <c r="F46" s="3165" t="s">
        <v>3510</v>
      </c>
      <c r="G46" s="3165" t="s">
        <v>3461</v>
      </c>
      <c r="H46" s="3165" t="s">
        <v>3511</v>
      </c>
      <c r="I46" s="3165" t="s">
        <v>3512</v>
      </c>
      <c r="J46" s="3165" t="s">
        <v>3513</v>
      </c>
      <c r="K46" s="3165" t="s">
        <v>3514</v>
      </c>
      <c r="L46" s="3165" t="s">
        <v>3515</v>
      </c>
      <c r="M46" s="3165" t="s">
        <v>3516</v>
      </c>
      <c r="N46" s="3165" t="s">
        <v>3517</v>
      </c>
      <c r="O46" s="3165" t="s">
        <v>3518</v>
      </c>
    </row>
    <row r="47" spans="2:15">
      <c r="B47" s="3182">
        <v>45657.333831018499</v>
      </c>
      <c r="C47" s="3182">
        <v>44896.333831018499</v>
      </c>
      <c r="D47" s="3165">
        <v>761</v>
      </c>
      <c r="E47" s="3165" t="s">
        <v>3581</v>
      </c>
      <c r="F47" s="3165" t="s">
        <v>3520</v>
      </c>
      <c r="G47" s="3165" t="s">
        <v>3520</v>
      </c>
      <c r="H47" s="3165">
        <v>6</v>
      </c>
      <c r="I47" s="3165">
        <v>601</v>
      </c>
      <c r="J47" s="3165" t="s">
        <v>3582</v>
      </c>
      <c r="K47" s="3165" t="s">
        <v>21</v>
      </c>
      <c r="L47" s="3165" t="s">
        <v>3522</v>
      </c>
      <c r="M47" s="3165">
        <v>874.57</v>
      </c>
      <c r="N47" s="3165">
        <v>7258.93</v>
      </c>
      <c r="O47" s="3165">
        <v>83000</v>
      </c>
    </row>
    <row r="48" spans="2:15">
      <c r="B48" s="3182">
        <v>45657.333831018499</v>
      </c>
      <c r="C48" s="3182">
        <v>44896.333831018499</v>
      </c>
      <c r="D48" s="3165">
        <v>761</v>
      </c>
      <c r="E48" s="3165" t="s">
        <v>3581</v>
      </c>
      <c r="F48" s="3165" t="s">
        <v>3520</v>
      </c>
      <c r="G48" s="3165" t="s">
        <v>3520</v>
      </c>
      <c r="H48" s="3165">
        <v>10</v>
      </c>
      <c r="I48" s="3165">
        <v>1001</v>
      </c>
      <c r="J48" s="3165" t="s">
        <v>3582</v>
      </c>
      <c r="K48" s="3165" t="s">
        <v>21</v>
      </c>
      <c r="L48" s="3165" t="s">
        <v>3522</v>
      </c>
      <c r="M48" s="3165">
        <v>874.57</v>
      </c>
      <c r="N48" s="3165">
        <v>7258.93</v>
      </c>
      <c r="O48" s="3165">
        <v>83000</v>
      </c>
    </row>
    <row r="49" spans="2:15">
      <c r="B49" s="3182">
        <v>45657.333831018499</v>
      </c>
      <c r="C49" s="3182">
        <v>44896.333831018499</v>
      </c>
      <c r="D49" s="3165">
        <v>761</v>
      </c>
      <c r="E49" s="3165" t="s">
        <v>3581</v>
      </c>
      <c r="F49" s="3165" t="s">
        <v>3520</v>
      </c>
      <c r="G49" s="3165" t="s">
        <v>3520</v>
      </c>
      <c r="H49" s="3165">
        <v>9</v>
      </c>
      <c r="I49" s="3165">
        <v>903</v>
      </c>
      <c r="J49" s="3165" t="s">
        <v>3582</v>
      </c>
      <c r="K49" s="3165" t="s">
        <v>21</v>
      </c>
      <c r="L49" s="3165" t="s">
        <v>3522</v>
      </c>
      <c r="M49" s="3165">
        <v>771.44</v>
      </c>
      <c r="N49" s="3165">
        <v>6402.95</v>
      </c>
      <c r="O49" s="3165">
        <v>83000</v>
      </c>
    </row>
    <row r="50" spans="2:15">
      <c r="B50" s="3182">
        <v>45657.333831018499</v>
      </c>
      <c r="C50" s="3182">
        <v>44896.333831018499</v>
      </c>
      <c r="D50" s="3165">
        <v>761</v>
      </c>
      <c r="E50" s="3165" t="s">
        <v>3581</v>
      </c>
      <c r="F50" s="3165" t="s">
        <v>3520</v>
      </c>
      <c r="G50" s="3165" t="s">
        <v>3520</v>
      </c>
      <c r="H50" s="3165">
        <v>6</v>
      </c>
      <c r="I50" s="3165">
        <v>603</v>
      </c>
      <c r="J50" s="3165" t="s">
        <v>3582</v>
      </c>
      <c r="K50" s="3165" t="s">
        <v>21</v>
      </c>
      <c r="L50" s="3165" t="s">
        <v>3522</v>
      </c>
      <c r="M50" s="3165">
        <v>771.44</v>
      </c>
      <c r="N50" s="3165">
        <v>6402.95</v>
      </c>
      <c r="O50" s="3165">
        <v>83000</v>
      </c>
    </row>
    <row r="51" spans="2:15">
      <c r="B51" s="3182">
        <v>45657.333831018499</v>
      </c>
      <c r="C51" s="3182">
        <v>44896.333831018499</v>
      </c>
      <c r="D51" s="3165">
        <v>761</v>
      </c>
      <c r="E51" s="3165" t="s">
        <v>3581</v>
      </c>
      <c r="F51" s="3165" t="s">
        <v>3520</v>
      </c>
      <c r="G51" s="3165" t="s">
        <v>3520</v>
      </c>
      <c r="H51" s="3165">
        <v>10</v>
      </c>
      <c r="I51" s="3165">
        <v>1002</v>
      </c>
      <c r="J51" s="3165" t="s">
        <v>3582</v>
      </c>
      <c r="K51" s="3165" t="s">
        <v>21</v>
      </c>
      <c r="L51" s="3165" t="s">
        <v>3522</v>
      </c>
      <c r="M51" s="3165">
        <v>847.61</v>
      </c>
      <c r="N51" s="3165">
        <v>7035.16</v>
      </c>
      <c r="O51" s="3165">
        <v>83000</v>
      </c>
    </row>
    <row r="52" spans="2:15">
      <c r="B52" s="3182">
        <v>45657.333831018499</v>
      </c>
      <c r="C52" s="3182">
        <v>44896.333831018499</v>
      </c>
      <c r="D52" s="3165">
        <v>761</v>
      </c>
      <c r="E52" s="3165" t="s">
        <v>3581</v>
      </c>
      <c r="F52" s="3165" t="s">
        <v>3520</v>
      </c>
      <c r="G52" s="3165" t="s">
        <v>3520</v>
      </c>
      <c r="H52" s="3165">
        <v>8</v>
      </c>
      <c r="I52" s="3165">
        <v>801</v>
      </c>
      <c r="J52" s="3165" t="s">
        <v>3582</v>
      </c>
      <c r="K52" s="3165" t="s">
        <v>21</v>
      </c>
      <c r="L52" s="3165" t="s">
        <v>3522</v>
      </c>
      <c r="M52" s="3165">
        <v>874.57</v>
      </c>
      <c r="N52" s="3165">
        <v>7258.93</v>
      </c>
      <c r="O52" s="3165">
        <v>83000</v>
      </c>
    </row>
    <row r="53" spans="2:15">
      <c r="B53" s="3182">
        <v>45657.333831018499</v>
      </c>
      <c r="C53" s="3182">
        <v>44896.333831018499</v>
      </c>
      <c r="D53" s="3165">
        <v>761</v>
      </c>
      <c r="E53" s="3165" t="s">
        <v>3581</v>
      </c>
      <c r="F53" s="3165" t="s">
        <v>3520</v>
      </c>
      <c r="G53" s="3165" t="s">
        <v>3520</v>
      </c>
      <c r="H53" s="3165">
        <v>4</v>
      </c>
      <c r="I53" s="3165">
        <v>403</v>
      </c>
      <c r="J53" s="3165" t="s">
        <v>3582</v>
      </c>
      <c r="K53" s="3165" t="s">
        <v>21</v>
      </c>
      <c r="L53" s="3165" t="s">
        <v>3522</v>
      </c>
      <c r="M53" s="3165">
        <v>771.44</v>
      </c>
      <c r="N53" s="3165">
        <v>6402.95</v>
      </c>
      <c r="O53" s="3165">
        <v>83000</v>
      </c>
    </row>
    <row r="54" spans="2:15">
      <c r="B54" s="3182">
        <v>45657.333831018499</v>
      </c>
      <c r="C54" s="3182">
        <v>44896.333831018499</v>
      </c>
      <c r="D54" s="3165">
        <v>761</v>
      </c>
      <c r="E54" s="3165" t="s">
        <v>3581</v>
      </c>
      <c r="F54" s="3165" t="s">
        <v>3520</v>
      </c>
      <c r="G54" s="3165" t="s">
        <v>3520</v>
      </c>
      <c r="H54" s="3165">
        <v>5</v>
      </c>
      <c r="I54" s="3165">
        <v>501</v>
      </c>
      <c r="J54" s="3165" t="s">
        <v>3582</v>
      </c>
      <c r="K54" s="3165" t="s">
        <v>21</v>
      </c>
      <c r="L54" s="3165" t="s">
        <v>3522</v>
      </c>
      <c r="M54" s="3165">
        <v>874.57</v>
      </c>
      <c r="N54" s="3165">
        <v>7258.93</v>
      </c>
      <c r="O54" s="3165">
        <v>83000</v>
      </c>
    </row>
    <row r="55" spans="2:15">
      <c r="B55" s="3182">
        <v>45657.333831018499</v>
      </c>
      <c r="C55" s="3182">
        <v>44896.333831018499</v>
      </c>
      <c r="D55" s="3165">
        <v>761</v>
      </c>
      <c r="E55" s="3165" t="s">
        <v>3581</v>
      </c>
      <c r="F55" s="3165" t="s">
        <v>3520</v>
      </c>
      <c r="G55" s="3165" t="s">
        <v>3520</v>
      </c>
      <c r="H55" s="3165">
        <v>9</v>
      </c>
      <c r="I55" s="3165">
        <v>904</v>
      </c>
      <c r="J55" s="3165" t="s">
        <v>3582</v>
      </c>
      <c r="K55" s="3165" t="s">
        <v>21</v>
      </c>
      <c r="L55" s="3165" t="s">
        <v>3522</v>
      </c>
      <c r="M55" s="3165">
        <v>893.4</v>
      </c>
      <c r="N55" s="3165">
        <v>7415.22</v>
      </c>
      <c r="O55" s="3165">
        <v>83000</v>
      </c>
    </row>
    <row r="56" spans="2:15">
      <c r="B56" s="3182">
        <v>45657.333831018499</v>
      </c>
      <c r="C56" s="3182">
        <v>44896.333831018499</v>
      </c>
      <c r="D56" s="3165">
        <v>761</v>
      </c>
      <c r="E56" s="3165" t="s">
        <v>3581</v>
      </c>
      <c r="F56" s="3165" t="s">
        <v>3520</v>
      </c>
      <c r="G56" s="3165" t="s">
        <v>3520</v>
      </c>
      <c r="H56" s="3165">
        <v>6</v>
      </c>
      <c r="I56" s="3165">
        <v>604</v>
      </c>
      <c r="J56" s="3165" t="s">
        <v>3582</v>
      </c>
      <c r="K56" s="3165" t="s">
        <v>21</v>
      </c>
      <c r="L56" s="3165" t="s">
        <v>3522</v>
      </c>
      <c r="M56" s="3165">
        <v>893.4</v>
      </c>
      <c r="N56" s="3165">
        <v>7415.22</v>
      </c>
      <c r="O56" s="3165">
        <v>83000</v>
      </c>
    </row>
    <row r="57" spans="2:15">
      <c r="B57" s="3182">
        <v>45657.333831018499</v>
      </c>
      <c r="C57" s="3182">
        <v>44896.333831018499</v>
      </c>
      <c r="D57" s="3165">
        <v>761</v>
      </c>
      <c r="E57" s="3165" t="s">
        <v>3581</v>
      </c>
      <c r="F57" s="3165" t="s">
        <v>3520</v>
      </c>
      <c r="G57" s="3165" t="s">
        <v>3520</v>
      </c>
      <c r="H57" s="3165">
        <v>3</v>
      </c>
      <c r="I57" s="3165">
        <v>301</v>
      </c>
      <c r="J57" s="3165" t="s">
        <v>3582</v>
      </c>
      <c r="K57" s="3165" t="s">
        <v>21</v>
      </c>
      <c r="L57" s="3165" t="s">
        <v>3522</v>
      </c>
      <c r="M57" s="3165">
        <v>874.57</v>
      </c>
      <c r="N57" s="3165">
        <v>7258.93</v>
      </c>
      <c r="O57" s="3165">
        <v>83000</v>
      </c>
    </row>
    <row r="58" spans="2:15">
      <c r="B58" s="3182">
        <v>45657.333831018499</v>
      </c>
      <c r="C58" s="3182">
        <v>44896.333831018499</v>
      </c>
      <c r="D58" s="3165">
        <v>761</v>
      </c>
      <c r="E58" s="3165" t="s">
        <v>3581</v>
      </c>
      <c r="F58" s="3165" t="s">
        <v>3520</v>
      </c>
      <c r="G58" s="3165" t="s">
        <v>3520</v>
      </c>
      <c r="H58" s="3165">
        <v>5</v>
      </c>
      <c r="I58" s="3165">
        <v>504</v>
      </c>
      <c r="J58" s="3165" t="s">
        <v>3582</v>
      </c>
      <c r="K58" s="3165" t="s">
        <v>21</v>
      </c>
      <c r="L58" s="3165" t="s">
        <v>3522</v>
      </c>
      <c r="M58" s="3165">
        <v>893.4</v>
      </c>
      <c r="N58" s="3165">
        <v>7415.22</v>
      </c>
      <c r="O58" s="3165">
        <v>83000</v>
      </c>
    </row>
    <row r="59" spans="2:15">
      <c r="B59" s="3182">
        <v>45657.333831018499</v>
      </c>
      <c r="C59" s="3182">
        <v>44896.333831018499</v>
      </c>
      <c r="D59" s="3165">
        <v>761</v>
      </c>
      <c r="E59" s="3165" t="s">
        <v>3581</v>
      </c>
      <c r="F59" s="3165" t="s">
        <v>3520</v>
      </c>
      <c r="G59" s="3165" t="s">
        <v>3520</v>
      </c>
      <c r="H59" s="3165">
        <v>11</v>
      </c>
      <c r="I59" s="3165">
        <v>1102</v>
      </c>
      <c r="J59" s="3165" t="s">
        <v>3582</v>
      </c>
      <c r="K59" s="3165" t="s">
        <v>21</v>
      </c>
      <c r="L59" s="3165" t="s">
        <v>3522</v>
      </c>
      <c r="M59" s="3165">
        <v>1328.83</v>
      </c>
      <c r="N59" s="3165">
        <v>11029.29</v>
      </c>
      <c r="O59" s="3165">
        <v>83000</v>
      </c>
    </row>
    <row r="60" spans="2:15">
      <c r="B60" s="3182">
        <v>45657.333831018499</v>
      </c>
      <c r="C60" s="3182">
        <v>44896.333831018499</v>
      </c>
      <c r="D60" s="3165">
        <v>761</v>
      </c>
      <c r="E60" s="3165" t="s">
        <v>3581</v>
      </c>
      <c r="F60" s="3165" t="s">
        <v>3520</v>
      </c>
      <c r="G60" s="3165" t="s">
        <v>3520</v>
      </c>
      <c r="H60" s="3165">
        <v>5</v>
      </c>
      <c r="I60" s="3165">
        <v>503</v>
      </c>
      <c r="J60" s="3165" t="s">
        <v>3582</v>
      </c>
      <c r="K60" s="3165" t="s">
        <v>21</v>
      </c>
      <c r="L60" s="3165" t="s">
        <v>3522</v>
      </c>
      <c r="M60" s="3165">
        <v>771.44</v>
      </c>
      <c r="N60" s="3165">
        <v>6402.95</v>
      </c>
      <c r="O60" s="3165">
        <v>83000</v>
      </c>
    </row>
    <row r="61" spans="2:15">
      <c r="B61" s="3182">
        <v>45657.333831018499</v>
      </c>
      <c r="C61" s="3182">
        <v>44896.333831018499</v>
      </c>
      <c r="D61" s="3165">
        <v>761</v>
      </c>
      <c r="E61" s="3165" t="s">
        <v>3581</v>
      </c>
      <c r="F61" s="3165" t="s">
        <v>3520</v>
      </c>
      <c r="G61" s="3165" t="s">
        <v>3520</v>
      </c>
      <c r="H61" s="3165">
        <v>2</v>
      </c>
      <c r="I61" s="3165">
        <v>201</v>
      </c>
      <c r="J61" s="3165" t="s">
        <v>3582</v>
      </c>
      <c r="K61" s="3165" t="s">
        <v>21</v>
      </c>
      <c r="L61" s="3165" t="s">
        <v>3522</v>
      </c>
      <c r="M61" s="3165">
        <v>2138.4899999999998</v>
      </c>
      <c r="N61" s="3165">
        <v>17749.47</v>
      </c>
      <c r="O61" s="3165">
        <v>83000</v>
      </c>
    </row>
    <row r="62" spans="2:15">
      <c r="B62" s="3182">
        <v>45657.333831018499</v>
      </c>
      <c r="C62" s="3182">
        <v>44896.333831018499</v>
      </c>
      <c r="D62" s="3165">
        <v>761</v>
      </c>
      <c r="E62" s="3165" t="s">
        <v>3581</v>
      </c>
      <c r="F62" s="3165" t="s">
        <v>3520</v>
      </c>
      <c r="G62" s="3165" t="s">
        <v>3520</v>
      </c>
      <c r="H62" s="3165">
        <v>10</v>
      </c>
      <c r="I62" s="3165">
        <v>1003</v>
      </c>
      <c r="J62" s="3165" t="s">
        <v>3582</v>
      </c>
      <c r="K62" s="3165" t="s">
        <v>21</v>
      </c>
      <c r="L62" s="3165" t="s">
        <v>3522</v>
      </c>
      <c r="M62" s="3165">
        <v>771.44</v>
      </c>
      <c r="N62" s="3165">
        <v>6402.95</v>
      </c>
      <c r="O62" s="3165">
        <v>83000</v>
      </c>
    </row>
    <row r="63" spans="2:15">
      <c r="B63" s="3182">
        <v>45657.333831018499</v>
      </c>
      <c r="C63" s="3182">
        <v>44896.333831018499</v>
      </c>
      <c r="D63" s="3165">
        <v>761</v>
      </c>
      <c r="E63" s="3165" t="s">
        <v>3581</v>
      </c>
      <c r="F63" s="3165" t="s">
        <v>3520</v>
      </c>
      <c r="G63" s="3165" t="s">
        <v>3520</v>
      </c>
      <c r="H63" s="3165">
        <v>3</v>
      </c>
      <c r="I63" s="3165">
        <v>304</v>
      </c>
      <c r="J63" s="3165" t="s">
        <v>3582</v>
      </c>
      <c r="K63" s="3165" t="s">
        <v>21</v>
      </c>
      <c r="L63" s="3165" t="s">
        <v>3522</v>
      </c>
      <c r="M63" s="3165">
        <v>893.4</v>
      </c>
      <c r="N63" s="3165">
        <v>7415.22</v>
      </c>
      <c r="O63" s="3165">
        <v>83000</v>
      </c>
    </row>
    <row r="64" spans="2:15">
      <c r="B64" s="3182">
        <v>45657.333831018499</v>
      </c>
      <c r="C64" s="3182">
        <v>44896.333831018499</v>
      </c>
      <c r="D64" s="3165">
        <v>761</v>
      </c>
      <c r="E64" s="3165" t="s">
        <v>3581</v>
      </c>
      <c r="F64" s="3165" t="s">
        <v>3520</v>
      </c>
      <c r="G64" s="3165" t="s">
        <v>3520</v>
      </c>
      <c r="H64" s="3165">
        <v>5</v>
      </c>
      <c r="I64" s="3165">
        <v>502</v>
      </c>
      <c r="J64" s="3165" t="s">
        <v>3582</v>
      </c>
      <c r="K64" s="3165" t="s">
        <v>21</v>
      </c>
      <c r="L64" s="3165" t="s">
        <v>3522</v>
      </c>
      <c r="M64" s="3165">
        <v>847.61</v>
      </c>
      <c r="N64" s="3165">
        <v>7035.16</v>
      </c>
      <c r="O64" s="3165">
        <v>83000</v>
      </c>
    </row>
    <row r="65" spans="2:15">
      <c r="B65" s="3182">
        <v>45657.333831018499</v>
      </c>
      <c r="C65" s="3182">
        <v>44896.333831018499</v>
      </c>
      <c r="D65" s="3165">
        <v>761</v>
      </c>
      <c r="E65" s="3165" t="s">
        <v>3581</v>
      </c>
      <c r="F65" s="3165" t="s">
        <v>3520</v>
      </c>
      <c r="G65" s="3165" t="s">
        <v>3520</v>
      </c>
      <c r="H65" s="3165">
        <v>8</v>
      </c>
      <c r="I65" s="3165">
        <v>803</v>
      </c>
      <c r="J65" s="3165" t="s">
        <v>3582</v>
      </c>
      <c r="K65" s="3165" t="s">
        <v>21</v>
      </c>
      <c r="L65" s="3165" t="s">
        <v>3522</v>
      </c>
      <c r="M65" s="3165">
        <v>771.44</v>
      </c>
      <c r="N65" s="3165">
        <v>6402.95</v>
      </c>
      <c r="O65" s="3165">
        <v>83000</v>
      </c>
    </row>
    <row r="66" spans="2:15">
      <c r="B66" s="3182">
        <v>45657.333831018499</v>
      </c>
      <c r="C66" s="3182">
        <v>44896.333831018499</v>
      </c>
      <c r="D66" s="3165">
        <v>761</v>
      </c>
      <c r="E66" s="3165" t="s">
        <v>3581</v>
      </c>
      <c r="F66" s="3165" t="s">
        <v>3520</v>
      </c>
      <c r="G66" s="3165" t="s">
        <v>3520</v>
      </c>
      <c r="H66" s="3165">
        <v>7</v>
      </c>
      <c r="I66" s="3165">
        <v>702</v>
      </c>
      <c r="J66" s="3165" t="s">
        <v>3582</v>
      </c>
      <c r="K66" s="3165" t="s">
        <v>21</v>
      </c>
      <c r="L66" s="3165" t="s">
        <v>3522</v>
      </c>
      <c r="M66" s="3165">
        <v>847.61</v>
      </c>
      <c r="N66" s="3165">
        <v>7035.16</v>
      </c>
      <c r="O66" s="3165">
        <v>83000</v>
      </c>
    </row>
    <row r="67" spans="2:15">
      <c r="B67" s="3182">
        <v>45657.333831018499</v>
      </c>
      <c r="C67" s="3182">
        <v>44896.333831018499</v>
      </c>
      <c r="D67" s="3165">
        <v>761</v>
      </c>
      <c r="E67" s="3165" t="s">
        <v>3581</v>
      </c>
      <c r="F67" s="3165" t="s">
        <v>3520</v>
      </c>
      <c r="G67" s="3165" t="s">
        <v>3520</v>
      </c>
      <c r="H67" s="3165">
        <v>7</v>
      </c>
      <c r="I67" s="3165">
        <v>701</v>
      </c>
      <c r="J67" s="3165" t="s">
        <v>3582</v>
      </c>
      <c r="K67" s="3165" t="s">
        <v>21</v>
      </c>
      <c r="L67" s="3165" t="s">
        <v>3522</v>
      </c>
      <c r="M67" s="3165">
        <v>874.57</v>
      </c>
      <c r="N67" s="3165">
        <v>7258.93</v>
      </c>
      <c r="O67" s="3165">
        <v>83000</v>
      </c>
    </row>
    <row r="68" spans="2:15">
      <c r="B68" s="3182">
        <v>45657.333831018499</v>
      </c>
      <c r="C68" s="3182">
        <v>44896.333831018499</v>
      </c>
      <c r="D68" s="3165">
        <v>761</v>
      </c>
      <c r="E68" s="3165" t="s">
        <v>3581</v>
      </c>
      <c r="F68" s="3165" t="s">
        <v>3520</v>
      </c>
      <c r="G68" s="3165" t="s">
        <v>3520</v>
      </c>
      <c r="H68" s="3165">
        <v>3</v>
      </c>
      <c r="I68" s="3165">
        <v>302</v>
      </c>
      <c r="J68" s="3165" t="s">
        <v>3582</v>
      </c>
      <c r="K68" s="3165" t="s">
        <v>21</v>
      </c>
      <c r="L68" s="3165" t="s">
        <v>3522</v>
      </c>
      <c r="M68" s="3165">
        <v>847.61</v>
      </c>
      <c r="N68" s="3165">
        <v>7035.16</v>
      </c>
      <c r="O68" s="3165">
        <v>83000</v>
      </c>
    </row>
    <row r="69" spans="2:15">
      <c r="B69" s="3182">
        <v>45657.333831018499</v>
      </c>
      <c r="C69" s="3182">
        <v>44896.333831018499</v>
      </c>
      <c r="D69" s="3165">
        <v>761</v>
      </c>
      <c r="E69" s="3165" t="s">
        <v>3581</v>
      </c>
      <c r="F69" s="3165" t="s">
        <v>3520</v>
      </c>
      <c r="G69" s="3165" t="s">
        <v>3520</v>
      </c>
      <c r="H69" s="3165">
        <v>3</v>
      </c>
      <c r="I69" s="3165">
        <v>303</v>
      </c>
      <c r="J69" s="3165" t="s">
        <v>3582</v>
      </c>
      <c r="K69" s="3165" t="s">
        <v>21</v>
      </c>
      <c r="L69" s="3165" t="s">
        <v>3522</v>
      </c>
      <c r="M69" s="3165">
        <v>771.44</v>
      </c>
      <c r="N69" s="3165">
        <v>6402.95</v>
      </c>
      <c r="O69" s="3165">
        <v>83000</v>
      </c>
    </row>
    <row r="70" spans="2:15">
      <c r="B70" s="3182">
        <v>45657.333831018499</v>
      </c>
      <c r="C70" s="3182">
        <v>44896.333831018499</v>
      </c>
      <c r="D70" s="3165">
        <v>761</v>
      </c>
      <c r="E70" s="3165" t="s">
        <v>3581</v>
      </c>
      <c r="F70" s="3165" t="s">
        <v>3520</v>
      </c>
      <c r="G70" s="3165" t="s">
        <v>3520</v>
      </c>
      <c r="H70" s="3165">
        <v>4</v>
      </c>
      <c r="I70" s="3165">
        <v>402</v>
      </c>
      <c r="J70" s="3165" t="s">
        <v>3582</v>
      </c>
      <c r="K70" s="3165" t="s">
        <v>21</v>
      </c>
      <c r="L70" s="3165" t="s">
        <v>3522</v>
      </c>
      <c r="M70" s="3165">
        <v>847.61</v>
      </c>
      <c r="N70" s="3165">
        <v>7035.16</v>
      </c>
      <c r="O70" s="3165">
        <v>83000</v>
      </c>
    </row>
    <row r="71" spans="2:15">
      <c r="B71" s="3182">
        <v>45657.333831018499</v>
      </c>
      <c r="C71" s="3182">
        <v>44896.333831018499</v>
      </c>
      <c r="D71" s="3165">
        <v>761</v>
      </c>
      <c r="E71" s="3165" t="s">
        <v>3581</v>
      </c>
      <c r="F71" s="3165" t="s">
        <v>3520</v>
      </c>
      <c r="G71" s="3165" t="s">
        <v>3520</v>
      </c>
      <c r="H71" s="3165">
        <v>7</v>
      </c>
      <c r="I71" s="3165">
        <v>703</v>
      </c>
      <c r="J71" s="3165" t="s">
        <v>3582</v>
      </c>
      <c r="K71" s="3165" t="s">
        <v>21</v>
      </c>
      <c r="L71" s="3165" t="s">
        <v>3522</v>
      </c>
      <c r="M71" s="3165">
        <v>771.44</v>
      </c>
      <c r="N71" s="3165">
        <v>6402.95</v>
      </c>
      <c r="O71" s="3165">
        <v>83000</v>
      </c>
    </row>
    <row r="72" spans="2:15">
      <c r="B72" s="3182">
        <v>45657.333831018499</v>
      </c>
      <c r="C72" s="3182">
        <v>44896.333831018499</v>
      </c>
      <c r="D72" s="3165">
        <v>761</v>
      </c>
      <c r="E72" s="3165" t="s">
        <v>3581</v>
      </c>
      <c r="F72" s="3165" t="s">
        <v>3520</v>
      </c>
      <c r="G72" s="3165" t="s">
        <v>3520</v>
      </c>
      <c r="H72" s="3165">
        <v>6</v>
      </c>
      <c r="I72" s="3165">
        <v>602</v>
      </c>
      <c r="J72" s="3165" t="s">
        <v>3582</v>
      </c>
      <c r="K72" s="3165" t="s">
        <v>21</v>
      </c>
      <c r="L72" s="3165" t="s">
        <v>3522</v>
      </c>
      <c r="M72" s="3165">
        <v>847.61</v>
      </c>
      <c r="N72" s="3165">
        <v>7035.16</v>
      </c>
      <c r="O72" s="3165">
        <v>83000</v>
      </c>
    </row>
    <row r="73" spans="2:15">
      <c r="B73" s="3182">
        <v>45657.333831018499</v>
      </c>
      <c r="C73" s="3182">
        <v>44896.333831018499</v>
      </c>
      <c r="D73" s="3165">
        <v>761</v>
      </c>
      <c r="E73" s="3165" t="s">
        <v>3581</v>
      </c>
      <c r="F73" s="3165" t="s">
        <v>3520</v>
      </c>
      <c r="G73" s="3165" t="s">
        <v>3520</v>
      </c>
      <c r="H73" s="3165">
        <v>11</v>
      </c>
      <c r="I73" s="3165">
        <v>1103</v>
      </c>
      <c r="J73" s="3165" t="s">
        <v>3582</v>
      </c>
      <c r="K73" s="3165" t="s">
        <v>21</v>
      </c>
      <c r="L73" s="3165" t="s">
        <v>3522</v>
      </c>
      <c r="M73" s="3165">
        <v>140.09</v>
      </c>
      <c r="N73" s="3165">
        <v>1162.75</v>
      </c>
      <c r="O73" s="3165">
        <v>83000</v>
      </c>
    </row>
    <row r="74" spans="2:15">
      <c r="B74" s="3182">
        <v>45657.333831018499</v>
      </c>
      <c r="C74" s="3182">
        <v>44896.333831018499</v>
      </c>
      <c r="D74" s="3165">
        <v>761</v>
      </c>
      <c r="E74" s="3165" t="s">
        <v>3581</v>
      </c>
      <c r="F74" s="3165" t="s">
        <v>3520</v>
      </c>
      <c r="G74" s="3165" t="s">
        <v>3520</v>
      </c>
      <c r="H74" s="3165">
        <v>10</v>
      </c>
      <c r="I74" s="3165">
        <v>1004</v>
      </c>
      <c r="J74" s="3165" t="s">
        <v>3582</v>
      </c>
      <c r="K74" s="3165" t="s">
        <v>21</v>
      </c>
      <c r="L74" s="3165" t="s">
        <v>3522</v>
      </c>
      <c r="M74" s="3165">
        <v>893.4</v>
      </c>
      <c r="N74" s="3165">
        <v>7415.22</v>
      </c>
      <c r="O74" s="3165">
        <v>83000</v>
      </c>
    </row>
    <row r="75" spans="2:15">
      <c r="B75" s="3182">
        <v>45657.333831018499</v>
      </c>
      <c r="C75" s="3182">
        <v>44896.333831018499</v>
      </c>
      <c r="D75" s="3165">
        <v>761</v>
      </c>
      <c r="E75" s="3165" t="s">
        <v>3581</v>
      </c>
      <c r="F75" s="3165" t="s">
        <v>3520</v>
      </c>
      <c r="G75" s="3165" t="s">
        <v>3520</v>
      </c>
      <c r="H75" s="3165">
        <v>9</v>
      </c>
      <c r="I75" s="3165">
        <v>902</v>
      </c>
      <c r="J75" s="3165" t="s">
        <v>3582</v>
      </c>
      <c r="K75" s="3165" t="s">
        <v>21</v>
      </c>
      <c r="L75" s="3165" t="s">
        <v>3522</v>
      </c>
      <c r="M75" s="3165">
        <v>847.61</v>
      </c>
      <c r="N75" s="3165">
        <v>7035.16</v>
      </c>
      <c r="O75" s="3165">
        <v>83000</v>
      </c>
    </row>
    <row r="76" spans="2:15">
      <c r="B76" s="3182">
        <v>45657.333831018499</v>
      </c>
      <c r="C76" s="3182">
        <v>44896.333831018499</v>
      </c>
      <c r="D76" s="3165">
        <v>761</v>
      </c>
      <c r="E76" s="3165" t="s">
        <v>3581</v>
      </c>
      <c r="F76" s="3165" t="s">
        <v>3520</v>
      </c>
      <c r="G76" s="3165" t="s">
        <v>3520</v>
      </c>
      <c r="H76" s="3165">
        <v>8</v>
      </c>
      <c r="I76" s="3165">
        <v>804</v>
      </c>
      <c r="J76" s="3165" t="s">
        <v>3582</v>
      </c>
      <c r="K76" s="3165" t="s">
        <v>21</v>
      </c>
      <c r="L76" s="3165" t="s">
        <v>3522</v>
      </c>
      <c r="M76" s="3165">
        <v>893.4</v>
      </c>
      <c r="N76" s="3165">
        <v>7415.22</v>
      </c>
      <c r="O76" s="3165">
        <v>83000</v>
      </c>
    </row>
    <row r="77" spans="2:15">
      <c r="B77" s="3182">
        <v>45657.333831018499</v>
      </c>
      <c r="C77" s="3182">
        <v>44896.333831018499</v>
      </c>
      <c r="D77" s="3165">
        <v>761</v>
      </c>
      <c r="E77" s="3165" t="s">
        <v>3581</v>
      </c>
      <c r="F77" s="3165" t="s">
        <v>3520</v>
      </c>
      <c r="G77" s="3165" t="s">
        <v>3520</v>
      </c>
      <c r="H77" s="3165">
        <v>7</v>
      </c>
      <c r="I77" s="3165">
        <v>704</v>
      </c>
      <c r="J77" s="3165" t="s">
        <v>3582</v>
      </c>
      <c r="K77" s="3165" t="s">
        <v>21</v>
      </c>
      <c r="L77" s="3165" t="s">
        <v>3522</v>
      </c>
      <c r="M77" s="3165">
        <v>893.4</v>
      </c>
      <c r="N77" s="3165">
        <v>7415.22</v>
      </c>
      <c r="O77" s="3165">
        <v>83000</v>
      </c>
    </row>
    <row r="78" spans="2:15">
      <c r="B78" s="3182">
        <v>45657.333831018499</v>
      </c>
      <c r="C78" s="3182">
        <v>44896.333831018499</v>
      </c>
      <c r="D78" s="3165">
        <v>761</v>
      </c>
      <c r="E78" s="3165" t="s">
        <v>3581</v>
      </c>
      <c r="F78" s="3165" t="s">
        <v>3520</v>
      </c>
      <c r="G78" s="3165" t="s">
        <v>3520</v>
      </c>
      <c r="H78" s="3165">
        <v>4</v>
      </c>
      <c r="I78" s="3165">
        <v>404</v>
      </c>
      <c r="J78" s="3165" t="s">
        <v>3582</v>
      </c>
      <c r="K78" s="3165" t="s">
        <v>21</v>
      </c>
      <c r="L78" s="3165" t="s">
        <v>3522</v>
      </c>
      <c r="M78" s="3165">
        <v>893.4</v>
      </c>
      <c r="N78" s="3165">
        <v>7415.22</v>
      </c>
      <c r="O78" s="3165">
        <v>83000</v>
      </c>
    </row>
    <row r="79" spans="2:15">
      <c r="B79" s="3182">
        <v>45657.333831018499</v>
      </c>
      <c r="C79" s="3182">
        <v>44896.333831018499</v>
      </c>
      <c r="D79" s="3165">
        <v>761</v>
      </c>
      <c r="E79" s="3165" t="s">
        <v>3581</v>
      </c>
      <c r="F79" s="3165" t="s">
        <v>3520</v>
      </c>
      <c r="G79" s="3165" t="s">
        <v>3520</v>
      </c>
      <c r="H79" s="3165">
        <v>8</v>
      </c>
      <c r="I79" s="3165">
        <v>802</v>
      </c>
      <c r="J79" s="3165" t="s">
        <v>3582</v>
      </c>
      <c r="K79" s="3165" t="s">
        <v>21</v>
      </c>
      <c r="L79" s="3165" t="s">
        <v>3522</v>
      </c>
      <c r="M79" s="3165">
        <v>847.61</v>
      </c>
      <c r="N79" s="3165">
        <v>7035.16</v>
      </c>
      <c r="O79" s="3165">
        <v>83000</v>
      </c>
    </row>
    <row r="80" spans="2:15">
      <c r="B80" s="3182">
        <v>45657.333831018499</v>
      </c>
      <c r="C80" s="3182">
        <v>44896.333831018499</v>
      </c>
      <c r="D80" s="3165">
        <v>761</v>
      </c>
      <c r="E80" s="3165" t="s">
        <v>3581</v>
      </c>
      <c r="F80" s="3165" t="s">
        <v>3520</v>
      </c>
      <c r="G80" s="3165" t="s">
        <v>3520</v>
      </c>
      <c r="H80" s="3165">
        <v>9</v>
      </c>
      <c r="I80" s="3165">
        <v>901</v>
      </c>
      <c r="J80" s="3165" t="s">
        <v>3582</v>
      </c>
      <c r="K80" s="3165" t="s">
        <v>21</v>
      </c>
      <c r="L80" s="3165" t="s">
        <v>3522</v>
      </c>
      <c r="M80" s="3165">
        <v>874.57</v>
      </c>
      <c r="N80" s="3165">
        <v>7258.93</v>
      </c>
      <c r="O80" s="3165">
        <v>83000</v>
      </c>
    </row>
    <row r="81" spans="2:15">
      <c r="B81" s="3182">
        <v>45657.333831018499</v>
      </c>
      <c r="C81" s="3182">
        <v>44896.333831018499</v>
      </c>
      <c r="D81" s="3165">
        <v>761</v>
      </c>
      <c r="E81" s="3165" t="s">
        <v>3581</v>
      </c>
      <c r="F81" s="3165" t="s">
        <v>3520</v>
      </c>
      <c r="G81" s="3165" t="s">
        <v>3520</v>
      </c>
      <c r="H81" s="3165">
        <v>4</v>
      </c>
      <c r="I81" s="3165">
        <v>401</v>
      </c>
      <c r="J81" s="3165" t="s">
        <v>3582</v>
      </c>
      <c r="K81" s="3165" t="s">
        <v>21</v>
      </c>
      <c r="L81" s="3165" t="s">
        <v>3522</v>
      </c>
      <c r="M81" s="3165">
        <v>874.57</v>
      </c>
      <c r="N81" s="3165">
        <v>7258.93</v>
      </c>
      <c r="O81" s="3165">
        <v>83000</v>
      </c>
    </row>
    <row r="82" spans="2:15">
      <c r="B82" s="3182">
        <v>45657.333831018499</v>
      </c>
      <c r="C82" s="3182">
        <v>44896.333831018499</v>
      </c>
      <c r="D82" s="3165">
        <v>761</v>
      </c>
      <c r="E82" s="3165" t="s">
        <v>3581</v>
      </c>
      <c r="F82" s="3165" t="s">
        <v>3520</v>
      </c>
      <c r="G82" s="3165" t="s">
        <v>3520</v>
      </c>
      <c r="H82" s="3165">
        <v>11</v>
      </c>
      <c r="I82" s="3165">
        <v>1101</v>
      </c>
      <c r="J82" s="3165" t="s">
        <v>3582</v>
      </c>
      <c r="K82" s="3165" t="s">
        <v>21</v>
      </c>
      <c r="L82" s="3165" t="s">
        <v>3522</v>
      </c>
      <c r="M82" s="3165">
        <v>1198.32</v>
      </c>
      <c r="N82" s="3165">
        <v>9946.06</v>
      </c>
      <c r="O82" s="3165">
        <v>83000</v>
      </c>
    </row>
    <row r="83" spans="2:15">
      <c r="B83" s="3165"/>
      <c r="C83" s="3165"/>
      <c r="D83" s="3165"/>
      <c r="E83" s="3165"/>
      <c r="F83" s="3165"/>
      <c r="G83" s="3165"/>
      <c r="H83" s="3165"/>
      <c r="I83" s="3165"/>
      <c r="J83" s="3165"/>
      <c r="K83" s="3165"/>
      <c r="L83" s="3165"/>
      <c r="M83" s="3165">
        <f>SUM(M47:M82)</f>
        <v>31901.890000000003</v>
      </c>
      <c r="N83" s="3165">
        <f>SUM(N47:N82)</f>
        <v>264785.65000000008</v>
      </c>
      <c r="O83" s="3165">
        <f>ROUND(N83*10000/M83,0)</f>
        <v>83000</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45903</v>
      </c>
      <c r="B1" s="2923" t="s">
        <v>3374</v>
      </c>
      <c r="C1" s="2924"/>
      <c r="D1" s="2924"/>
      <c r="E1" s="2924"/>
      <c r="F1" s="2924"/>
      <c r="G1" s="2924"/>
      <c r="H1" s="2924"/>
      <c r="I1" s="2924"/>
      <c r="J1" s="2890"/>
      <c r="K1" s="2924" t="s">
        <v>454</v>
      </c>
      <c r="L1" s="2924"/>
      <c r="M1" s="2924"/>
      <c r="N1" s="2924"/>
      <c r="O1" s="2924"/>
      <c r="P1" s="2924"/>
      <c r="Q1" s="2890"/>
      <c r="R1" s="3506" t="s">
        <v>456</v>
      </c>
      <c r="S1" s="3507"/>
      <c r="T1" s="3507"/>
      <c r="U1" s="3507"/>
      <c r="V1" s="3507"/>
      <c r="W1" s="3507"/>
      <c r="X1" s="2890"/>
      <c r="Y1" s="3506" t="s">
        <v>457</v>
      </c>
      <c r="Z1" s="3507"/>
      <c r="AA1" s="3507"/>
      <c r="AB1" s="3507"/>
      <c r="AC1" s="3507"/>
      <c r="AD1" s="3507"/>
    </row>
    <row r="2" spans="1:44" s="2007" customFormat="1" ht="15" thickBot="1">
      <c r="B2" s="2875"/>
      <c r="C2" s="2876"/>
      <c r="D2" s="2008" t="s">
        <v>2806</v>
      </c>
      <c r="E2" s="2009" t="s">
        <v>2807</v>
      </c>
      <c r="F2" s="2009" t="s">
        <v>2808</v>
      </c>
      <c r="G2" s="2009" t="s">
        <v>2809</v>
      </c>
      <c r="H2" s="2009" t="s">
        <v>2810</v>
      </c>
      <c r="I2" s="2009" t="s">
        <v>2627</v>
      </c>
      <c r="J2" s="2877"/>
      <c r="K2" s="2008" t="s">
        <v>2806</v>
      </c>
      <c r="L2" s="2009" t="s">
        <v>2807</v>
      </c>
      <c r="M2" s="2009" t="s">
        <v>2808</v>
      </c>
      <c r="N2" s="2009" t="s">
        <v>2809</v>
      </c>
      <c r="O2" s="2009" t="s">
        <v>2811</v>
      </c>
      <c r="P2" s="2009" t="s">
        <v>2627</v>
      </c>
      <c r="Q2" s="2877"/>
      <c r="R2" s="2008" t="s">
        <v>2806</v>
      </c>
      <c r="S2" s="2009" t="s">
        <v>2807</v>
      </c>
      <c r="T2" s="2009" t="s">
        <v>2808</v>
      </c>
      <c r="U2" s="2009" t="s">
        <v>2812</v>
      </c>
      <c r="V2" s="2009" t="s">
        <v>2813</v>
      </c>
      <c r="W2" s="2009" t="s">
        <v>2627</v>
      </c>
      <c r="X2" s="2877"/>
      <c r="Y2" s="2008" t="s">
        <v>2806</v>
      </c>
      <c r="Z2" s="2009" t="s">
        <v>2807</v>
      </c>
      <c r="AA2" s="2009" t="s">
        <v>2808</v>
      </c>
      <c r="AB2" s="2009" t="s">
        <v>2814</v>
      </c>
      <c r="AC2" s="2009" t="s">
        <v>2813</v>
      </c>
      <c r="AD2" s="2009" t="s">
        <v>2627</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2815</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3400</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3399</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3398</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3406</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3405</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3378</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3372</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3371</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3367</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3366</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3364</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3363</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3362</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3360</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3351</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2816</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2817</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2818</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2819</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2820</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3377</v>
      </c>
    </row>
    <row r="27" spans="1:44">
      <c r="I27" s="1402" t="s">
        <v>2821</v>
      </c>
    </row>
    <row r="29" spans="1:44" s="2006" customFormat="1" ht="13.2">
      <c r="B29" s="2923" t="s">
        <v>3375</v>
      </c>
      <c r="C29" s="2924"/>
      <c r="D29" s="2924"/>
      <c r="E29" s="2924"/>
      <c r="F29" s="2924"/>
      <c r="G29" s="2924"/>
      <c r="H29" s="2924"/>
      <c r="I29" s="2924"/>
      <c r="J29" s="2890"/>
      <c r="K29" s="2924" t="s">
        <v>2822</v>
      </c>
      <c r="L29" s="2924"/>
      <c r="M29" s="2924"/>
      <c r="N29" s="2924"/>
      <c r="O29" s="2924"/>
      <c r="P29" s="2924"/>
      <c r="Q29" s="2890"/>
      <c r="R29" s="3506" t="s">
        <v>2823</v>
      </c>
      <c r="S29" s="3507"/>
      <c r="T29" s="3507"/>
      <c r="U29" s="3507"/>
      <c r="V29" s="3507"/>
      <c r="W29" s="3507"/>
      <c r="X29" s="2890"/>
      <c r="Y29" s="3506" t="s">
        <v>2824</v>
      </c>
      <c r="Z29" s="3507"/>
      <c r="AA29" s="3507"/>
      <c r="AB29" s="3507"/>
      <c r="AC29" s="3507"/>
      <c r="AD29" s="3507"/>
    </row>
    <row r="30" spans="1:44" s="2007" customFormat="1" ht="15" thickBot="1">
      <c r="B30" s="2875"/>
      <c r="C30" s="2876"/>
      <c r="D30" s="2008" t="s">
        <v>2825</v>
      </c>
      <c r="E30" s="2009" t="s">
        <v>2826</v>
      </c>
      <c r="F30" s="2009" t="s">
        <v>2827</v>
      </c>
      <c r="G30" s="2009" t="s">
        <v>2828</v>
      </c>
      <c r="H30" s="2009"/>
      <c r="I30" s="2009" t="s">
        <v>2829</v>
      </c>
      <c r="J30" s="2877"/>
      <c r="K30" s="2008" t="s">
        <v>2825</v>
      </c>
      <c r="L30" s="2009" t="s">
        <v>2826</v>
      </c>
      <c r="M30" s="2009" t="s">
        <v>2827</v>
      </c>
      <c r="N30" s="2009" t="s">
        <v>2828</v>
      </c>
      <c r="O30" s="2009"/>
      <c r="P30" s="2009" t="s">
        <v>2829</v>
      </c>
      <c r="Q30" s="2877"/>
      <c r="R30" s="2008" t="s">
        <v>2825</v>
      </c>
      <c r="S30" s="2009" t="s">
        <v>2826</v>
      </c>
      <c r="T30" s="2009" t="s">
        <v>2827</v>
      </c>
      <c r="U30" s="2009" t="s">
        <v>2828</v>
      </c>
      <c r="V30" s="2009"/>
      <c r="W30" s="2009" t="s">
        <v>2829</v>
      </c>
      <c r="X30" s="2877"/>
      <c r="Y30" s="2008" t="s">
        <v>2825</v>
      </c>
      <c r="Z30" s="2009" t="s">
        <v>2826</v>
      </c>
      <c r="AA30" s="2009" t="s">
        <v>2827</v>
      </c>
      <c r="AB30" s="2009" t="s">
        <v>2828</v>
      </c>
      <c r="AC30" s="2009"/>
      <c r="AD30" s="2009" t="s">
        <v>2829</v>
      </c>
      <c r="AG30" t="s">
        <v>673</v>
      </c>
      <c r="AH30" t="s">
        <v>21</v>
      </c>
      <c r="AI30" t="s">
        <v>3402</v>
      </c>
      <c r="AJ30"/>
      <c r="AK30" t="s">
        <v>3403</v>
      </c>
      <c r="AN30" t="s">
        <v>673</v>
      </c>
      <c r="AO30" t="s">
        <v>21</v>
      </c>
      <c r="AP30" t="s">
        <v>3402</v>
      </c>
      <c r="AQ30"/>
      <c r="AR30" t="s">
        <v>3403</v>
      </c>
    </row>
    <row r="31" spans="1:44" s="2880" customFormat="1" ht="13.2">
      <c r="A31" s="2878" t="s">
        <v>2830</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3400</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3399</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3407</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3404</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3405</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3369</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3373</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3370</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3368</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3366</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3365</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3363</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3362</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3361</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3351</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2831</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2832</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2833</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2834</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2820</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19" t="s">
        <v>2835</v>
      </c>
      <c r="B1" s="3519"/>
      <c r="C1" s="3519"/>
      <c r="D1" s="3519"/>
      <c r="E1" s="3519"/>
      <c r="F1" s="3519"/>
      <c r="G1" s="3520"/>
      <c r="I1" s="2932" t="s">
        <v>2836</v>
      </c>
      <c r="J1" s="2933" t="s">
        <v>2837</v>
      </c>
      <c r="K1" s="2933" t="s">
        <v>2838</v>
      </c>
      <c r="L1" s="2933" t="s">
        <v>2839</v>
      </c>
      <c r="M1" s="2933" t="s">
        <v>2840</v>
      </c>
      <c r="N1" s="2933" t="s">
        <v>2841</v>
      </c>
      <c r="O1" s="2933" t="s">
        <v>2842</v>
      </c>
      <c r="P1" s="2933" t="s">
        <v>2843</v>
      </c>
      <c r="Q1" s="2933" t="s">
        <v>2844</v>
      </c>
      <c r="R1" s="2933" t="s">
        <v>2845</v>
      </c>
      <c r="S1" s="2933" t="s">
        <v>2846</v>
      </c>
      <c r="T1" s="2934" t="s">
        <v>2847</v>
      </c>
    </row>
    <row r="2" spans="1:20" ht="11.4" thickBot="1">
      <c r="A2" s="2935" t="s">
        <v>2848</v>
      </c>
      <c r="B2" s="2935"/>
      <c r="C2" s="2935"/>
      <c r="D2" s="2935"/>
      <c r="E2" s="2935"/>
      <c r="F2" s="2935"/>
      <c r="G2" s="2936" t="s">
        <v>2849</v>
      </c>
      <c r="I2" s="2937" t="s">
        <v>2850</v>
      </c>
      <c r="J2" s="2937" t="s">
        <v>2851</v>
      </c>
      <c r="K2" s="2937" t="s">
        <v>2852</v>
      </c>
      <c r="L2" s="2937" t="s">
        <v>2853</v>
      </c>
      <c r="M2" s="2937" t="s">
        <v>2854</v>
      </c>
      <c r="N2" s="2937" t="s">
        <v>2855</v>
      </c>
      <c r="O2" s="2937" t="s">
        <v>2856</v>
      </c>
      <c r="P2" s="2937" t="s">
        <v>2857</v>
      </c>
      <c r="Q2" s="2937" t="s">
        <v>2858</v>
      </c>
      <c r="R2" s="2937" t="s">
        <v>2859</v>
      </c>
      <c r="S2" s="2937" t="s">
        <v>2860</v>
      </c>
      <c r="T2" s="2937" t="s">
        <v>2861</v>
      </c>
    </row>
    <row r="3" spans="1:20" s="2943" customFormat="1">
      <c r="A3" s="3517" t="s">
        <v>2862</v>
      </c>
      <c r="B3" s="2938"/>
      <c r="C3" s="2939" t="s">
        <v>2807</v>
      </c>
      <c r="D3" s="2939" t="s">
        <v>2863</v>
      </c>
      <c r="E3" s="2939" t="s">
        <v>2809</v>
      </c>
      <c r="F3" s="2939" t="s">
        <v>2864</v>
      </c>
      <c r="G3" s="2939" t="s">
        <v>2627</v>
      </c>
      <c r="H3" s="2940"/>
      <c r="I3" s="2941" t="s">
        <v>2865</v>
      </c>
      <c r="J3" s="2942" t="s">
        <v>128</v>
      </c>
      <c r="K3" s="2942" t="s">
        <v>129</v>
      </c>
      <c r="L3" s="2941" t="s">
        <v>130</v>
      </c>
      <c r="M3" s="2941" t="s">
        <v>131</v>
      </c>
      <c r="N3" s="2941" t="s">
        <v>132</v>
      </c>
      <c r="O3" s="2941" t="s">
        <v>133</v>
      </c>
      <c r="P3" s="2941" t="s">
        <v>134</v>
      </c>
      <c r="Q3" s="2941" t="s">
        <v>135</v>
      </c>
      <c r="R3" s="2941" t="s">
        <v>136</v>
      </c>
      <c r="S3" s="2941" t="s">
        <v>2866</v>
      </c>
      <c r="T3" s="2941" t="s">
        <v>2867</v>
      </c>
    </row>
    <row r="4" spans="1:20" s="2943" customFormat="1" ht="11.4" thickBot="1">
      <c r="A4" s="3518"/>
      <c r="B4" s="2944" t="s">
        <v>2868</v>
      </c>
      <c r="C4" s="2944" t="s">
        <v>2869</v>
      </c>
      <c r="D4" s="2944" t="s">
        <v>2869</v>
      </c>
      <c r="E4" s="2944" t="s">
        <v>2869</v>
      </c>
      <c r="F4" s="2945" t="s">
        <v>2869</v>
      </c>
      <c r="G4" s="2945" t="s">
        <v>2869</v>
      </c>
      <c r="H4" s="2940"/>
      <c r="I4" s="2942" t="s">
        <v>137</v>
      </c>
      <c r="J4" s="2942" t="s">
        <v>111</v>
      </c>
      <c r="K4" s="2942" t="s">
        <v>138</v>
      </c>
      <c r="L4" s="2941" t="s">
        <v>139</v>
      </c>
      <c r="M4" s="2941" t="s">
        <v>140</v>
      </c>
      <c r="N4" s="2941" t="s">
        <v>141</v>
      </c>
      <c r="O4" s="2941" t="s">
        <v>142</v>
      </c>
      <c r="P4" s="2941" t="s">
        <v>143</v>
      </c>
      <c r="Q4" s="2941" t="s">
        <v>2870</v>
      </c>
      <c r="R4" s="2941" t="s">
        <v>2871</v>
      </c>
      <c r="S4" s="2941" t="s">
        <v>2872</v>
      </c>
      <c r="T4" s="2941" t="s">
        <v>2873</v>
      </c>
    </row>
    <row r="5" spans="1:20">
      <c r="A5" s="2946" t="s">
        <v>2836</v>
      </c>
      <c r="B5" s="2937" t="s">
        <v>2850</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2874</v>
      </c>
      <c r="R5" s="2941" t="s">
        <v>2875</v>
      </c>
      <c r="S5" s="2941" t="s">
        <v>153</v>
      </c>
      <c r="T5" s="2941" t="s">
        <v>2876</v>
      </c>
    </row>
    <row r="6" spans="1:20" ht="11.4" thickBot="1">
      <c r="A6" s="2941" t="s">
        <v>144</v>
      </c>
      <c r="B6" s="2941" t="s">
        <v>2865</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2877</v>
      </c>
      <c r="Q6" s="2941" t="s">
        <v>2878</v>
      </c>
      <c r="R6" s="2941" t="s">
        <v>161</v>
      </c>
      <c r="S6" s="2941" t="s">
        <v>2879</v>
      </c>
      <c r="T6" s="2941" t="s">
        <v>2880</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2881</v>
      </c>
      <c r="Q7" s="2941" t="s">
        <v>2882</v>
      </c>
      <c r="R7" s="2941" t="s">
        <v>2883</v>
      </c>
      <c r="S7" s="2941" t="s">
        <v>2884</v>
      </c>
      <c r="T7" s="2941" t="s">
        <v>2885</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2886</v>
      </c>
      <c r="Q8" s="2941" t="s">
        <v>174</v>
      </c>
      <c r="R8" s="2941" t="s">
        <v>2887</v>
      </c>
      <c r="S8" s="2941" t="s">
        <v>2888</v>
      </c>
      <c r="T8" s="2948" t="s">
        <v>2889</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2890</v>
      </c>
      <c r="Q9" s="2941" t="s">
        <v>182</v>
      </c>
      <c r="R9" s="2941" t="s">
        <v>183</v>
      </c>
      <c r="S9" s="2941" t="s">
        <v>200</v>
      </c>
    </row>
    <row r="10" spans="1:20">
      <c r="A10" s="2946" t="s">
        <v>184</v>
      </c>
      <c r="B10" s="2937" t="s">
        <v>2851</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2891</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2892</v>
      </c>
      <c r="P11" s="2941" t="s">
        <v>191</v>
      </c>
      <c r="Q11" s="2941" t="s">
        <v>199</v>
      </c>
      <c r="R11" s="2941" t="s">
        <v>2893</v>
      </c>
      <c r="S11" s="2941" t="s">
        <v>2894</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2895</v>
      </c>
      <c r="P12" s="2941" t="s">
        <v>2896</v>
      </c>
      <c r="Q12" s="2941" t="s">
        <v>2897</v>
      </c>
      <c r="R12" s="2941" t="s">
        <v>2898</v>
      </c>
      <c r="S12" s="2941" t="s">
        <v>2899</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2900</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2901</v>
      </c>
      <c r="K14" s="2942" t="s">
        <v>215</v>
      </c>
      <c r="L14" s="2941" t="s">
        <v>216</v>
      </c>
      <c r="M14" s="2941" t="s">
        <v>217</v>
      </c>
      <c r="N14" s="2941" t="s">
        <v>218</v>
      </c>
      <c r="O14" s="2941" t="s">
        <v>240</v>
      </c>
      <c r="P14" s="2941" t="s">
        <v>213</v>
      </c>
      <c r="Q14" s="2941" t="s">
        <v>2902</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2903</v>
      </c>
      <c r="P15" s="2941" t="s">
        <v>2904</v>
      </c>
      <c r="Q15" s="2941" t="s">
        <v>242</v>
      </c>
      <c r="R15" s="2941" t="s">
        <v>2905</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2906</v>
      </c>
      <c r="P16" s="2941" t="s">
        <v>227</v>
      </c>
      <c r="Q16" s="2941" t="s">
        <v>250</v>
      </c>
      <c r="R16" s="2941" t="s">
        <v>207</v>
      </c>
      <c r="S16" s="2941" t="s">
        <v>2907</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2908</v>
      </c>
      <c r="P17" s="2941" t="s">
        <v>2909</v>
      </c>
      <c r="Q17" s="2941" t="s">
        <v>256</v>
      </c>
      <c r="R17" s="2941" t="s">
        <v>2910</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2911</v>
      </c>
      <c r="P18" s="2941" t="s">
        <v>241</v>
      </c>
      <c r="Q18" s="2941" t="s">
        <v>2912</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2913</v>
      </c>
      <c r="P19" s="2941" t="s">
        <v>249</v>
      </c>
      <c r="Q19" s="2941" t="s">
        <v>2914</v>
      </c>
      <c r="R19" s="2941" t="s">
        <v>265</v>
      </c>
      <c r="S19" s="2941" t="s">
        <v>2915</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2916</v>
      </c>
      <c r="P20" s="2941" t="s">
        <v>2917</v>
      </c>
      <c r="Q20" s="2941" t="s">
        <v>290</v>
      </c>
      <c r="R20" s="2941" t="s">
        <v>2918</v>
      </c>
      <c r="S20" s="2941" t="s">
        <v>277</v>
      </c>
    </row>
    <row r="21" spans="1:19" ht="14.25" customHeight="1" thickBot="1">
      <c r="A21" s="2941" t="s">
        <v>184</v>
      </c>
      <c r="B21" s="2942" t="s">
        <v>208</v>
      </c>
      <c r="C21" s="2941">
        <v>32370</v>
      </c>
      <c r="D21" s="2941">
        <v>26730</v>
      </c>
      <c r="E21" s="2941">
        <v>26640</v>
      </c>
      <c r="F21" s="2941"/>
      <c r="G21" s="2941">
        <v>19440</v>
      </c>
      <c r="J21" s="2948" t="s">
        <v>2919</v>
      </c>
      <c r="K21" s="2942" t="s">
        <v>267</v>
      </c>
      <c r="L21" s="2941" t="s">
        <v>268</v>
      </c>
      <c r="M21" s="2941" t="s">
        <v>269</v>
      </c>
      <c r="N21" s="2941" t="s">
        <v>270</v>
      </c>
      <c r="O21" s="2941" t="s">
        <v>264</v>
      </c>
      <c r="P21" s="2941" t="s">
        <v>283</v>
      </c>
      <c r="Q21" s="2941" t="s">
        <v>293</v>
      </c>
      <c r="R21" s="2941" t="s">
        <v>2920</v>
      </c>
      <c r="S21" s="2948" t="s">
        <v>2921</v>
      </c>
    </row>
    <row r="22" spans="1:19" ht="14.25" customHeight="1">
      <c r="A22" s="2941" t="s">
        <v>184</v>
      </c>
      <c r="B22" s="2942" t="s">
        <v>2901</v>
      </c>
      <c r="C22" s="2941">
        <v>29830</v>
      </c>
      <c r="D22" s="2941">
        <v>27600</v>
      </c>
      <c r="E22" s="2941">
        <v>28150</v>
      </c>
      <c r="F22" s="2941"/>
      <c r="G22" s="2941">
        <v>20080</v>
      </c>
      <c r="K22" s="2942" t="s">
        <v>2922</v>
      </c>
      <c r="L22" s="2941" t="s">
        <v>272</v>
      </c>
      <c r="M22" s="2941" t="s">
        <v>273</v>
      </c>
      <c r="N22" s="2941" t="s">
        <v>274</v>
      </c>
      <c r="O22" s="2941" t="s">
        <v>2923</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2924</v>
      </c>
      <c r="L23" s="2941" t="s">
        <v>278</v>
      </c>
      <c r="M23" s="2941" t="s">
        <v>279</v>
      </c>
      <c r="N23" s="2941" t="s">
        <v>2925</v>
      </c>
      <c r="O23" s="2941" t="s">
        <v>2926</v>
      </c>
      <c r="P23" s="2941" t="s">
        <v>289</v>
      </c>
      <c r="Q23" s="2941" t="s">
        <v>298</v>
      </c>
      <c r="R23" s="2941" t="s">
        <v>2927</v>
      </c>
    </row>
    <row r="24" spans="1:19" ht="14.25" customHeight="1">
      <c r="A24" s="2941" t="s">
        <v>184</v>
      </c>
      <c r="B24" s="2942" t="s">
        <v>230</v>
      </c>
      <c r="C24" s="2941">
        <v>27930</v>
      </c>
      <c r="D24" s="2941">
        <v>32260</v>
      </c>
      <c r="E24" s="2941">
        <v>32120</v>
      </c>
      <c r="F24" s="2941"/>
      <c r="G24" s="2941">
        <v>23470</v>
      </c>
      <c r="K24" s="2942" t="s">
        <v>2928</v>
      </c>
      <c r="L24" s="2941" t="s">
        <v>281</v>
      </c>
      <c r="M24" s="2941" t="s">
        <v>282</v>
      </c>
      <c r="N24" s="2941" t="s">
        <v>2929</v>
      </c>
      <c r="O24" s="2941" t="s">
        <v>285</v>
      </c>
      <c r="P24" s="2941" t="s">
        <v>2930</v>
      </c>
      <c r="Q24" s="2950" t="s">
        <v>2931</v>
      </c>
      <c r="R24" s="2941" t="s">
        <v>2932</v>
      </c>
    </row>
    <row r="25" spans="1:19" ht="14.25" customHeight="1">
      <c r="A25" s="2941" t="s">
        <v>184</v>
      </c>
      <c r="B25" s="2942" t="s">
        <v>235</v>
      </c>
      <c r="C25" s="2941">
        <v>32230</v>
      </c>
      <c r="D25" s="2941">
        <v>29640</v>
      </c>
      <c r="E25" s="2941">
        <v>29510</v>
      </c>
      <c r="F25" s="2941"/>
      <c r="G25" s="2941">
        <v>21560</v>
      </c>
      <c r="K25" s="2942" t="s">
        <v>2933</v>
      </c>
      <c r="L25" s="2941" t="s">
        <v>2934</v>
      </c>
      <c r="M25" s="2941" t="s">
        <v>284</v>
      </c>
      <c r="N25" s="2941" t="s">
        <v>292</v>
      </c>
      <c r="O25" s="2941" t="s">
        <v>288</v>
      </c>
      <c r="P25" s="2941" t="s">
        <v>275</v>
      </c>
      <c r="Q25" s="2950" t="s">
        <v>271</v>
      </c>
      <c r="R25" s="2941" t="s">
        <v>2935</v>
      </c>
    </row>
    <row r="26" spans="1:19" ht="14.25" customHeight="1" thickBot="1">
      <c r="A26" s="2941" t="s">
        <v>184</v>
      </c>
      <c r="B26" s="2942" t="s">
        <v>244</v>
      </c>
      <c r="C26" s="2941">
        <v>31690</v>
      </c>
      <c r="D26" s="2941">
        <v>27650</v>
      </c>
      <c r="E26" s="2941">
        <v>28200</v>
      </c>
      <c r="F26" s="2941"/>
      <c r="G26" s="2941">
        <v>20110</v>
      </c>
      <c r="K26" s="2947" t="s">
        <v>2936</v>
      </c>
      <c r="L26" s="2941" t="s">
        <v>2937</v>
      </c>
      <c r="M26" s="2941" t="s">
        <v>287</v>
      </c>
      <c r="N26" s="2941" t="s">
        <v>294</v>
      </c>
      <c r="O26" s="2941" t="s">
        <v>2938</v>
      </c>
      <c r="P26" s="2941" t="s">
        <v>2939</v>
      </c>
      <c r="Q26" s="2950" t="s">
        <v>276</v>
      </c>
      <c r="R26" s="2941" t="s">
        <v>2940</v>
      </c>
    </row>
    <row r="27" spans="1:19" ht="14.25" customHeight="1">
      <c r="A27" s="2941" t="s">
        <v>184</v>
      </c>
      <c r="B27" s="2942" t="s">
        <v>251</v>
      </c>
      <c r="C27" s="2941">
        <v>29610</v>
      </c>
      <c r="D27" s="2941">
        <v>27770</v>
      </c>
      <c r="E27" s="2941">
        <v>28300</v>
      </c>
      <c r="F27" s="2941"/>
      <c r="G27" s="2941">
        <v>20210</v>
      </c>
      <c r="L27" s="2941" t="s">
        <v>2941</v>
      </c>
      <c r="M27" s="2941" t="s">
        <v>291</v>
      </c>
      <c r="N27" s="2941" t="s">
        <v>297</v>
      </c>
      <c r="O27" s="2941" t="s">
        <v>2942</v>
      </c>
      <c r="P27" s="2941" t="s">
        <v>2943</v>
      </c>
      <c r="Q27" s="2941" t="s">
        <v>2944</v>
      </c>
      <c r="R27" s="2941" t="s">
        <v>2945</v>
      </c>
    </row>
    <row r="28" spans="1:19" ht="14.25" customHeight="1">
      <c r="A28" s="2941" t="s">
        <v>184</v>
      </c>
      <c r="B28" s="2942" t="s">
        <v>259</v>
      </c>
      <c r="C28" s="2941"/>
      <c r="D28" s="2941">
        <v>31520</v>
      </c>
      <c r="E28" s="2941">
        <v>31410</v>
      </c>
      <c r="F28" s="2941"/>
      <c r="G28" s="2941">
        <v>22940</v>
      </c>
      <c r="L28" s="2941" t="s">
        <v>2946</v>
      </c>
      <c r="M28" s="2941" t="s">
        <v>2947</v>
      </c>
      <c r="N28" s="2941" t="s">
        <v>2948</v>
      </c>
      <c r="O28" s="2941" t="s">
        <v>2949</v>
      </c>
      <c r="P28" s="2941" t="s">
        <v>2950</v>
      </c>
      <c r="Q28" s="2941" t="s">
        <v>2951</v>
      </c>
      <c r="R28" s="2941" t="s">
        <v>2952</v>
      </c>
    </row>
    <row r="29" spans="1:19" ht="14.25" customHeight="1" thickBot="1">
      <c r="A29" s="2949" t="s">
        <v>184</v>
      </c>
      <c r="B29" s="2951" t="s">
        <v>2919</v>
      </c>
      <c r="C29" s="2952"/>
      <c r="D29" s="2952">
        <v>29460</v>
      </c>
      <c r="E29" s="2952">
        <v>28640</v>
      </c>
      <c r="F29" s="2952"/>
      <c r="G29" s="2952">
        <v>21430</v>
      </c>
      <c r="L29" s="2941" t="s">
        <v>2953</v>
      </c>
      <c r="M29" s="2941" t="s">
        <v>2954</v>
      </c>
      <c r="N29" s="2941" t="s">
        <v>2955</v>
      </c>
      <c r="O29" s="2941" t="s">
        <v>2956</v>
      </c>
      <c r="P29" s="2941" t="s">
        <v>2957</v>
      </c>
      <c r="Q29" s="2941" t="s">
        <v>2958</v>
      </c>
      <c r="R29" s="2941" t="s">
        <v>280</v>
      </c>
    </row>
    <row r="30" spans="1:19" ht="14.25" customHeight="1">
      <c r="A30" s="2946" t="s">
        <v>296</v>
      </c>
      <c r="B30" s="2937" t="s">
        <v>2852</v>
      </c>
      <c r="C30" s="2937">
        <v>26890</v>
      </c>
      <c r="D30" s="2937">
        <v>26770</v>
      </c>
      <c r="E30" s="2937">
        <v>25700</v>
      </c>
      <c r="F30" s="2937">
        <v>8180</v>
      </c>
      <c r="G30" s="2953">
        <v>18740</v>
      </c>
      <c r="L30" s="2941" t="s">
        <v>2959</v>
      </c>
      <c r="M30" s="2941" t="s">
        <v>2960</v>
      </c>
      <c r="N30" s="2941" t="s">
        <v>2961</v>
      </c>
      <c r="O30" s="2941" t="s">
        <v>2962</v>
      </c>
      <c r="P30" s="2941" t="s">
        <v>2963</v>
      </c>
      <c r="Q30" s="2941" t="s">
        <v>2964</v>
      </c>
      <c r="R30" s="2941" t="s">
        <v>2965</v>
      </c>
    </row>
    <row r="31" spans="1:19" ht="14.25" customHeight="1">
      <c r="A31" s="2941" t="s">
        <v>296</v>
      </c>
      <c r="B31" s="2942" t="s">
        <v>129</v>
      </c>
      <c r="C31" s="2941">
        <v>24550</v>
      </c>
      <c r="D31" s="2941">
        <v>23990</v>
      </c>
      <c r="E31" s="2941">
        <v>22930</v>
      </c>
      <c r="F31" s="2941">
        <v>7470</v>
      </c>
      <c r="G31" s="2954">
        <v>16790</v>
      </c>
      <c r="L31" s="2941" t="s">
        <v>2966</v>
      </c>
      <c r="M31" s="2941" t="s">
        <v>2967</v>
      </c>
      <c r="N31" s="2941" t="s">
        <v>2968</v>
      </c>
      <c r="O31" s="2941" t="s">
        <v>2969</v>
      </c>
      <c r="P31" s="2941" t="s">
        <v>2970</v>
      </c>
      <c r="Q31" s="2941" t="s">
        <v>2971</v>
      </c>
      <c r="R31" s="2941" t="s">
        <v>2972</v>
      </c>
    </row>
    <row r="32" spans="1:19" ht="14.25" customHeight="1" thickBot="1">
      <c r="A32" s="2941" t="s">
        <v>296</v>
      </c>
      <c r="B32" s="2942" t="s">
        <v>138</v>
      </c>
      <c r="C32" s="2941">
        <v>27210</v>
      </c>
      <c r="D32" s="2941">
        <v>23240</v>
      </c>
      <c r="E32" s="2941">
        <v>23260</v>
      </c>
      <c r="F32" s="2941">
        <v>7130</v>
      </c>
      <c r="G32" s="2954">
        <v>16270</v>
      </c>
      <c r="L32" s="2941" t="s">
        <v>2973</v>
      </c>
      <c r="M32" s="2941" t="s">
        <v>2974</v>
      </c>
      <c r="N32" s="2941" t="s">
        <v>300</v>
      </c>
      <c r="O32" s="2941" t="s">
        <v>2975</v>
      </c>
      <c r="P32" s="2941" t="s">
        <v>299</v>
      </c>
      <c r="Q32" s="2941" t="s">
        <v>2976</v>
      </c>
      <c r="R32" s="2948" t="s">
        <v>2977</v>
      </c>
    </row>
    <row r="33" spans="1:17" ht="14.25" customHeight="1" thickBot="1">
      <c r="A33" s="2941" t="s">
        <v>296</v>
      </c>
      <c r="B33" s="2942" t="s">
        <v>147</v>
      </c>
      <c r="C33" s="2941">
        <v>27300</v>
      </c>
      <c r="D33" s="2941">
        <v>22980</v>
      </c>
      <c r="E33" s="2941">
        <v>24260</v>
      </c>
      <c r="F33" s="2941">
        <v>5860</v>
      </c>
      <c r="G33" s="2954">
        <v>16090</v>
      </c>
      <c r="L33" s="2948" t="s">
        <v>2978</v>
      </c>
      <c r="M33" s="2941" t="s">
        <v>2979</v>
      </c>
      <c r="N33" s="2941" t="s">
        <v>301</v>
      </c>
      <c r="O33" s="2941" t="s">
        <v>2980</v>
      </c>
      <c r="P33" s="2941" t="s">
        <v>2981</v>
      </c>
      <c r="Q33" s="2941" t="s">
        <v>2982</v>
      </c>
    </row>
    <row r="34" spans="1:17" ht="14.25" customHeight="1">
      <c r="A34" s="2941" t="s">
        <v>296</v>
      </c>
      <c r="B34" s="2942" t="s">
        <v>156</v>
      </c>
      <c r="C34" s="2941">
        <v>23090</v>
      </c>
      <c r="D34" s="2941">
        <v>23390</v>
      </c>
      <c r="E34" s="2941">
        <v>23510</v>
      </c>
      <c r="F34" s="2941">
        <v>6700</v>
      </c>
      <c r="G34" s="2954">
        <v>16370</v>
      </c>
      <c r="M34" s="2941" t="s">
        <v>2983</v>
      </c>
      <c r="N34" s="2941" t="s">
        <v>302</v>
      </c>
      <c r="O34" s="2941" t="s">
        <v>2984</v>
      </c>
      <c r="P34" s="2941" t="s">
        <v>2985</v>
      </c>
      <c r="Q34" s="2941" t="s">
        <v>2986</v>
      </c>
    </row>
    <row r="35" spans="1:17" ht="14.25" customHeight="1">
      <c r="A35" s="2941" t="s">
        <v>296</v>
      </c>
      <c r="B35" s="2942" t="s">
        <v>163</v>
      </c>
      <c r="C35" s="2941">
        <v>27270</v>
      </c>
      <c r="D35" s="2941">
        <v>24270</v>
      </c>
      <c r="E35" s="2941">
        <v>24950</v>
      </c>
      <c r="F35" s="2941">
        <v>6600</v>
      </c>
      <c r="G35" s="2954">
        <v>16990</v>
      </c>
      <c r="M35" s="2941" t="s">
        <v>2987</v>
      </c>
      <c r="N35" s="2941" t="s">
        <v>2988</v>
      </c>
      <c r="O35" s="2941" t="s">
        <v>2989</v>
      </c>
      <c r="P35" s="2941" t="s">
        <v>2990</v>
      </c>
      <c r="Q35" s="2941" t="s">
        <v>2991</v>
      </c>
    </row>
    <row r="36" spans="1:17" ht="14.25" customHeight="1">
      <c r="A36" s="2941" t="s">
        <v>296</v>
      </c>
      <c r="B36" s="2942" t="s">
        <v>169</v>
      </c>
      <c r="C36" s="2941">
        <v>23490</v>
      </c>
      <c r="D36" s="2941">
        <v>23020</v>
      </c>
      <c r="E36" s="2941">
        <v>25230</v>
      </c>
      <c r="F36" s="2941">
        <v>6780</v>
      </c>
      <c r="G36" s="2954">
        <v>16120</v>
      </c>
      <c r="M36" s="2941" t="s">
        <v>2992</v>
      </c>
      <c r="N36" s="2941" t="s">
        <v>2993</v>
      </c>
      <c r="O36" s="2941" t="s">
        <v>2994</v>
      </c>
      <c r="P36" s="2941" t="s">
        <v>2995</v>
      </c>
      <c r="Q36" s="2941" t="s">
        <v>2996</v>
      </c>
    </row>
    <row r="37" spans="1:17" ht="14.25" customHeight="1">
      <c r="A37" s="2941" t="s">
        <v>296</v>
      </c>
      <c r="B37" s="2942" t="s">
        <v>176</v>
      </c>
      <c r="C37" s="2941">
        <v>24380</v>
      </c>
      <c r="D37" s="2941">
        <v>22240</v>
      </c>
      <c r="E37" s="2941">
        <v>25980</v>
      </c>
      <c r="F37" s="2941">
        <v>8160</v>
      </c>
      <c r="G37" s="2954">
        <v>15570</v>
      </c>
      <c r="M37" s="2941" t="s">
        <v>2997</v>
      </c>
      <c r="N37" s="2941" t="s">
        <v>2998</v>
      </c>
      <c r="O37" s="2941" t="s">
        <v>2999</v>
      </c>
      <c r="P37" s="2941" t="s">
        <v>3000</v>
      </c>
      <c r="Q37" s="2941" t="s">
        <v>3001</v>
      </c>
    </row>
    <row r="38" spans="1:17" ht="14.25" customHeight="1">
      <c r="A38" s="2941" t="s">
        <v>296</v>
      </c>
      <c r="B38" s="2942" t="s">
        <v>186</v>
      </c>
      <c r="C38" s="2941">
        <v>23120</v>
      </c>
      <c r="D38" s="2941">
        <v>24630</v>
      </c>
      <c r="E38" s="2941">
        <v>25030</v>
      </c>
      <c r="F38" s="2941">
        <v>7710</v>
      </c>
      <c r="G38" s="2954">
        <v>17240</v>
      </c>
      <c r="M38" s="2941" t="s">
        <v>3002</v>
      </c>
      <c r="N38" s="2941" t="s">
        <v>3003</v>
      </c>
      <c r="O38" s="2941" t="s">
        <v>3004</v>
      </c>
      <c r="P38" s="2941" t="s">
        <v>3005</v>
      </c>
      <c r="Q38" s="2941" t="s">
        <v>3006</v>
      </c>
    </row>
    <row r="39" spans="1:17" ht="14.25" customHeight="1">
      <c r="A39" s="2941" t="s">
        <v>296</v>
      </c>
      <c r="B39" s="2942" t="s">
        <v>195</v>
      </c>
      <c r="C39" s="2941">
        <v>22330</v>
      </c>
      <c r="D39" s="2941">
        <v>21140</v>
      </c>
      <c r="E39" s="2941">
        <v>23970</v>
      </c>
      <c r="F39" s="2941">
        <v>7940</v>
      </c>
      <c r="G39" s="2954">
        <v>14790</v>
      </c>
      <c r="M39" s="2941" t="s">
        <v>3007</v>
      </c>
      <c r="N39" s="2941" t="s">
        <v>3008</v>
      </c>
      <c r="O39" s="2941" t="s">
        <v>3009</v>
      </c>
      <c r="P39" s="2941" t="s">
        <v>3010</v>
      </c>
      <c r="Q39" s="2941" t="s">
        <v>3011</v>
      </c>
    </row>
    <row r="40" spans="1:17" ht="14.25" customHeight="1">
      <c r="A40" s="2941" t="s">
        <v>296</v>
      </c>
      <c r="B40" s="2942" t="s">
        <v>202</v>
      </c>
      <c r="C40" s="2941">
        <v>24740</v>
      </c>
      <c r="D40" s="2941">
        <v>24690</v>
      </c>
      <c r="E40" s="2941">
        <v>22610</v>
      </c>
      <c r="F40" s="2941"/>
      <c r="G40" s="2954">
        <v>17280</v>
      </c>
      <c r="M40" s="2941" t="s">
        <v>3012</v>
      </c>
      <c r="N40" s="2941" t="s">
        <v>3013</v>
      </c>
      <c r="O40" s="2941" t="s">
        <v>3014</v>
      </c>
      <c r="P40" s="2941" t="s">
        <v>3015</v>
      </c>
      <c r="Q40" s="2941" t="s">
        <v>3016</v>
      </c>
    </row>
    <row r="41" spans="1:17" ht="14.25" customHeight="1" thickBot="1">
      <c r="A41" s="2941" t="s">
        <v>296</v>
      </c>
      <c r="B41" s="2942" t="s">
        <v>209</v>
      </c>
      <c r="C41" s="2941">
        <v>21220</v>
      </c>
      <c r="D41" s="2941">
        <v>21120</v>
      </c>
      <c r="E41" s="2941">
        <v>22590</v>
      </c>
      <c r="F41" s="2941"/>
      <c r="G41" s="2954">
        <v>14780</v>
      </c>
      <c r="M41" s="2948" t="s">
        <v>3017</v>
      </c>
      <c r="N41" s="2941" t="s">
        <v>3018</v>
      </c>
      <c r="O41" s="2941" t="s">
        <v>3019</v>
      </c>
      <c r="P41" s="2941" t="s">
        <v>3020</v>
      </c>
      <c r="Q41" s="2941" t="s">
        <v>3021</v>
      </c>
    </row>
    <row r="42" spans="1:17" ht="14.25" customHeight="1">
      <c r="A42" s="2941" t="s">
        <v>296</v>
      </c>
      <c r="B42" s="2942" t="s">
        <v>215</v>
      </c>
      <c r="C42" s="2941">
        <v>24800</v>
      </c>
      <c r="D42" s="2941">
        <v>22280</v>
      </c>
      <c r="E42" s="2941">
        <v>24350</v>
      </c>
      <c r="F42" s="2941"/>
      <c r="G42" s="2954">
        <v>15590</v>
      </c>
      <c r="N42" s="2941" t="s">
        <v>3022</v>
      </c>
      <c r="O42" s="2941" t="s">
        <v>3023</v>
      </c>
      <c r="P42" s="2941" t="s">
        <v>3024</v>
      </c>
      <c r="Q42" s="2941" t="s">
        <v>3025</v>
      </c>
    </row>
    <row r="43" spans="1:17" ht="14.25" customHeight="1">
      <c r="A43" s="2941" t="s">
        <v>3026</v>
      </c>
      <c r="B43" s="2942" t="s">
        <v>223</v>
      </c>
      <c r="C43" s="2941">
        <v>21210</v>
      </c>
      <c r="D43" s="2941">
        <v>21160</v>
      </c>
      <c r="E43" s="2941">
        <v>22650</v>
      </c>
      <c r="F43" s="2941"/>
      <c r="G43" s="2954">
        <v>14800</v>
      </c>
      <c r="N43" s="2941" t="s">
        <v>3027</v>
      </c>
      <c r="O43" s="2941" t="s">
        <v>3028</v>
      </c>
      <c r="P43" s="2941" t="s">
        <v>3029</v>
      </c>
      <c r="Q43" s="2941" t="s">
        <v>3030</v>
      </c>
    </row>
    <row r="44" spans="1:17" ht="14.25" customHeight="1" thickBot="1">
      <c r="A44" s="2941" t="s">
        <v>296</v>
      </c>
      <c r="B44" s="2942" t="s">
        <v>231</v>
      </c>
      <c r="C44" s="2941">
        <v>22370</v>
      </c>
      <c r="D44" s="2941">
        <v>23140</v>
      </c>
      <c r="E44" s="2941">
        <v>25090</v>
      </c>
      <c r="F44" s="2941"/>
      <c r="G44" s="2954">
        <v>16190</v>
      </c>
      <c r="N44" s="2941" t="s">
        <v>3031</v>
      </c>
      <c r="O44" s="2941" t="s">
        <v>3032</v>
      </c>
      <c r="P44" s="2948" t="s">
        <v>3033</v>
      </c>
      <c r="Q44" s="2941" t="s">
        <v>3034</v>
      </c>
    </row>
    <row r="45" spans="1:17" ht="14.25" customHeight="1" thickBot="1">
      <c r="A45" s="2941" t="s">
        <v>296</v>
      </c>
      <c r="B45" s="2942" t="s">
        <v>236</v>
      </c>
      <c r="C45" s="2941">
        <v>21240</v>
      </c>
      <c r="D45" s="2941">
        <v>27050</v>
      </c>
      <c r="E45" s="2941">
        <v>28000</v>
      </c>
      <c r="F45" s="2941"/>
      <c r="G45" s="2954">
        <v>18940</v>
      </c>
      <c r="N45" s="2941" t="s">
        <v>3035</v>
      </c>
      <c r="O45" s="2948" t="s">
        <v>3036</v>
      </c>
      <c r="Q45" s="2941" t="s">
        <v>3037</v>
      </c>
    </row>
    <row r="46" spans="1:17" ht="14.25" customHeight="1">
      <c r="A46" s="2941" t="s">
        <v>296</v>
      </c>
      <c r="B46" s="2942" t="s">
        <v>245</v>
      </c>
      <c r="C46" s="2941">
        <v>23240</v>
      </c>
      <c r="D46" s="2941">
        <v>23000</v>
      </c>
      <c r="E46" s="2941">
        <v>24980</v>
      </c>
      <c r="F46" s="2941"/>
      <c r="G46" s="2954">
        <v>16100</v>
      </c>
      <c r="N46" s="2941" t="s">
        <v>3038</v>
      </c>
      <c r="Q46" s="2941" t="s">
        <v>3039</v>
      </c>
    </row>
    <row r="47" spans="1:17" ht="14.25" customHeight="1">
      <c r="A47" s="2941" t="s">
        <v>296</v>
      </c>
      <c r="B47" s="2942" t="s">
        <v>252</v>
      </c>
      <c r="C47" s="2941">
        <v>27150</v>
      </c>
      <c r="D47" s="2941">
        <v>23310</v>
      </c>
      <c r="E47" s="2941">
        <v>25150</v>
      </c>
      <c r="F47" s="2941"/>
      <c r="G47" s="2954">
        <v>16310</v>
      </c>
      <c r="N47" s="2941" t="s">
        <v>3040</v>
      </c>
      <c r="Q47" s="2941" t="s">
        <v>3041</v>
      </c>
    </row>
    <row r="48" spans="1:17" ht="14.25" customHeight="1">
      <c r="A48" s="2941" t="s">
        <v>296</v>
      </c>
      <c r="B48" s="2942" t="s">
        <v>260</v>
      </c>
      <c r="C48" s="2941">
        <v>23100</v>
      </c>
      <c r="D48" s="2941">
        <v>21110</v>
      </c>
      <c r="E48" s="2941">
        <v>23080</v>
      </c>
      <c r="F48" s="2941"/>
      <c r="G48" s="2954">
        <v>14780</v>
      </c>
      <c r="N48" s="2941" t="s">
        <v>3042</v>
      </c>
      <c r="Q48" s="2941" t="s">
        <v>3043</v>
      </c>
    </row>
    <row r="49" spans="1:17" ht="14.25" customHeight="1">
      <c r="A49" s="2941" t="s">
        <v>296</v>
      </c>
      <c r="B49" s="2942" t="s">
        <v>267</v>
      </c>
      <c r="C49" s="2941">
        <v>23400</v>
      </c>
      <c r="D49" s="2941">
        <v>22920</v>
      </c>
      <c r="E49" s="2941">
        <v>24900</v>
      </c>
      <c r="F49" s="2941"/>
      <c r="G49" s="2954">
        <v>16040</v>
      </c>
      <c r="N49" s="2941" t="s">
        <v>3044</v>
      </c>
      <c r="Q49" s="2941" t="s">
        <v>3045</v>
      </c>
    </row>
    <row r="50" spans="1:17" ht="14.25" customHeight="1">
      <c r="A50" s="2941" t="s">
        <v>296</v>
      </c>
      <c r="B50" s="2942" t="s">
        <v>2922</v>
      </c>
      <c r="C50" s="2941">
        <v>21200</v>
      </c>
      <c r="D50" s="2941">
        <v>26540</v>
      </c>
      <c r="E50" s="2941">
        <v>23200</v>
      </c>
      <c r="F50" s="2941"/>
      <c r="G50" s="2954">
        <v>18580</v>
      </c>
      <c r="N50" s="2941" t="s">
        <v>3046</v>
      </c>
      <c r="Q50" s="2942" t="s">
        <v>3047</v>
      </c>
    </row>
    <row r="51" spans="1:17" ht="14.25" customHeight="1" thickBot="1">
      <c r="A51" s="2941" t="s">
        <v>296</v>
      </c>
      <c r="B51" s="2942" t="s">
        <v>2924</v>
      </c>
      <c r="C51" s="2941">
        <v>23000</v>
      </c>
      <c r="D51" s="2941">
        <v>23460</v>
      </c>
      <c r="E51" s="2941">
        <v>25290</v>
      </c>
      <c r="F51" s="2941"/>
      <c r="G51" s="2954">
        <v>16420</v>
      </c>
      <c r="N51" s="2941" t="s">
        <v>3048</v>
      </c>
      <c r="Q51" s="2948" t="s">
        <v>3049</v>
      </c>
    </row>
    <row r="52" spans="1:17" ht="14.25" customHeight="1">
      <c r="A52" s="2941" t="s">
        <v>296</v>
      </c>
      <c r="B52" s="2942" t="s">
        <v>2928</v>
      </c>
      <c r="C52" s="2941">
        <v>26660</v>
      </c>
      <c r="D52" s="2941">
        <v>22350</v>
      </c>
      <c r="E52" s="2941">
        <v>22920</v>
      </c>
      <c r="F52" s="2941"/>
      <c r="G52" s="2954">
        <v>15640</v>
      </c>
      <c r="N52" s="2941" t="s">
        <v>3050</v>
      </c>
    </row>
    <row r="53" spans="1:17" ht="14.25" customHeight="1">
      <c r="A53" s="2941" t="s">
        <v>296</v>
      </c>
      <c r="B53" s="2942" t="s">
        <v>2933</v>
      </c>
      <c r="C53" s="2941">
        <v>23580</v>
      </c>
      <c r="D53" s="2941"/>
      <c r="E53" s="2941">
        <v>24280</v>
      </c>
      <c r="F53" s="2941"/>
      <c r="G53" s="2954"/>
      <c r="N53" s="2941" t="s">
        <v>3051</v>
      </c>
    </row>
    <row r="54" spans="1:17" ht="14.25" customHeight="1" thickBot="1">
      <c r="A54" s="2955" t="s">
        <v>296</v>
      </c>
      <c r="B54" s="2947" t="s">
        <v>2936</v>
      </c>
      <c r="C54" s="2948">
        <v>22460</v>
      </c>
      <c r="D54" s="2948"/>
      <c r="E54" s="2948"/>
      <c r="F54" s="2948"/>
      <c r="G54" s="2956"/>
      <c r="N54" s="2941" t="s">
        <v>3052</v>
      </c>
    </row>
    <row r="55" spans="1:17" ht="14.25" customHeight="1">
      <c r="A55" s="2946" t="s">
        <v>110</v>
      </c>
      <c r="B55" s="2937" t="s">
        <v>3053</v>
      </c>
      <c r="C55" s="2941">
        <v>21970</v>
      </c>
      <c r="D55" s="2941">
        <v>20370</v>
      </c>
      <c r="E55" s="2941">
        <v>20180</v>
      </c>
      <c r="F55" s="2941">
        <v>5730</v>
      </c>
      <c r="G55" s="2941">
        <v>13820</v>
      </c>
      <c r="N55" s="2941" t="s">
        <v>3054</v>
      </c>
    </row>
    <row r="56" spans="1:17" ht="14.25" customHeight="1">
      <c r="A56" s="2941" t="s">
        <v>110</v>
      </c>
      <c r="B56" s="2941" t="s">
        <v>130</v>
      </c>
      <c r="C56" s="2941">
        <v>20470</v>
      </c>
      <c r="D56" s="2941">
        <v>20700</v>
      </c>
      <c r="E56" s="2941">
        <v>20380</v>
      </c>
      <c r="F56" s="2941">
        <v>4760</v>
      </c>
      <c r="G56" s="2941">
        <v>14050</v>
      </c>
      <c r="N56" s="2941" t="s">
        <v>3055</v>
      </c>
    </row>
    <row r="57" spans="1:17" ht="14.25" customHeight="1">
      <c r="A57" s="2941" t="s">
        <v>110</v>
      </c>
      <c r="B57" s="2941" t="s">
        <v>139</v>
      </c>
      <c r="C57" s="2941">
        <v>20790</v>
      </c>
      <c r="D57" s="2941">
        <v>21370</v>
      </c>
      <c r="E57" s="2941">
        <v>20890</v>
      </c>
      <c r="F57" s="2941">
        <v>4910</v>
      </c>
      <c r="G57" s="2941">
        <v>14510</v>
      </c>
      <c r="N57" s="2941" t="s">
        <v>3056</v>
      </c>
    </row>
    <row r="58" spans="1:17" ht="14.25" customHeight="1">
      <c r="A58" s="2941" t="s">
        <v>110</v>
      </c>
      <c r="B58" s="2941" t="s">
        <v>148</v>
      </c>
      <c r="C58" s="2941">
        <v>21460</v>
      </c>
      <c r="D58" s="2941">
        <v>20920</v>
      </c>
      <c r="E58" s="2941">
        <v>23410</v>
      </c>
      <c r="F58" s="2941">
        <v>5100</v>
      </c>
      <c r="G58" s="2941">
        <v>14200</v>
      </c>
      <c r="N58" s="2941" t="s">
        <v>3057</v>
      </c>
    </row>
    <row r="59" spans="1:17" ht="14.25" customHeight="1">
      <c r="A59" s="2941" t="s">
        <v>110</v>
      </c>
      <c r="B59" s="2941" t="s">
        <v>157</v>
      </c>
      <c r="C59" s="2941">
        <v>21000</v>
      </c>
      <c r="D59" s="2941">
        <v>21550</v>
      </c>
      <c r="E59" s="2941">
        <v>21150</v>
      </c>
      <c r="F59" s="2941">
        <v>5250</v>
      </c>
      <c r="G59" s="2941">
        <v>14630</v>
      </c>
      <c r="N59" s="2941" t="s">
        <v>3058</v>
      </c>
    </row>
    <row r="60" spans="1:17" ht="14.25" customHeight="1">
      <c r="A60" s="2941" t="s">
        <v>110</v>
      </c>
      <c r="B60" s="2941" t="s">
        <v>164</v>
      </c>
      <c r="C60" s="2941">
        <v>21640</v>
      </c>
      <c r="D60" s="2941">
        <v>21260</v>
      </c>
      <c r="E60" s="2941">
        <v>24040</v>
      </c>
      <c r="F60" s="2941">
        <v>4470</v>
      </c>
      <c r="G60" s="2941">
        <v>14430</v>
      </c>
      <c r="N60" s="2941" t="s">
        <v>3059</v>
      </c>
    </row>
    <row r="61" spans="1:17" ht="14.25" customHeight="1">
      <c r="A61" s="2941" t="s">
        <v>110</v>
      </c>
      <c r="B61" s="2941" t="s">
        <v>170</v>
      </c>
      <c r="C61" s="2941">
        <v>21330</v>
      </c>
      <c r="D61" s="2941">
        <v>18640</v>
      </c>
      <c r="E61" s="2941">
        <v>21190</v>
      </c>
      <c r="F61" s="2941">
        <v>4180</v>
      </c>
      <c r="G61" s="2941">
        <v>12650</v>
      </c>
      <c r="N61" s="2941" t="s">
        <v>3060</v>
      </c>
    </row>
    <row r="62" spans="1:17" ht="14.25" customHeight="1">
      <c r="A62" s="2941" t="s">
        <v>110</v>
      </c>
      <c r="B62" s="2941" t="s">
        <v>177</v>
      </c>
      <c r="C62" s="2941">
        <v>18710</v>
      </c>
      <c r="D62" s="2941">
        <v>19400</v>
      </c>
      <c r="E62" s="2941">
        <v>23750</v>
      </c>
      <c r="F62" s="2941">
        <v>4860</v>
      </c>
      <c r="G62" s="2941">
        <v>13170</v>
      </c>
      <c r="N62" s="2941" t="s">
        <v>3061</v>
      </c>
    </row>
    <row r="63" spans="1:17" ht="14.25" customHeight="1">
      <c r="A63" s="2941" t="s">
        <v>110</v>
      </c>
      <c r="B63" s="2941" t="s">
        <v>187</v>
      </c>
      <c r="C63" s="2941">
        <v>19480</v>
      </c>
      <c r="D63" s="2941">
        <v>16830</v>
      </c>
      <c r="E63" s="2941">
        <v>21590</v>
      </c>
      <c r="F63" s="2941">
        <v>4560</v>
      </c>
      <c r="G63" s="2941">
        <v>11420</v>
      </c>
      <c r="N63" s="2941" t="s">
        <v>3062</v>
      </c>
    </row>
    <row r="64" spans="1:17" ht="14.25" customHeight="1" thickBot="1">
      <c r="A64" s="2941" t="s">
        <v>110</v>
      </c>
      <c r="B64" s="2941" t="s">
        <v>196</v>
      </c>
      <c r="C64" s="2941">
        <v>16920</v>
      </c>
      <c r="D64" s="2941">
        <v>19190</v>
      </c>
      <c r="E64" s="2941">
        <v>22200</v>
      </c>
      <c r="F64" s="2941">
        <v>4390</v>
      </c>
      <c r="G64" s="2941">
        <v>13030</v>
      </c>
      <c r="N64" s="2948" t="s">
        <v>3063</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2934</v>
      </c>
      <c r="C78" s="2941">
        <v>19820</v>
      </c>
      <c r="D78" s="2941">
        <v>19780</v>
      </c>
      <c r="E78" s="2941">
        <v>18560</v>
      </c>
      <c r="F78" s="2941"/>
      <c r="G78" s="2941">
        <v>13430</v>
      </c>
    </row>
    <row r="79" spans="1:7" s="2775" customFormat="1" ht="14.25" customHeight="1">
      <c r="A79" s="2941" t="s">
        <v>110</v>
      </c>
      <c r="B79" s="2941" t="s">
        <v>2937</v>
      </c>
      <c r="C79" s="2941">
        <v>21660</v>
      </c>
      <c r="D79" s="2941">
        <v>18000</v>
      </c>
      <c r="E79" s="2941">
        <v>22570</v>
      </c>
      <c r="F79" s="2941"/>
      <c r="G79" s="2941">
        <v>12220</v>
      </c>
    </row>
    <row r="80" spans="1:7" s="2775" customFormat="1" ht="14.25" customHeight="1">
      <c r="A80" s="2941" t="s">
        <v>110</v>
      </c>
      <c r="B80" s="2941" t="s">
        <v>2941</v>
      </c>
      <c r="C80" s="2941">
        <v>19850</v>
      </c>
      <c r="D80" s="2941"/>
      <c r="E80" s="2941">
        <v>21700</v>
      </c>
      <c r="F80" s="2941"/>
      <c r="G80" s="2941"/>
    </row>
    <row r="81" spans="1:7" s="2775" customFormat="1" ht="14.25" customHeight="1">
      <c r="A81" s="2941" t="s">
        <v>110</v>
      </c>
      <c r="B81" s="2941" t="s">
        <v>2946</v>
      </c>
      <c r="C81" s="2941">
        <v>18080</v>
      </c>
      <c r="D81" s="2941"/>
      <c r="E81" s="2941">
        <v>20900</v>
      </c>
      <c r="F81" s="2941"/>
      <c r="G81" s="2941"/>
    </row>
    <row r="82" spans="1:7" s="2775" customFormat="1" ht="14.25" customHeight="1">
      <c r="A82" s="2941" t="s">
        <v>110</v>
      </c>
      <c r="B82" s="2941" t="s">
        <v>2953</v>
      </c>
      <c r="C82" s="2941"/>
      <c r="D82" s="2941"/>
      <c r="E82" s="2941">
        <v>20840</v>
      </c>
      <c r="F82" s="2941"/>
      <c r="G82" s="2941"/>
    </row>
    <row r="83" spans="1:7" s="2775" customFormat="1" ht="14.25" customHeight="1">
      <c r="A83" s="2941" t="s">
        <v>110</v>
      </c>
      <c r="B83" s="2941" t="s">
        <v>3064</v>
      </c>
      <c r="C83" s="2941"/>
      <c r="D83" s="2941"/>
      <c r="E83" s="2941"/>
      <c r="F83" s="2941">
        <v>4770</v>
      </c>
      <c r="G83" s="2941"/>
    </row>
    <row r="84" spans="1:7" s="2775" customFormat="1" ht="14.25" customHeight="1">
      <c r="A84" s="2941" t="s">
        <v>110</v>
      </c>
      <c r="B84" s="2941" t="s">
        <v>3065</v>
      </c>
      <c r="C84" s="2941"/>
      <c r="D84" s="2941"/>
      <c r="E84" s="2941"/>
      <c r="F84" s="2941">
        <v>4600</v>
      </c>
      <c r="G84" s="2941"/>
    </row>
    <row r="85" spans="1:7" s="2775" customFormat="1" ht="14.25" customHeight="1">
      <c r="A85" s="2941" t="s">
        <v>110</v>
      </c>
      <c r="B85" s="2941" t="s">
        <v>3066</v>
      </c>
      <c r="C85" s="2941"/>
      <c r="D85" s="2941"/>
      <c r="E85" s="2941"/>
      <c r="F85" s="2941">
        <v>4680</v>
      </c>
      <c r="G85" s="2941"/>
    </row>
    <row r="86" spans="1:7" s="2775" customFormat="1" ht="14.25" customHeight="1" thickBot="1">
      <c r="A86" s="2949" t="s">
        <v>110</v>
      </c>
      <c r="B86" s="2951" t="s">
        <v>3067</v>
      </c>
      <c r="C86" s="2952">
        <v>16610</v>
      </c>
      <c r="D86" s="2952">
        <v>16540</v>
      </c>
      <c r="E86" s="2952">
        <v>18850</v>
      </c>
      <c r="F86" s="2952"/>
      <c r="G86" s="2952">
        <v>11220</v>
      </c>
    </row>
    <row r="87" spans="1:7" s="2775" customFormat="1" ht="14.25" customHeight="1">
      <c r="A87" s="2946" t="s">
        <v>303</v>
      </c>
      <c r="B87" s="2937" t="s">
        <v>3068</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2947</v>
      </c>
      <c r="C113" s="2941">
        <v>15520</v>
      </c>
      <c r="D113" s="2941">
        <v>15450</v>
      </c>
      <c r="E113" s="2941"/>
      <c r="F113" s="2941"/>
      <c r="G113" s="2954">
        <v>10210</v>
      </c>
    </row>
    <row r="114" spans="1:7" s="2775" customFormat="1" ht="14.25" customHeight="1">
      <c r="A114" s="2941" t="s">
        <v>303</v>
      </c>
      <c r="B114" s="2941" t="s">
        <v>2954</v>
      </c>
      <c r="C114" s="2941">
        <v>13110</v>
      </c>
      <c r="D114" s="2941">
        <v>13050</v>
      </c>
      <c r="E114" s="2941"/>
      <c r="F114" s="2941"/>
      <c r="G114" s="2954">
        <v>8620</v>
      </c>
    </row>
    <row r="115" spans="1:7" s="2775" customFormat="1" ht="14.25" customHeight="1">
      <c r="A115" s="2941" t="s">
        <v>303</v>
      </c>
      <c r="B115" s="2941" t="s">
        <v>2960</v>
      </c>
      <c r="C115" s="2941">
        <v>12460</v>
      </c>
      <c r="D115" s="2941">
        <v>12390</v>
      </c>
      <c r="E115" s="2941"/>
      <c r="F115" s="2941"/>
      <c r="G115" s="2954">
        <v>8190</v>
      </c>
    </row>
    <row r="116" spans="1:7" s="2775" customFormat="1" ht="14.25" customHeight="1">
      <c r="A116" s="2941" t="s">
        <v>303</v>
      </c>
      <c r="B116" s="2941" t="s">
        <v>2967</v>
      </c>
      <c r="C116" s="2941">
        <v>13580</v>
      </c>
      <c r="D116" s="2941">
        <v>13520</v>
      </c>
      <c r="E116" s="2941"/>
      <c r="F116" s="2941"/>
      <c r="G116" s="2954">
        <v>8930</v>
      </c>
    </row>
    <row r="117" spans="1:7" s="2775" customFormat="1" ht="14.25" customHeight="1">
      <c r="A117" s="2941" t="s">
        <v>303</v>
      </c>
      <c r="B117" s="2941" t="s">
        <v>2974</v>
      </c>
      <c r="C117" s="2941">
        <v>17120</v>
      </c>
      <c r="D117" s="2941">
        <v>17040</v>
      </c>
      <c r="E117" s="2941"/>
      <c r="F117" s="2941"/>
      <c r="G117" s="2954">
        <v>11260</v>
      </c>
    </row>
    <row r="118" spans="1:7" s="2775" customFormat="1" ht="14.25" customHeight="1">
      <c r="A118" s="2941" t="s">
        <v>303</v>
      </c>
      <c r="B118" s="2941" t="s">
        <v>2979</v>
      </c>
      <c r="C118" s="2941">
        <v>14860</v>
      </c>
      <c r="D118" s="2941">
        <v>14790</v>
      </c>
      <c r="E118" s="2941"/>
      <c r="F118" s="2941"/>
      <c r="G118" s="2954">
        <v>9780</v>
      </c>
    </row>
    <row r="119" spans="1:7" s="2775" customFormat="1" ht="14.25" customHeight="1">
      <c r="A119" s="2941" t="s">
        <v>303</v>
      </c>
      <c r="B119" s="2941" t="s">
        <v>2983</v>
      </c>
      <c r="C119" s="2941">
        <v>16470</v>
      </c>
      <c r="D119" s="2941">
        <v>16400</v>
      </c>
      <c r="E119" s="2941"/>
      <c r="F119" s="2941"/>
      <c r="G119" s="2954">
        <v>10840</v>
      </c>
    </row>
    <row r="120" spans="1:7" s="2775" customFormat="1" ht="14.25" customHeight="1">
      <c r="A120" s="2941" t="s">
        <v>303</v>
      </c>
      <c r="B120" s="2941" t="s">
        <v>3069</v>
      </c>
      <c r="C120" s="2941"/>
      <c r="D120" s="2941"/>
      <c r="E120" s="2941"/>
      <c r="F120" s="2941">
        <v>4160</v>
      </c>
      <c r="G120" s="2954"/>
    </row>
    <row r="121" spans="1:7" s="2775" customFormat="1" ht="14.25" customHeight="1">
      <c r="A121" s="2941" t="s">
        <v>303</v>
      </c>
      <c r="B121" s="2941" t="s">
        <v>3070</v>
      </c>
      <c r="C121" s="2941"/>
      <c r="D121" s="2941"/>
      <c r="E121" s="2941"/>
      <c r="F121" s="2941">
        <v>3880</v>
      </c>
      <c r="G121" s="2954"/>
    </row>
    <row r="122" spans="1:7" s="2775" customFormat="1" ht="14.25" customHeight="1">
      <c r="A122" s="2941" t="s">
        <v>303</v>
      </c>
      <c r="B122" s="2941" t="s">
        <v>3071</v>
      </c>
      <c r="C122" s="2941">
        <v>13750</v>
      </c>
      <c r="D122" s="2941">
        <v>13680</v>
      </c>
      <c r="E122" s="2941">
        <v>16460</v>
      </c>
      <c r="F122" s="2941">
        <v>2880</v>
      </c>
      <c r="G122" s="2954">
        <v>9040</v>
      </c>
    </row>
    <row r="123" spans="1:7" s="2775" customFormat="1" ht="14.25" customHeight="1">
      <c r="A123" s="2941" t="s">
        <v>303</v>
      </c>
      <c r="B123" s="2941" t="s">
        <v>3002</v>
      </c>
      <c r="C123" s="2941">
        <v>13590</v>
      </c>
      <c r="D123" s="2941">
        <v>13520</v>
      </c>
      <c r="E123" s="2941">
        <v>16290</v>
      </c>
      <c r="F123" s="2941">
        <v>2790</v>
      </c>
      <c r="G123" s="2954">
        <v>8930</v>
      </c>
    </row>
    <row r="124" spans="1:7" s="2775" customFormat="1" ht="14.25" customHeight="1">
      <c r="A124" s="2941" t="s">
        <v>303</v>
      </c>
      <c r="B124" s="2941" t="s">
        <v>3007</v>
      </c>
      <c r="C124" s="2941">
        <v>13400</v>
      </c>
      <c r="D124" s="2941">
        <v>13320</v>
      </c>
      <c r="E124" s="2941">
        <v>16100</v>
      </c>
      <c r="F124" s="2941">
        <v>2320</v>
      </c>
      <c r="G124" s="2954">
        <v>8800</v>
      </c>
    </row>
    <row r="125" spans="1:7" s="2775" customFormat="1" ht="14.25" customHeight="1">
      <c r="A125" s="2941" t="s">
        <v>303</v>
      </c>
      <c r="B125" s="2941" t="s">
        <v>3012</v>
      </c>
      <c r="C125" s="2941">
        <v>12860</v>
      </c>
      <c r="D125" s="2941">
        <v>12790</v>
      </c>
      <c r="E125" s="2941">
        <v>15370</v>
      </c>
      <c r="F125" s="2941">
        <v>2280</v>
      </c>
      <c r="G125" s="2954">
        <v>8450</v>
      </c>
    </row>
    <row r="126" spans="1:7" s="2775" customFormat="1" ht="14.25" customHeight="1" thickBot="1">
      <c r="A126" s="2955" t="s">
        <v>303</v>
      </c>
      <c r="B126" s="2948" t="s">
        <v>3017</v>
      </c>
      <c r="C126" s="2948">
        <v>12960</v>
      </c>
      <c r="D126" s="2948">
        <v>12890</v>
      </c>
      <c r="E126" s="2948">
        <v>15530</v>
      </c>
      <c r="F126" s="2948">
        <v>2910</v>
      </c>
      <c r="G126" s="2956">
        <v>8520</v>
      </c>
    </row>
    <row r="127" spans="1:7" s="2775" customFormat="1" ht="14.25" customHeight="1">
      <c r="A127" s="2946" t="s">
        <v>29</v>
      </c>
      <c r="B127" s="2937" t="s">
        <v>3072</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3073</v>
      </c>
      <c r="C148" s="2941">
        <v>10370</v>
      </c>
      <c r="D148" s="2941">
        <v>10310</v>
      </c>
      <c r="E148" s="2941">
        <v>12970</v>
      </c>
      <c r="F148" s="2941"/>
      <c r="G148" s="2941">
        <v>6630</v>
      </c>
    </row>
    <row r="149" spans="1:7" s="2775" customFormat="1" ht="14.25" customHeight="1">
      <c r="A149" s="2941" t="s">
        <v>29</v>
      </c>
      <c r="B149" s="2941" t="s">
        <v>3074</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2948</v>
      </c>
      <c r="C153" s="2941">
        <v>10880</v>
      </c>
      <c r="D153" s="2941">
        <v>10820</v>
      </c>
      <c r="E153" s="2941">
        <v>13660</v>
      </c>
      <c r="F153" s="2941">
        <v>2260</v>
      </c>
      <c r="G153" s="2941">
        <v>6970</v>
      </c>
    </row>
    <row r="154" spans="1:7" s="2775" customFormat="1" ht="14.25" customHeight="1">
      <c r="A154" s="2941" t="s">
        <v>29</v>
      </c>
      <c r="B154" s="2941" t="s">
        <v>3075</v>
      </c>
      <c r="C154" s="2941">
        <v>11220</v>
      </c>
      <c r="D154" s="2941">
        <v>11160</v>
      </c>
      <c r="E154" s="2941">
        <v>14130</v>
      </c>
      <c r="F154" s="2941">
        <v>2230</v>
      </c>
      <c r="G154" s="2941">
        <v>7180</v>
      </c>
    </row>
    <row r="155" spans="1:7" s="2775" customFormat="1" ht="14.25" customHeight="1">
      <c r="A155" s="2941" t="s">
        <v>29</v>
      </c>
      <c r="B155" s="2941" t="s">
        <v>2961</v>
      </c>
      <c r="C155" s="2941">
        <v>10430</v>
      </c>
      <c r="D155" s="2941">
        <v>10380</v>
      </c>
      <c r="E155" s="2941">
        <v>13140</v>
      </c>
      <c r="F155" s="2941">
        <v>2080</v>
      </c>
      <c r="G155" s="2941">
        <v>6650</v>
      </c>
    </row>
    <row r="156" spans="1:7" s="2775" customFormat="1" ht="14.25" customHeight="1">
      <c r="A156" s="2941" t="s">
        <v>29</v>
      </c>
      <c r="B156" s="2941" t="s">
        <v>3076</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3077</v>
      </c>
      <c r="C160" s="2941">
        <v>11180</v>
      </c>
      <c r="D160" s="2941">
        <v>11140</v>
      </c>
      <c r="E160" s="2941">
        <v>14050</v>
      </c>
      <c r="F160" s="2941">
        <v>2270</v>
      </c>
      <c r="G160" s="2941">
        <v>7170</v>
      </c>
    </row>
    <row r="161" spans="1:7" s="2775" customFormat="1" ht="14.25" customHeight="1">
      <c r="A161" s="2941" t="s">
        <v>29</v>
      </c>
      <c r="B161" s="2941" t="s">
        <v>2993</v>
      </c>
      <c r="C161" s="2941">
        <v>11160</v>
      </c>
      <c r="D161" s="2941">
        <v>11120</v>
      </c>
      <c r="E161" s="2941">
        <v>14020</v>
      </c>
      <c r="F161" s="2941">
        <v>2150</v>
      </c>
      <c r="G161" s="2941">
        <v>7160</v>
      </c>
    </row>
    <row r="162" spans="1:7" s="2775" customFormat="1" ht="14.25" customHeight="1">
      <c r="A162" s="2941" t="s">
        <v>29</v>
      </c>
      <c r="B162" s="2941" t="s">
        <v>2998</v>
      </c>
      <c r="C162" s="2941">
        <v>9620</v>
      </c>
      <c r="D162" s="2941">
        <v>9570</v>
      </c>
      <c r="E162" s="2941">
        <v>12320</v>
      </c>
      <c r="F162" s="2941">
        <v>2010</v>
      </c>
      <c r="G162" s="2941">
        <v>6160</v>
      </c>
    </row>
    <row r="163" spans="1:7" s="2775" customFormat="1" ht="14.25" customHeight="1">
      <c r="A163" s="2941" t="s">
        <v>29</v>
      </c>
      <c r="B163" s="2941" t="s">
        <v>3003</v>
      </c>
      <c r="C163" s="2941">
        <v>9320</v>
      </c>
      <c r="D163" s="2941">
        <v>9270</v>
      </c>
      <c r="E163" s="2941">
        <v>11790</v>
      </c>
      <c r="F163" s="2941">
        <v>1920</v>
      </c>
      <c r="G163" s="2941">
        <v>5960</v>
      </c>
    </row>
    <row r="164" spans="1:7" s="2775" customFormat="1" ht="14.25" customHeight="1">
      <c r="A164" s="2941" t="s">
        <v>29</v>
      </c>
      <c r="B164" s="2941" t="s">
        <v>3008</v>
      </c>
      <c r="C164" s="2941"/>
      <c r="D164" s="2941"/>
      <c r="E164" s="2941"/>
      <c r="F164" s="2941">
        <v>1980</v>
      </c>
      <c r="G164" s="2941"/>
    </row>
    <row r="165" spans="1:7" s="2775" customFormat="1" ht="14.25" customHeight="1">
      <c r="A165" s="2941" t="s">
        <v>29</v>
      </c>
      <c r="B165" s="2941" t="s">
        <v>3078</v>
      </c>
      <c r="C165" s="2941">
        <v>11060</v>
      </c>
      <c r="D165" s="2941">
        <v>11030</v>
      </c>
      <c r="E165" s="2941">
        <v>13850</v>
      </c>
      <c r="F165" s="2941">
        <v>2170</v>
      </c>
      <c r="G165" s="2941">
        <v>7090</v>
      </c>
    </row>
    <row r="166" spans="1:7" s="2775" customFormat="1" ht="14.25" customHeight="1">
      <c r="A166" s="2941" t="s">
        <v>29</v>
      </c>
      <c r="B166" s="2941" t="s">
        <v>3018</v>
      </c>
      <c r="C166" s="2941">
        <v>11050</v>
      </c>
      <c r="D166" s="2941">
        <v>11010</v>
      </c>
      <c r="E166" s="2941">
        <v>13920</v>
      </c>
      <c r="F166" s="2941">
        <v>2140</v>
      </c>
      <c r="G166" s="2941">
        <v>7080</v>
      </c>
    </row>
    <row r="167" spans="1:7" s="2775" customFormat="1" ht="14.25" customHeight="1">
      <c r="A167" s="2941" t="s">
        <v>29</v>
      </c>
      <c r="B167" s="2941" t="s">
        <v>3022</v>
      </c>
      <c r="C167" s="2941">
        <v>10930</v>
      </c>
      <c r="D167" s="2941">
        <v>10890</v>
      </c>
      <c r="E167" s="2941">
        <v>13790</v>
      </c>
      <c r="F167" s="2941">
        <v>2010</v>
      </c>
      <c r="G167" s="2941">
        <v>7000</v>
      </c>
    </row>
    <row r="168" spans="1:7" s="2775" customFormat="1" ht="14.25" customHeight="1">
      <c r="A168" s="2941" t="s">
        <v>29</v>
      </c>
      <c r="B168" s="2941" t="s">
        <v>3027</v>
      </c>
      <c r="C168" s="2941">
        <v>9420</v>
      </c>
      <c r="D168" s="2941">
        <v>9380</v>
      </c>
      <c r="E168" s="2941">
        <v>11970</v>
      </c>
      <c r="F168" s="2941"/>
      <c r="G168" s="2941">
        <v>6040</v>
      </c>
    </row>
    <row r="169" spans="1:7" s="2775" customFormat="1" ht="14.25" customHeight="1">
      <c r="A169" s="2941" t="s">
        <v>29</v>
      </c>
      <c r="B169" s="2941" t="s">
        <v>3079</v>
      </c>
      <c r="C169" s="2941"/>
      <c r="D169" s="2941"/>
      <c r="E169" s="2941"/>
      <c r="F169" s="2941">
        <v>2880</v>
      </c>
      <c r="G169" s="2941"/>
    </row>
    <row r="170" spans="1:7" s="2775" customFormat="1" ht="14.25" customHeight="1">
      <c r="A170" s="2941" t="s">
        <v>29</v>
      </c>
      <c r="B170" s="2941" t="s">
        <v>3035</v>
      </c>
      <c r="C170" s="2941"/>
      <c r="D170" s="2941"/>
      <c r="E170" s="2941"/>
      <c r="F170" s="2941">
        <v>2880</v>
      </c>
      <c r="G170" s="2941"/>
    </row>
    <row r="171" spans="1:7" s="2775" customFormat="1" ht="14.25" customHeight="1">
      <c r="A171" s="2941" t="s">
        <v>29</v>
      </c>
      <c r="B171" s="2941" t="s">
        <v>3038</v>
      </c>
      <c r="C171" s="2941"/>
      <c r="D171" s="2941"/>
      <c r="E171" s="2941"/>
      <c r="F171" s="2941">
        <v>2880</v>
      </c>
      <c r="G171" s="2941"/>
    </row>
    <row r="172" spans="1:7" s="2775" customFormat="1" ht="14.25" customHeight="1">
      <c r="A172" s="2941" t="s">
        <v>29</v>
      </c>
      <c r="B172" s="2941" t="s">
        <v>3040</v>
      </c>
      <c r="C172" s="2941"/>
      <c r="D172" s="2941"/>
      <c r="E172" s="2941"/>
      <c r="F172" s="2941">
        <v>2880</v>
      </c>
      <c r="G172" s="2941"/>
    </row>
    <row r="173" spans="1:7" s="2775" customFormat="1" ht="14.25" customHeight="1">
      <c r="A173" s="2941" t="s">
        <v>29</v>
      </c>
      <c r="B173" s="2941" t="s">
        <v>3042</v>
      </c>
      <c r="C173" s="2941"/>
      <c r="D173" s="2941"/>
      <c r="E173" s="2941"/>
      <c r="F173" s="2941">
        <v>2150</v>
      </c>
      <c r="G173" s="2941"/>
    </row>
    <row r="174" spans="1:7" s="2775" customFormat="1" ht="14.25" customHeight="1">
      <c r="A174" s="2941" t="s">
        <v>29</v>
      </c>
      <c r="B174" s="2941" t="s">
        <v>3044</v>
      </c>
      <c r="C174" s="2941"/>
      <c r="D174" s="2941"/>
      <c r="E174" s="2941"/>
      <c r="F174" s="2941">
        <v>2030</v>
      </c>
      <c r="G174" s="2941"/>
    </row>
    <row r="175" spans="1:7" s="2775" customFormat="1" ht="14.25" customHeight="1">
      <c r="A175" s="2941" t="s">
        <v>29</v>
      </c>
      <c r="B175" s="2941" t="s">
        <v>3046</v>
      </c>
      <c r="C175" s="2941"/>
      <c r="D175" s="2941"/>
      <c r="E175" s="2941"/>
      <c r="F175" s="2941">
        <v>2780</v>
      </c>
      <c r="G175" s="2941"/>
    </row>
    <row r="176" spans="1:7" s="2775" customFormat="1" ht="14.25" customHeight="1">
      <c r="A176" s="2941" t="s">
        <v>29</v>
      </c>
      <c r="B176" s="2941" t="s">
        <v>3048</v>
      </c>
      <c r="C176" s="2941"/>
      <c r="D176" s="2941"/>
      <c r="E176" s="2941"/>
      <c r="F176" s="2941">
        <v>2780</v>
      </c>
      <c r="G176" s="2941"/>
    </row>
    <row r="177" spans="1:7" s="2775" customFormat="1" ht="14.25" customHeight="1">
      <c r="A177" s="2941" t="s">
        <v>29</v>
      </c>
      <c r="B177" s="2941" t="s">
        <v>3080</v>
      </c>
      <c r="C177" s="2941"/>
      <c r="D177" s="2941"/>
      <c r="E177" s="2941"/>
      <c r="F177" s="2941">
        <v>2780</v>
      </c>
      <c r="G177" s="2941"/>
    </row>
    <row r="178" spans="1:7" s="2775" customFormat="1" ht="14.25" customHeight="1">
      <c r="A178" s="2941" t="s">
        <v>29</v>
      </c>
      <c r="B178" s="2941" t="s">
        <v>3081</v>
      </c>
      <c r="C178" s="2941"/>
      <c r="D178" s="2941"/>
      <c r="E178" s="2941"/>
      <c r="F178" s="2941">
        <v>2060</v>
      </c>
      <c r="G178" s="2941"/>
    </row>
    <row r="179" spans="1:7" s="2775" customFormat="1" ht="14.25" customHeight="1">
      <c r="A179" s="2941" t="s">
        <v>29</v>
      </c>
      <c r="B179" s="2941" t="s">
        <v>3082</v>
      </c>
      <c r="C179" s="2941"/>
      <c r="D179" s="2941"/>
      <c r="E179" s="2941"/>
      <c r="F179" s="2941">
        <v>2120</v>
      </c>
      <c r="G179" s="2941"/>
    </row>
    <row r="180" spans="1:7" s="2775" customFormat="1" ht="14.25" customHeight="1">
      <c r="A180" s="2941" t="s">
        <v>29</v>
      </c>
      <c r="B180" s="2941" t="s">
        <v>3054</v>
      </c>
      <c r="C180" s="2941"/>
      <c r="D180" s="2941"/>
      <c r="E180" s="2941"/>
      <c r="F180" s="2941">
        <v>2340</v>
      </c>
      <c r="G180" s="2941"/>
    </row>
    <row r="181" spans="1:7" s="2775" customFormat="1" ht="14.25" customHeight="1">
      <c r="A181" s="2941" t="s">
        <v>29</v>
      </c>
      <c r="B181" s="2941" t="s">
        <v>3055</v>
      </c>
      <c r="C181" s="2941"/>
      <c r="D181" s="2941"/>
      <c r="E181" s="2941"/>
      <c r="F181" s="2941">
        <v>2340</v>
      </c>
      <c r="G181" s="2941"/>
    </row>
    <row r="182" spans="1:7" s="2775" customFormat="1" ht="14.25" customHeight="1">
      <c r="A182" s="2941" t="s">
        <v>29</v>
      </c>
      <c r="B182" s="2941" t="s">
        <v>3056</v>
      </c>
      <c r="C182" s="2941"/>
      <c r="D182" s="2941"/>
      <c r="E182" s="2941"/>
      <c r="F182" s="2941">
        <v>2340</v>
      </c>
      <c r="G182" s="2941"/>
    </row>
    <row r="183" spans="1:7" s="2775" customFormat="1" ht="14.25" customHeight="1">
      <c r="A183" s="2941" t="s">
        <v>29</v>
      </c>
      <c r="B183" s="2941" t="s">
        <v>3057</v>
      </c>
      <c r="C183" s="2941"/>
      <c r="D183" s="2941"/>
      <c r="E183" s="2941"/>
      <c r="F183" s="2941">
        <v>2340</v>
      </c>
      <c r="G183" s="2941"/>
    </row>
    <row r="184" spans="1:7" s="2775" customFormat="1" ht="14.25" customHeight="1">
      <c r="A184" s="2941" t="s">
        <v>29</v>
      </c>
      <c r="B184" s="2941" t="s">
        <v>3058</v>
      </c>
      <c r="C184" s="2941"/>
      <c r="D184" s="2941"/>
      <c r="E184" s="2941"/>
      <c r="F184" s="2941">
        <v>2340</v>
      </c>
      <c r="G184" s="2941"/>
    </row>
    <row r="185" spans="1:7" s="2775" customFormat="1" ht="14.25" customHeight="1">
      <c r="A185" s="2941" t="s">
        <v>29</v>
      </c>
      <c r="B185" s="2941" t="s">
        <v>3059</v>
      </c>
      <c r="C185" s="2941"/>
      <c r="D185" s="2941"/>
      <c r="E185" s="2941"/>
      <c r="F185" s="2941">
        <v>2530</v>
      </c>
      <c r="G185" s="2941"/>
    </row>
    <row r="186" spans="1:7" s="2775" customFormat="1" ht="14.25" customHeight="1">
      <c r="A186" s="2941" t="s">
        <v>29</v>
      </c>
      <c r="B186" s="2941" t="s">
        <v>3060</v>
      </c>
      <c r="C186" s="2941"/>
      <c r="D186" s="2941"/>
      <c r="E186" s="2941"/>
      <c r="F186" s="2941">
        <v>2550</v>
      </c>
      <c r="G186" s="2941"/>
    </row>
    <row r="187" spans="1:7" s="2775" customFormat="1" ht="14.25" customHeight="1">
      <c r="A187" s="2941" t="s">
        <v>29</v>
      </c>
      <c r="B187" s="2941" t="s">
        <v>3061</v>
      </c>
      <c r="C187" s="2941"/>
      <c r="D187" s="2941"/>
      <c r="E187" s="2941"/>
      <c r="F187" s="2941">
        <v>2070</v>
      </c>
      <c r="G187" s="2941"/>
    </row>
    <row r="188" spans="1:7" s="2775" customFormat="1" ht="14.25" customHeight="1">
      <c r="A188" s="2941" t="s">
        <v>29</v>
      </c>
      <c r="B188" s="2941" t="s">
        <v>3062</v>
      </c>
      <c r="C188" s="2941"/>
      <c r="D188" s="2941"/>
      <c r="E188" s="2941"/>
      <c r="F188" s="2941">
        <v>2340</v>
      </c>
      <c r="G188" s="2941"/>
    </row>
    <row r="189" spans="1:7" s="2775" customFormat="1" ht="14.25" customHeight="1" thickBot="1">
      <c r="A189" s="2949" t="s">
        <v>29</v>
      </c>
      <c r="B189" s="2952" t="s">
        <v>3063</v>
      </c>
      <c r="C189" s="2952"/>
      <c r="D189" s="2952"/>
      <c r="E189" s="2952"/>
      <c r="F189" s="2952">
        <v>2050</v>
      </c>
      <c r="G189" s="2952"/>
    </row>
    <row r="190" spans="1:7" s="2775" customFormat="1" ht="14.25" customHeight="1">
      <c r="A190" s="2946" t="s">
        <v>304</v>
      </c>
      <c r="B190" s="2937" t="s">
        <v>3083</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3084</v>
      </c>
      <c r="C199" s="2941">
        <v>8690</v>
      </c>
      <c r="D199" s="2941">
        <v>8630</v>
      </c>
      <c r="E199" s="2941">
        <v>11350</v>
      </c>
      <c r="F199" s="2941">
        <v>1600</v>
      </c>
      <c r="G199" s="2954">
        <v>5450</v>
      </c>
    </row>
    <row r="200" spans="1:7" s="2775" customFormat="1" ht="14.25" customHeight="1">
      <c r="A200" s="2941" t="s">
        <v>304</v>
      </c>
      <c r="B200" s="2941" t="s">
        <v>2895</v>
      </c>
      <c r="C200" s="2941"/>
      <c r="D200" s="2941"/>
      <c r="E200" s="2941"/>
      <c r="F200" s="2941">
        <v>1510</v>
      </c>
      <c r="G200" s="2954"/>
    </row>
    <row r="201" spans="1:7" s="2775" customFormat="1" ht="14.25" customHeight="1">
      <c r="A201" s="2941" t="s">
        <v>304</v>
      </c>
      <c r="B201" s="2941" t="s">
        <v>3085</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3086</v>
      </c>
      <c r="C203" s="2941">
        <v>8130</v>
      </c>
      <c r="D203" s="2941">
        <v>8070</v>
      </c>
      <c r="E203" s="2941">
        <v>10820</v>
      </c>
      <c r="F203" s="2941">
        <v>1690</v>
      </c>
      <c r="G203" s="2954">
        <v>5100</v>
      </c>
    </row>
    <row r="204" spans="1:7" s="2775" customFormat="1" ht="14.25" customHeight="1">
      <c r="A204" s="2941" t="s">
        <v>304</v>
      </c>
      <c r="B204" s="2941" t="s">
        <v>2906</v>
      </c>
      <c r="C204" s="2941">
        <v>8350</v>
      </c>
      <c r="D204" s="2941">
        <v>8290</v>
      </c>
      <c r="E204" s="2941">
        <v>11080</v>
      </c>
      <c r="F204" s="2941">
        <v>1450</v>
      </c>
      <c r="G204" s="2954">
        <v>5240</v>
      </c>
    </row>
    <row r="205" spans="1:7" s="2775" customFormat="1" ht="14.25" customHeight="1">
      <c r="A205" s="2941" t="s">
        <v>304</v>
      </c>
      <c r="B205" s="2941" t="s">
        <v>2908</v>
      </c>
      <c r="C205" s="2941">
        <v>7190</v>
      </c>
      <c r="D205" s="2941">
        <v>7130</v>
      </c>
      <c r="E205" s="2941">
        <v>9490</v>
      </c>
      <c r="F205" s="2941">
        <v>1470</v>
      </c>
      <c r="G205" s="2954">
        <v>4510</v>
      </c>
    </row>
    <row r="206" spans="1:7" s="2775" customFormat="1" ht="14.25" customHeight="1">
      <c r="A206" s="2941" t="s">
        <v>304</v>
      </c>
      <c r="B206" s="2941" t="s">
        <v>2911</v>
      </c>
      <c r="C206" s="2941">
        <v>7000</v>
      </c>
      <c r="D206" s="2941">
        <v>6950</v>
      </c>
      <c r="E206" s="2941">
        <v>9170</v>
      </c>
      <c r="F206" s="2941">
        <v>1400</v>
      </c>
      <c r="G206" s="2954">
        <v>4380</v>
      </c>
    </row>
    <row r="207" spans="1:7" s="2775" customFormat="1" ht="14.25" customHeight="1">
      <c r="A207" s="2941" t="s">
        <v>304</v>
      </c>
      <c r="B207" s="2941" t="s">
        <v>2913</v>
      </c>
      <c r="C207" s="2941">
        <v>6950</v>
      </c>
      <c r="D207" s="2941">
        <v>6900</v>
      </c>
      <c r="E207" s="2941">
        <v>9110</v>
      </c>
      <c r="F207" s="2941">
        <v>1790</v>
      </c>
      <c r="G207" s="2954">
        <v>4360</v>
      </c>
    </row>
    <row r="208" spans="1:7" s="2775" customFormat="1" ht="14.25" customHeight="1">
      <c r="A208" s="2941" t="s">
        <v>304</v>
      </c>
      <c r="B208" s="2941" t="s">
        <v>3087</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2923</v>
      </c>
      <c r="C210" s="2941">
        <v>8710</v>
      </c>
      <c r="D210" s="2941">
        <v>8660</v>
      </c>
      <c r="E210" s="2941">
        <v>11440</v>
      </c>
      <c r="F210" s="2941">
        <v>1740</v>
      </c>
      <c r="G210" s="2954">
        <v>5470</v>
      </c>
    </row>
    <row r="211" spans="1:7" s="2775" customFormat="1" ht="14.25" customHeight="1">
      <c r="A211" s="2941" t="s">
        <v>304</v>
      </c>
      <c r="B211" s="2941" t="s">
        <v>3088</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3089</v>
      </c>
      <c r="C214" s="2941">
        <v>8090</v>
      </c>
      <c r="D214" s="2941">
        <v>8030</v>
      </c>
      <c r="E214" s="2941">
        <v>10780</v>
      </c>
      <c r="F214" s="2941">
        <v>1570</v>
      </c>
      <c r="G214" s="2954">
        <v>5070</v>
      </c>
    </row>
    <row r="215" spans="1:7" s="2775" customFormat="1" ht="14.25" customHeight="1">
      <c r="A215" s="2941" t="s">
        <v>304</v>
      </c>
      <c r="B215" s="2941" t="s">
        <v>3090</v>
      </c>
      <c r="C215" s="2941">
        <v>7950</v>
      </c>
      <c r="D215" s="2941">
        <v>7900</v>
      </c>
      <c r="E215" s="2941">
        <v>10560</v>
      </c>
      <c r="F215" s="2941">
        <v>1630</v>
      </c>
      <c r="G215" s="2954">
        <v>4990</v>
      </c>
    </row>
    <row r="216" spans="1:7" s="2775" customFormat="1" ht="14.25" customHeight="1">
      <c r="A216" s="2941" t="s">
        <v>304</v>
      </c>
      <c r="B216" s="2941" t="s">
        <v>3091</v>
      </c>
      <c r="C216" s="2941">
        <v>8490</v>
      </c>
      <c r="D216" s="2941">
        <v>8440</v>
      </c>
      <c r="E216" s="2941">
        <v>11260</v>
      </c>
      <c r="F216" s="2941">
        <v>1690</v>
      </c>
      <c r="G216" s="2954">
        <v>5330</v>
      </c>
    </row>
    <row r="217" spans="1:7" s="2775" customFormat="1" ht="14.25" customHeight="1">
      <c r="A217" s="2941" t="s">
        <v>304</v>
      </c>
      <c r="B217" s="2941" t="s">
        <v>2956</v>
      </c>
      <c r="C217" s="2941">
        <v>8200</v>
      </c>
      <c r="D217" s="2941">
        <v>8150</v>
      </c>
      <c r="E217" s="2941">
        <v>10910</v>
      </c>
      <c r="F217" s="2941">
        <v>1670</v>
      </c>
      <c r="G217" s="2954">
        <v>5150</v>
      </c>
    </row>
    <row r="218" spans="1:7" s="2775" customFormat="1" ht="14.25" customHeight="1">
      <c r="A218" s="2941" t="s">
        <v>304</v>
      </c>
      <c r="B218" s="2941" t="s">
        <v>3092</v>
      </c>
      <c r="C218" s="2941"/>
      <c r="D218" s="2941"/>
      <c r="E218" s="2941"/>
      <c r="F218" s="2941">
        <v>2040</v>
      </c>
      <c r="G218" s="2954"/>
    </row>
    <row r="219" spans="1:7" s="2775" customFormat="1" ht="14.25" customHeight="1">
      <c r="A219" s="2941" t="s">
        <v>304</v>
      </c>
      <c r="B219" s="2941" t="s">
        <v>3093</v>
      </c>
      <c r="C219" s="2941"/>
      <c r="D219" s="2941"/>
      <c r="E219" s="2941"/>
      <c r="F219" s="2941">
        <v>2040</v>
      </c>
      <c r="G219" s="2954"/>
    </row>
    <row r="220" spans="1:7" s="2775" customFormat="1" ht="14.25" customHeight="1">
      <c r="A220" s="2941" t="s">
        <v>304</v>
      </c>
      <c r="B220" s="2941" t="s">
        <v>3094</v>
      </c>
      <c r="C220" s="2941"/>
      <c r="D220" s="2941"/>
      <c r="E220" s="2941"/>
      <c r="F220" s="2941">
        <v>2040</v>
      </c>
      <c r="G220" s="2954"/>
    </row>
    <row r="221" spans="1:7" s="2775" customFormat="1" ht="14.25" customHeight="1">
      <c r="A221" s="2941" t="s">
        <v>304</v>
      </c>
      <c r="B221" s="2941" t="s">
        <v>3095</v>
      </c>
      <c r="C221" s="2941"/>
      <c r="D221" s="2941"/>
      <c r="E221" s="2941"/>
      <c r="F221" s="2941">
        <v>2040</v>
      </c>
      <c r="G221" s="2954"/>
    </row>
    <row r="222" spans="1:7" s="2775" customFormat="1" ht="14.25" customHeight="1">
      <c r="A222" s="2941" t="s">
        <v>304</v>
      </c>
      <c r="B222" s="2941" t="s">
        <v>3096</v>
      </c>
      <c r="C222" s="2941"/>
      <c r="D222" s="2941"/>
      <c r="E222" s="2941"/>
      <c r="F222" s="2941">
        <v>2040</v>
      </c>
      <c r="G222" s="2954"/>
    </row>
    <row r="223" spans="1:7" s="2775" customFormat="1" ht="14.25" customHeight="1">
      <c r="A223" s="2941" t="s">
        <v>304</v>
      </c>
      <c r="B223" s="2941" t="s">
        <v>3097</v>
      </c>
      <c r="C223" s="2941"/>
      <c r="D223" s="2941"/>
      <c r="E223" s="2941"/>
      <c r="F223" s="2941">
        <v>1930</v>
      </c>
      <c r="G223" s="2954"/>
    </row>
    <row r="224" spans="1:7" s="2775" customFormat="1" ht="14.25" customHeight="1">
      <c r="A224" s="2941" t="s">
        <v>304</v>
      </c>
      <c r="B224" s="2941" t="s">
        <v>3098</v>
      </c>
      <c r="C224" s="2941"/>
      <c r="D224" s="2941"/>
      <c r="E224" s="2941"/>
      <c r="F224" s="2941">
        <v>1930</v>
      </c>
      <c r="G224" s="2954"/>
    </row>
    <row r="225" spans="1:7" s="2775" customFormat="1" ht="14.25" customHeight="1">
      <c r="A225" s="2941" t="s">
        <v>304</v>
      </c>
      <c r="B225" s="2941" t="s">
        <v>3099</v>
      </c>
      <c r="C225" s="2941"/>
      <c r="D225" s="2941"/>
      <c r="E225" s="2941"/>
      <c r="F225" s="2941">
        <v>1930</v>
      </c>
      <c r="G225" s="2954"/>
    </row>
    <row r="226" spans="1:7" s="2775" customFormat="1" ht="14.25" customHeight="1">
      <c r="A226" s="2941" t="s">
        <v>304</v>
      </c>
      <c r="B226" s="2941" t="s">
        <v>3100</v>
      </c>
      <c r="C226" s="2941"/>
      <c r="D226" s="2941"/>
      <c r="E226" s="2941"/>
      <c r="F226" s="2941">
        <v>1700</v>
      </c>
      <c r="G226" s="2954"/>
    </row>
    <row r="227" spans="1:7" s="2775" customFormat="1" ht="14.25" customHeight="1">
      <c r="A227" s="2941" t="s">
        <v>304</v>
      </c>
      <c r="B227" s="2941" t="s">
        <v>3101</v>
      </c>
      <c r="C227" s="2941"/>
      <c r="D227" s="2941"/>
      <c r="E227" s="2941"/>
      <c r="F227" s="2941">
        <v>1520</v>
      </c>
      <c r="G227" s="2954"/>
    </row>
    <row r="228" spans="1:7" s="2775" customFormat="1" ht="14.25" customHeight="1">
      <c r="A228" s="2941" t="s">
        <v>304</v>
      </c>
      <c r="B228" s="2941" t="s">
        <v>3102</v>
      </c>
      <c r="C228" s="2941"/>
      <c r="D228" s="2941"/>
      <c r="E228" s="2941"/>
      <c r="F228" s="2941">
        <v>1520</v>
      </c>
      <c r="G228" s="2954"/>
    </row>
    <row r="229" spans="1:7" s="2775" customFormat="1" ht="14.25" customHeight="1">
      <c r="A229" s="2941" t="s">
        <v>304</v>
      </c>
      <c r="B229" s="2941" t="s">
        <v>3019</v>
      </c>
      <c r="C229" s="2941"/>
      <c r="D229" s="2941"/>
      <c r="E229" s="2941"/>
      <c r="F229" s="2941">
        <v>1520</v>
      </c>
      <c r="G229" s="2954"/>
    </row>
    <row r="230" spans="1:7" s="2775" customFormat="1" ht="14.25" customHeight="1">
      <c r="A230" s="2941" t="s">
        <v>304</v>
      </c>
      <c r="B230" s="2941" t="s">
        <v>3103</v>
      </c>
      <c r="C230" s="2941"/>
      <c r="D230" s="2941"/>
      <c r="E230" s="2941"/>
      <c r="F230" s="2941">
        <v>1820</v>
      </c>
      <c r="G230" s="2954"/>
    </row>
    <row r="231" spans="1:7" s="2775" customFormat="1" ht="14.25" customHeight="1">
      <c r="A231" s="2941" t="s">
        <v>304</v>
      </c>
      <c r="B231" s="2941" t="s">
        <v>3104</v>
      </c>
      <c r="C231" s="2941"/>
      <c r="D231" s="2941"/>
      <c r="E231" s="2941"/>
      <c r="F231" s="2941">
        <v>1760</v>
      </c>
      <c r="G231" s="2954"/>
    </row>
    <row r="232" spans="1:7" s="2775" customFormat="1" ht="14.25" customHeight="1">
      <c r="A232" s="2941" t="s">
        <v>304</v>
      </c>
      <c r="B232" s="2941" t="s">
        <v>3105</v>
      </c>
      <c r="C232" s="2941"/>
      <c r="D232" s="2941"/>
      <c r="E232" s="2941"/>
      <c r="F232" s="2941">
        <v>1840</v>
      </c>
      <c r="G232" s="2954"/>
    </row>
    <row r="233" spans="1:7" s="2775" customFormat="1" ht="14.25" customHeight="1" thickBot="1">
      <c r="A233" s="2955" t="s">
        <v>304</v>
      </c>
      <c r="B233" s="2948" t="s">
        <v>3036</v>
      </c>
      <c r="C233" s="2948"/>
      <c r="D233" s="2948"/>
      <c r="E233" s="2948"/>
      <c r="F233" s="2948">
        <v>1770</v>
      </c>
      <c r="G233" s="2956"/>
    </row>
    <row r="234" spans="1:7" s="2775" customFormat="1" ht="14.25" customHeight="1">
      <c r="A234" s="2946" t="s">
        <v>305</v>
      </c>
      <c r="B234" s="2937" t="s">
        <v>3106</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2877</v>
      </c>
      <c r="C238" s="2941">
        <v>6920</v>
      </c>
      <c r="D238" s="2941">
        <v>6890</v>
      </c>
      <c r="E238" s="2941">
        <v>8640</v>
      </c>
      <c r="F238" s="2941">
        <v>1310</v>
      </c>
      <c r="G238" s="2941">
        <v>4230</v>
      </c>
    </row>
    <row r="239" spans="1:7" s="2775" customFormat="1" ht="14.25" customHeight="1">
      <c r="A239" s="2941" t="s">
        <v>305</v>
      </c>
      <c r="B239" s="2941" t="s">
        <v>3107</v>
      </c>
      <c r="C239" s="2941">
        <v>6780</v>
      </c>
      <c r="D239" s="2941">
        <v>6750</v>
      </c>
      <c r="E239" s="2941">
        <v>8440</v>
      </c>
      <c r="F239" s="2941">
        <v>1160</v>
      </c>
      <c r="G239" s="2941">
        <v>4140</v>
      </c>
    </row>
    <row r="240" spans="1:7" s="2775" customFormat="1" ht="14.25" customHeight="1">
      <c r="A240" s="2941" t="s">
        <v>305</v>
      </c>
      <c r="B240" s="2941" t="s">
        <v>3108</v>
      </c>
      <c r="C240" s="2941">
        <v>5420</v>
      </c>
      <c r="D240" s="2941">
        <v>5380</v>
      </c>
      <c r="E240" s="2941">
        <v>6640</v>
      </c>
      <c r="F240" s="2941">
        <v>1020</v>
      </c>
      <c r="G240" s="2941">
        <v>3300</v>
      </c>
    </row>
    <row r="241" spans="1:7" s="2775" customFormat="1" ht="14.25" customHeight="1">
      <c r="A241" s="2941" t="s">
        <v>305</v>
      </c>
      <c r="B241" s="2941" t="s">
        <v>3109</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3110</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3111</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3112</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3113</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3114</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2939</v>
      </c>
      <c r="C258" s="2941">
        <v>6190</v>
      </c>
      <c r="D258" s="2941">
        <v>6160</v>
      </c>
      <c r="E258" s="2941">
        <v>7680</v>
      </c>
      <c r="F258" s="2941">
        <v>1170</v>
      </c>
      <c r="G258" s="2941">
        <v>3780</v>
      </c>
    </row>
    <row r="259" spans="1:7" s="2775" customFormat="1" ht="14.25" customHeight="1">
      <c r="A259" s="2941" t="s">
        <v>305</v>
      </c>
      <c r="B259" s="2941" t="s">
        <v>3115</v>
      </c>
      <c r="C259" s="2941">
        <v>7610</v>
      </c>
      <c r="D259" s="2941">
        <v>7570</v>
      </c>
      <c r="E259" s="2941">
        <v>9350</v>
      </c>
      <c r="F259" s="2941">
        <v>1350</v>
      </c>
      <c r="G259" s="2941">
        <v>4650</v>
      </c>
    </row>
    <row r="260" spans="1:7" s="2775" customFormat="1" ht="14.25" customHeight="1">
      <c r="A260" s="2941" t="s">
        <v>305</v>
      </c>
      <c r="B260" s="2941" t="s">
        <v>3116</v>
      </c>
      <c r="C260" s="2941">
        <v>6920</v>
      </c>
      <c r="D260" s="2941">
        <v>6880</v>
      </c>
      <c r="E260" s="2941">
        <v>8380</v>
      </c>
      <c r="F260" s="2941">
        <v>1160</v>
      </c>
      <c r="G260" s="2941">
        <v>4220</v>
      </c>
    </row>
    <row r="261" spans="1:7" s="2775" customFormat="1" ht="14.25" customHeight="1">
      <c r="A261" s="2941" t="s">
        <v>305</v>
      </c>
      <c r="B261" s="2941" t="s">
        <v>3117</v>
      </c>
      <c r="C261" s="2941">
        <v>6850</v>
      </c>
      <c r="D261" s="2941">
        <v>6810</v>
      </c>
      <c r="E261" s="2941">
        <v>8290</v>
      </c>
      <c r="F261" s="2941">
        <v>1130</v>
      </c>
      <c r="G261" s="2941">
        <v>4180</v>
      </c>
    </row>
    <row r="262" spans="1:7" s="2775" customFormat="1" ht="14.25" customHeight="1">
      <c r="A262" s="2941" t="s">
        <v>305</v>
      </c>
      <c r="B262" s="2941" t="s">
        <v>3118</v>
      </c>
      <c r="C262" s="2941">
        <v>5860</v>
      </c>
      <c r="D262" s="2941">
        <v>5820</v>
      </c>
      <c r="E262" s="2941">
        <v>7640</v>
      </c>
      <c r="F262" s="2941">
        <v>1070</v>
      </c>
      <c r="G262" s="2941">
        <v>3570</v>
      </c>
    </row>
    <row r="263" spans="1:7" s="2775" customFormat="1" ht="14.25" customHeight="1">
      <c r="A263" s="2941" t="s">
        <v>305</v>
      </c>
      <c r="B263" s="2941" t="s">
        <v>3119</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3120</v>
      </c>
      <c r="C265" s="2941"/>
      <c r="D265" s="2941"/>
      <c r="E265" s="2941"/>
      <c r="F265" s="2941">
        <v>1500</v>
      </c>
      <c r="G265" s="2941"/>
    </row>
    <row r="266" spans="1:7" s="2775" customFormat="1" ht="14.25" customHeight="1">
      <c r="A266" s="2941" t="s">
        <v>305</v>
      </c>
      <c r="B266" s="2941" t="s">
        <v>3121</v>
      </c>
      <c r="C266" s="2941"/>
      <c r="D266" s="2941"/>
      <c r="E266" s="2941"/>
      <c r="F266" s="2941">
        <v>1500</v>
      </c>
      <c r="G266" s="2941"/>
    </row>
    <row r="267" spans="1:7" s="2775" customFormat="1" ht="14.25" customHeight="1">
      <c r="A267" s="2941" t="s">
        <v>305</v>
      </c>
      <c r="B267" s="2941" t="s">
        <v>3122</v>
      </c>
      <c r="C267" s="2941"/>
      <c r="D267" s="2941"/>
      <c r="E267" s="2941"/>
      <c r="F267" s="2941">
        <v>1500</v>
      </c>
      <c r="G267" s="2941"/>
    </row>
    <row r="268" spans="1:7" s="2775" customFormat="1" ht="14.25" customHeight="1">
      <c r="A268" s="2941" t="s">
        <v>305</v>
      </c>
      <c r="B268" s="2941" t="s">
        <v>3123</v>
      </c>
      <c r="C268" s="2941"/>
      <c r="D268" s="2941"/>
      <c r="E268" s="2941"/>
      <c r="F268" s="2941">
        <v>1290</v>
      </c>
      <c r="G268" s="2941"/>
    </row>
    <row r="269" spans="1:7" s="2775" customFormat="1" ht="14.25" customHeight="1">
      <c r="A269" s="2941" t="s">
        <v>305</v>
      </c>
      <c r="B269" s="2941" t="s">
        <v>3124</v>
      </c>
      <c r="C269" s="2941"/>
      <c r="D269" s="2941"/>
      <c r="E269" s="2941"/>
      <c r="F269" s="2941">
        <v>1150</v>
      </c>
      <c r="G269" s="2941"/>
    </row>
    <row r="270" spans="1:7" s="2775" customFormat="1" ht="14.25" customHeight="1">
      <c r="A270" s="2941" t="s">
        <v>305</v>
      </c>
      <c r="B270" s="2941" t="s">
        <v>3125</v>
      </c>
      <c r="C270" s="2941"/>
      <c r="D270" s="2941"/>
      <c r="E270" s="2941"/>
      <c r="F270" s="2941">
        <v>1380</v>
      </c>
      <c r="G270" s="2941"/>
    </row>
    <row r="271" spans="1:7" s="2775" customFormat="1" ht="14.25" customHeight="1">
      <c r="A271" s="2941" t="s">
        <v>305</v>
      </c>
      <c r="B271" s="2941" t="s">
        <v>3126</v>
      </c>
      <c r="C271" s="2941"/>
      <c r="D271" s="2941"/>
      <c r="E271" s="2941"/>
      <c r="F271" s="2941">
        <v>1460</v>
      </c>
      <c r="G271" s="2941"/>
    </row>
    <row r="272" spans="1:7" s="2775" customFormat="1" ht="14.25" customHeight="1">
      <c r="A272" s="2941" t="s">
        <v>305</v>
      </c>
      <c r="B272" s="2941" t="s">
        <v>3127</v>
      </c>
      <c r="C272" s="2941"/>
      <c r="D272" s="2941"/>
      <c r="E272" s="2941"/>
      <c r="F272" s="2941">
        <v>1460</v>
      </c>
      <c r="G272" s="2941"/>
    </row>
    <row r="273" spans="1:7" s="2775" customFormat="1" ht="14.25" customHeight="1">
      <c r="A273" s="2941" t="s">
        <v>305</v>
      </c>
      <c r="B273" s="2941" t="s">
        <v>3020</v>
      </c>
      <c r="C273" s="2941"/>
      <c r="D273" s="2941"/>
      <c r="E273" s="2941"/>
      <c r="F273" s="2941">
        <v>1490</v>
      </c>
      <c r="G273" s="2941"/>
    </row>
    <row r="274" spans="1:7" s="2775" customFormat="1" ht="14.25" customHeight="1">
      <c r="A274" s="2941" t="s">
        <v>305</v>
      </c>
      <c r="B274" s="2941" t="s">
        <v>3128</v>
      </c>
      <c r="C274" s="2941"/>
      <c r="D274" s="2941"/>
      <c r="E274" s="2941"/>
      <c r="F274" s="2941">
        <v>1490</v>
      </c>
      <c r="G274" s="2941"/>
    </row>
    <row r="275" spans="1:7" s="2775" customFormat="1" ht="14.25" customHeight="1">
      <c r="A275" s="2941" t="s">
        <v>305</v>
      </c>
      <c r="B275" s="2941" t="s">
        <v>3129</v>
      </c>
      <c r="C275" s="2941"/>
      <c r="D275" s="2941"/>
      <c r="E275" s="2941"/>
      <c r="F275" s="2941">
        <v>1220</v>
      </c>
      <c r="G275" s="2941"/>
    </row>
    <row r="276" spans="1:7" s="2775" customFormat="1" ht="14.25" customHeight="1" thickBot="1">
      <c r="A276" s="2949" t="s">
        <v>305</v>
      </c>
      <c r="B276" s="2951" t="s">
        <v>3130</v>
      </c>
      <c r="C276" s="2952"/>
      <c r="D276" s="2952"/>
      <c r="E276" s="2952"/>
      <c r="F276" s="2952">
        <v>1380</v>
      </c>
      <c r="G276" s="2952"/>
    </row>
    <row r="277" spans="1:7" s="2775" customFormat="1" ht="14.25" customHeight="1">
      <c r="A277" s="2946" t="s">
        <v>306</v>
      </c>
      <c r="B277" s="2937" t="s">
        <v>3131</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3132</v>
      </c>
      <c r="C279" s="2941">
        <v>4760</v>
      </c>
      <c r="D279" s="2941">
        <v>4720</v>
      </c>
      <c r="E279" s="2941">
        <v>5540</v>
      </c>
      <c r="F279" s="2941">
        <v>810</v>
      </c>
      <c r="G279" s="2954">
        <v>2850</v>
      </c>
    </row>
    <row r="280" spans="1:7" s="2775" customFormat="1" ht="14.25" customHeight="1">
      <c r="A280" s="2941" t="s">
        <v>306</v>
      </c>
      <c r="B280" s="2941" t="s">
        <v>3133</v>
      </c>
      <c r="C280" s="2941">
        <v>4010</v>
      </c>
      <c r="D280" s="2941">
        <v>3950</v>
      </c>
      <c r="E280" s="2941">
        <v>4710</v>
      </c>
      <c r="F280" s="2941">
        <v>800</v>
      </c>
      <c r="G280" s="2954">
        <v>2390</v>
      </c>
    </row>
    <row r="281" spans="1:7" s="2775" customFormat="1" ht="14.25" customHeight="1">
      <c r="A281" s="2941" t="s">
        <v>306</v>
      </c>
      <c r="B281" s="2941" t="s">
        <v>3134</v>
      </c>
      <c r="C281" s="2941">
        <v>4480</v>
      </c>
      <c r="D281" s="2941">
        <v>4420</v>
      </c>
      <c r="E281" s="2941">
        <v>5230</v>
      </c>
      <c r="F281" s="2941">
        <v>870</v>
      </c>
      <c r="G281" s="2954">
        <v>2660</v>
      </c>
    </row>
    <row r="282" spans="1:7" s="2775" customFormat="1" ht="14.25" customHeight="1">
      <c r="A282" s="2941" t="s">
        <v>306</v>
      </c>
      <c r="B282" s="2941" t="s">
        <v>3135</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3136</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3137</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2912</v>
      </c>
      <c r="C293" s="2941">
        <v>5320</v>
      </c>
      <c r="D293" s="2941">
        <v>5270</v>
      </c>
      <c r="E293" s="2941">
        <v>6160</v>
      </c>
      <c r="F293" s="2941">
        <v>990</v>
      </c>
      <c r="G293" s="2954">
        <v>3170</v>
      </c>
    </row>
    <row r="294" spans="1:7" s="2775" customFormat="1" ht="14.25" customHeight="1">
      <c r="A294" s="2941" t="s">
        <v>306</v>
      </c>
      <c r="B294" s="2941" t="s">
        <v>3138</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2931</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3139</v>
      </c>
      <c r="C302" s="2941">
        <v>5520</v>
      </c>
      <c r="D302" s="2941">
        <v>5470</v>
      </c>
      <c r="E302" s="2941">
        <v>6410</v>
      </c>
      <c r="F302" s="2941">
        <v>950</v>
      </c>
      <c r="G302" s="2954">
        <v>3300</v>
      </c>
    </row>
    <row r="303" spans="1:7" s="2775" customFormat="1" ht="14.25" customHeight="1">
      <c r="A303" s="2941" t="s">
        <v>306</v>
      </c>
      <c r="B303" s="2941" t="s">
        <v>2951</v>
      </c>
      <c r="C303" s="2941">
        <v>5630</v>
      </c>
      <c r="D303" s="2941">
        <v>5590</v>
      </c>
      <c r="E303" s="2941">
        <v>6550</v>
      </c>
      <c r="F303" s="2941">
        <v>1010</v>
      </c>
      <c r="G303" s="2954">
        <v>3370</v>
      </c>
    </row>
    <row r="304" spans="1:7" s="2775" customFormat="1" ht="14.25" customHeight="1">
      <c r="A304" s="2941" t="s">
        <v>306</v>
      </c>
      <c r="B304" s="2941" t="s">
        <v>2958</v>
      </c>
      <c r="C304" s="2941">
        <v>5680</v>
      </c>
      <c r="D304" s="2941">
        <v>5620</v>
      </c>
      <c r="E304" s="2941">
        <v>6620</v>
      </c>
      <c r="F304" s="2941">
        <v>1050</v>
      </c>
      <c r="G304" s="2954">
        <v>3390</v>
      </c>
    </row>
    <row r="305" spans="1:7" s="2775" customFormat="1" ht="14.25" customHeight="1">
      <c r="A305" s="2941" t="s">
        <v>306</v>
      </c>
      <c r="B305" s="2941" t="s">
        <v>2964</v>
      </c>
      <c r="C305" s="2941">
        <v>5590</v>
      </c>
      <c r="D305" s="2941">
        <v>5530</v>
      </c>
      <c r="E305" s="2941">
        <v>6460</v>
      </c>
      <c r="F305" s="2941">
        <v>900</v>
      </c>
      <c r="G305" s="2954">
        <v>3340</v>
      </c>
    </row>
    <row r="306" spans="1:7" s="2775" customFormat="1" ht="14.25" customHeight="1">
      <c r="A306" s="2941" t="s">
        <v>306</v>
      </c>
      <c r="B306" s="2941" t="s">
        <v>3140</v>
      </c>
      <c r="C306" s="2941">
        <v>5560</v>
      </c>
      <c r="D306" s="2941">
        <v>5510</v>
      </c>
      <c r="E306" s="2941">
        <v>6440</v>
      </c>
      <c r="F306" s="2941">
        <v>900</v>
      </c>
      <c r="G306" s="2954">
        <v>3320</v>
      </c>
    </row>
    <row r="307" spans="1:7" s="2775" customFormat="1" ht="14.25" customHeight="1">
      <c r="A307" s="2941" t="s">
        <v>306</v>
      </c>
      <c r="B307" s="2941" t="s">
        <v>2976</v>
      </c>
      <c r="C307" s="2941">
        <v>5650</v>
      </c>
      <c r="D307" s="2941">
        <v>5600</v>
      </c>
      <c r="E307" s="2941">
        <v>6590</v>
      </c>
      <c r="F307" s="2941">
        <v>930</v>
      </c>
      <c r="G307" s="2954">
        <v>3380</v>
      </c>
    </row>
    <row r="308" spans="1:7" s="2775" customFormat="1" ht="14.25" customHeight="1">
      <c r="A308" s="2941" t="s">
        <v>306</v>
      </c>
      <c r="B308" s="2941" t="s">
        <v>3141</v>
      </c>
      <c r="C308" s="2941">
        <v>5620</v>
      </c>
      <c r="D308" s="2941">
        <v>5580</v>
      </c>
      <c r="E308" s="2941">
        <v>6540</v>
      </c>
      <c r="F308" s="2941">
        <v>910</v>
      </c>
      <c r="G308" s="2954">
        <v>3370</v>
      </c>
    </row>
    <row r="309" spans="1:7" s="2775" customFormat="1" ht="14.25" customHeight="1">
      <c r="A309" s="2941" t="s">
        <v>306</v>
      </c>
      <c r="B309" s="2941" t="s">
        <v>3142</v>
      </c>
      <c r="C309" s="2941">
        <v>5060</v>
      </c>
      <c r="D309" s="2941">
        <v>5020</v>
      </c>
      <c r="E309" s="2941">
        <v>6370</v>
      </c>
      <c r="F309" s="2941">
        <v>800</v>
      </c>
      <c r="G309" s="2954">
        <v>3020</v>
      </c>
    </row>
    <row r="310" spans="1:7" s="2775" customFormat="1" ht="14.25" customHeight="1">
      <c r="A310" s="2941" t="s">
        <v>306</v>
      </c>
      <c r="B310" s="2941" t="s">
        <v>2991</v>
      </c>
      <c r="C310" s="2941">
        <v>5150</v>
      </c>
      <c r="D310" s="2941">
        <v>5110</v>
      </c>
      <c r="E310" s="2941">
        <v>6500</v>
      </c>
      <c r="F310" s="2941">
        <v>880</v>
      </c>
      <c r="G310" s="2954">
        <v>3080</v>
      </c>
    </row>
    <row r="311" spans="1:7" s="2775" customFormat="1" ht="14.25" customHeight="1">
      <c r="A311" s="2941" t="s">
        <v>306</v>
      </c>
      <c r="B311" s="2941" t="s">
        <v>3143</v>
      </c>
      <c r="C311" s="2941">
        <v>4750</v>
      </c>
      <c r="D311" s="2941">
        <v>4710</v>
      </c>
      <c r="E311" s="2941">
        <v>5510</v>
      </c>
      <c r="F311" s="2941">
        <v>880</v>
      </c>
      <c r="G311" s="2954">
        <v>2840</v>
      </c>
    </row>
    <row r="312" spans="1:7" s="2775" customFormat="1" ht="14.25" customHeight="1">
      <c r="A312" s="2941" t="s">
        <v>306</v>
      </c>
      <c r="B312" s="2941" t="s">
        <v>3001</v>
      </c>
      <c r="C312" s="2941">
        <v>4690</v>
      </c>
      <c r="D312" s="2941">
        <v>4640</v>
      </c>
      <c r="E312" s="2941">
        <v>5420</v>
      </c>
      <c r="F312" s="2941">
        <v>800</v>
      </c>
      <c r="G312" s="2954">
        <v>2800</v>
      </c>
    </row>
    <row r="313" spans="1:7" s="2775" customFormat="1" ht="14.25" customHeight="1">
      <c r="A313" s="2941" t="s">
        <v>306</v>
      </c>
      <c r="B313" s="2941" t="s">
        <v>3006</v>
      </c>
      <c r="C313" s="2941">
        <v>4810</v>
      </c>
      <c r="D313" s="2941">
        <v>4760</v>
      </c>
      <c r="E313" s="2941">
        <v>5550</v>
      </c>
      <c r="F313" s="2941">
        <v>920</v>
      </c>
      <c r="G313" s="2954">
        <v>2870</v>
      </c>
    </row>
    <row r="314" spans="1:7" s="2775" customFormat="1" ht="14.25" customHeight="1">
      <c r="A314" s="2941" t="s">
        <v>306</v>
      </c>
      <c r="B314" s="2941" t="s">
        <v>3144</v>
      </c>
      <c r="C314" s="2941"/>
      <c r="D314" s="2941"/>
      <c r="E314" s="2941"/>
      <c r="F314" s="2941">
        <v>1020</v>
      </c>
      <c r="G314" s="2954"/>
    </row>
    <row r="315" spans="1:7" s="2775" customFormat="1" ht="14.25" customHeight="1">
      <c r="A315" s="2941" t="s">
        <v>306</v>
      </c>
      <c r="B315" s="2941" t="s">
        <v>3145</v>
      </c>
      <c r="C315" s="2941"/>
      <c r="D315" s="2941"/>
      <c r="E315" s="2941"/>
      <c r="F315" s="2941">
        <v>1050</v>
      </c>
      <c r="G315" s="2954"/>
    </row>
    <row r="316" spans="1:7" s="2775" customFormat="1" ht="14.25" customHeight="1">
      <c r="A316" s="2941" t="s">
        <v>306</v>
      </c>
      <c r="B316" s="2941" t="s">
        <v>3021</v>
      </c>
      <c r="C316" s="2941"/>
      <c r="D316" s="2941"/>
      <c r="E316" s="2941"/>
      <c r="F316" s="2941">
        <v>900</v>
      </c>
      <c r="G316" s="2954"/>
    </row>
    <row r="317" spans="1:7" s="2775" customFormat="1" ht="14.25" customHeight="1">
      <c r="A317" s="2941" t="s">
        <v>306</v>
      </c>
      <c r="B317" s="2941" t="s">
        <v>3146</v>
      </c>
      <c r="C317" s="2941"/>
      <c r="D317" s="2941"/>
      <c r="E317" s="2941"/>
      <c r="F317" s="2941">
        <v>920</v>
      </c>
      <c r="G317" s="2954"/>
    </row>
    <row r="318" spans="1:7" s="2775" customFormat="1" ht="14.25" customHeight="1">
      <c r="A318" s="2941" t="s">
        <v>306</v>
      </c>
      <c r="B318" s="2941" t="s">
        <v>3147</v>
      </c>
      <c r="C318" s="2941"/>
      <c r="D318" s="2941"/>
      <c r="E318" s="2941"/>
      <c r="F318" s="2941">
        <v>1080</v>
      </c>
      <c r="G318" s="2954"/>
    </row>
    <row r="319" spans="1:7" s="2775" customFormat="1" ht="14.25" customHeight="1">
      <c r="A319" s="2941" t="s">
        <v>306</v>
      </c>
      <c r="B319" s="2941" t="s">
        <v>3034</v>
      </c>
      <c r="C319" s="2941"/>
      <c r="D319" s="2941"/>
      <c r="E319" s="2941"/>
      <c r="F319" s="2941">
        <v>1020</v>
      </c>
      <c r="G319" s="2954"/>
    </row>
    <row r="320" spans="1:7" s="2775" customFormat="1" ht="14.25" customHeight="1">
      <c r="A320" s="2941" t="s">
        <v>306</v>
      </c>
      <c r="B320" s="2941" t="s">
        <v>3037</v>
      </c>
      <c r="C320" s="2941"/>
      <c r="D320" s="2941"/>
      <c r="E320" s="2941"/>
      <c r="F320" s="2941">
        <v>1050</v>
      </c>
      <c r="G320" s="2954"/>
    </row>
    <row r="321" spans="1:7" s="2775" customFormat="1" ht="14.25" customHeight="1">
      <c r="A321" s="2941" t="s">
        <v>306</v>
      </c>
      <c r="B321" s="2941" t="s">
        <v>3039</v>
      </c>
      <c r="C321" s="2941"/>
      <c r="D321" s="2941"/>
      <c r="E321" s="2941"/>
      <c r="F321" s="2941">
        <v>960</v>
      </c>
      <c r="G321" s="2954"/>
    </row>
    <row r="322" spans="1:7" s="2775" customFormat="1" ht="14.25" customHeight="1">
      <c r="A322" s="2941" t="s">
        <v>306</v>
      </c>
      <c r="B322" s="2941" t="s">
        <v>3041</v>
      </c>
      <c r="C322" s="2941"/>
      <c r="D322" s="2941"/>
      <c r="E322" s="2941"/>
      <c r="F322" s="2941">
        <v>960</v>
      </c>
      <c r="G322" s="2954"/>
    </row>
    <row r="323" spans="1:7" s="2775" customFormat="1" ht="14.25" customHeight="1">
      <c r="A323" s="2941" t="s">
        <v>306</v>
      </c>
      <c r="B323" s="2941" t="s">
        <v>3043</v>
      </c>
      <c r="C323" s="2941"/>
      <c r="D323" s="2941"/>
      <c r="E323" s="2941"/>
      <c r="F323" s="2941">
        <v>880</v>
      </c>
      <c r="G323" s="2954"/>
    </row>
    <row r="324" spans="1:7" s="2775" customFormat="1" ht="14.25" customHeight="1">
      <c r="A324" s="2941" t="s">
        <v>306</v>
      </c>
      <c r="B324" s="2941" t="s">
        <v>3045</v>
      </c>
      <c r="C324" s="2941"/>
      <c r="D324" s="2941"/>
      <c r="E324" s="2941"/>
      <c r="F324" s="2941">
        <v>930</v>
      </c>
      <c r="G324" s="2954"/>
    </row>
    <row r="325" spans="1:7" s="2775" customFormat="1" ht="14.25" customHeight="1">
      <c r="A325" s="2941" t="s">
        <v>306</v>
      </c>
      <c r="B325" s="2942" t="s">
        <v>3047</v>
      </c>
      <c r="C325" s="2941"/>
      <c r="D325" s="2941"/>
      <c r="E325" s="2941"/>
      <c r="F325" s="2941">
        <v>900</v>
      </c>
      <c r="G325" s="2954"/>
    </row>
    <row r="326" spans="1:7" s="2775" customFormat="1" ht="14.25" customHeight="1" thickBot="1">
      <c r="A326" s="2955" t="s">
        <v>306</v>
      </c>
      <c r="B326" s="2948" t="s">
        <v>3049</v>
      </c>
      <c r="C326" s="2948"/>
      <c r="D326" s="2948"/>
      <c r="E326" s="2948"/>
      <c r="F326" s="2948">
        <v>790</v>
      </c>
      <c r="G326" s="2956"/>
    </row>
    <row r="327" spans="1:7" s="2775" customFormat="1" ht="14.25" customHeight="1">
      <c r="A327" s="2946" t="s">
        <v>307</v>
      </c>
      <c r="B327" s="2937" t="s">
        <v>3148</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3149</v>
      </c>
      <c r="C329" s="2941">
        <v>2730</v>
      </c>
      <c r="D329" s="2941">
        <v>2690</v>
      </c>
      <c r="E329" s="2941">
        <v>3100</v>
      </c>
      <c r="F329" s="2941">
        <v>660</v>
      </c>
      <c r="G329" s="2941">
        <v>1610</v>
      </c>
    </row>
    <row r="330" spans="1:7" s="2775" customFormat="1" ht="14.25" customHeight="1">
      <c r="A330" s="2941" t="s">
        <v>307</v>
      </c>
      <c r="B330" s="2941" t="s">
        <v>3150</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2883</v>
      </c>
      <c r="C332" s="2941">
        <v>3520</v>
      </c>
      <c r="D332" s="2941">
        <v>3480</v>
      </c>
      <c r="E332" s="2941">
        <v>3830</v>
      </c>
      <c r="F332" s="2941">
        <v>720</v>
      </c>
      <c r="G332" s="2941">
        <v>2090</v>
      </c>
    </row>
    <row r="333" spans="1:7" s="2775" customFormat="1" ht="14.25" customHeight="1">
      <c r="A333" s="2941" t="s">
        <v>307</v>
      </c>
      <c r="B333" s="2941" t="s">
        <v>3151</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2893</v>
      </c>
      <c r="C336" s="2941">
        <v>3570</v>
      </c>
      <c r="D336" s="2941">
        <v>3530</v>
      </c>
      <c r="E336" s="2941">
        <v>3880</v>
      </c>
      <c r="F336" s="2941">
        <v>770</v>
      </c>
      <c r="G336" s="2941">
        <v>2110</v>
      </c>
    </row>
    <row r="337" spans="1:10" s="2775" customFormat="1" ht="14.25" customHeight="1">
      <c r="A337" s="2941" t="s">
        <v>307</v>
      </c>
      <c r="B337" s="2941" t="s">
        <v>3152</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3153</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3154</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2918</v>
      </c>
      <c r="C345" s="2941">
        <v>3190</v>
      </c>
      <c r="D345" s="2941">
        <v>3140</v>
      </c>
      <c r="E345" s="2941">
        <v>3450</v>
      </c>
      <c r="F345" s="2941">
        <v>720</v>
      </c>
      <c r="G345" s="2941">
        <v>1880</v>
      </c>
      <c r="J345" s="2775"/>
    </row>
    <row r="346" spans="1:10">
      <c r="A346" s="2941" t="s">
        <v>307</v>
      </c>
      <c r="B346" s="2941" t="s">
        <v>3155</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2927</v>
      </c>
      <c r="C348" s="2941">
        <v>4000</v>
      </c>
      <c r="D348" s="2941">
        <v>3950</v>
      </c>
      <c r="E348" s="2941">
        <v>4430</v>
      </c>
      <c r="F348" s="2941">
        <v>760</v>
      </c>
      <c r="G348" s="2941">
        <v>2360</v>
      </c>
      <c r="J348" s="2775"/>
    </row>
    <row r="349" spans="1:10">
      <c r="A349" s="2941" t="s">
        <v>307</v>
      </c>
      <c r="B349" s="2941" t="s">
        <v>2932</v>
      </c>
      <c r="C349" s="2941">
        <v>3820</v>
      </c>
      <c r="D349" s="2941">
        <v>3780</v>
      </c>
      <c r="E349" s="2941">
        <v>4170</v>
      </c>
      <c r="F349" s="2941">
        <v>710</v>
      </c>
      <c r="G349" s="2941">
        <v>2260</v>
      </c>
      <c r="J349" s="2775"/>
    </row>
    <row r="350" spans="1:10">
      <c r="A350" s="2941" t="s">
        <v>307</v>
      </c>
      <c r="B350" s="2941" t="s">
        <v>3156</v>
      </c>
      <c r="C350" s="2941">
        <v>3760</v>
      </c>
      <c r="D350" s="2941">
        <v>3730</v>
      </c>
      <c r="E350" s="2941">
        <v>4100</v>
      </c>
      <c r="F350" s="2941">
        <v>800</v>
      </c>
      <c r="G350" s="2941">
        <v>2230</v>
      </c>
      <c r="J350" s="2775"/>
    </row>
    <row r="351" spans="1:10">
      <c r="A351" s="2941" t="s">
        <v>307</v>
      </c>
      <c r="B351" s="2941" t="s">
        <v>2940</v>
      </c>
      <c r="C351" s="2941">
        <v>3610</v>
      </c>
      <c r="D351" s="2941">
        <v>3580</v>
      </c>
      <c r="E351" s="2941">
        <v>3930</v>
      </c>
      <c r="F351" s="2941">
        <v>700</v>
      </c>
      <c r="G351" s="2941">
        <v>2140</v>
      </c>
      <c r="J351" s="2775"/>
    </row>
    <row r="352" spans="1:10">
      <c r="A352" s="2941" t="s">
        <v>307</v>
      </c>
      <c r="B352" s="2941" t="s">
        <v>2945</v>
      </c>
      <c r="C352" s="2941">
        <v>3670</v>
      </c>
      <c r="D352" s="2941">
        <v>3630</v>
      </c>
      <c r="E352" s="2941">
        <v>4000</v>
      </c>
      <c r="F352" s="2941">
        <v>750</v>
      </c>
      <c r="G352" s="2941">
        <v>2180</v>
      </c>
    </row>
    <row r="353" spans="1:7" s="2776" customFormat="1">
      <c r="A353" s="2941" t="s">
        <v>307</v>
      </c>
      <c r="B353" s="2941" t="s">
        <v>3157</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2965</v>
      </c>
      <c r="C355" s="2941">
        <v>3650</v>
      </c>
      <c r="D355" s="2941">
        <v>3610</v>
      </c>
      <c r="E355" s="2941">
        <v>4200</v>
      </c>
      <c r="F355" s="2941">
        <v>640</v>
      </c>
      <c r="G355" s="2941">
        <v>2160</v>
      </c>
    </row>
    <row r="356" spans="1:7" s="2776" customFormat="1">
      <c r="A356" s="2941" t="s">
        <v>307</v>
      </c>
      <c r="B356" s="2941" t="s">
        <v>2972</v>
      </c>
      <c r="C356" s="2941">
        <v>3260</v>
      </c>
      <c r="D356" s="2941">
        <v>3230</v>
      </c>
      <c r="E356" s="2941">
        <v>3740</v>
      </c>
      <c r="F356" s="2941">
        <v>600</v>
      </c>
      <c r="G356" s="2941">
        <v>1930</v>
      </c>
    </row>
    <row r="357" spans="1:7" s="2776" customFormat="1" ht="11.4" thickBot="1">
      <c r="A357" s="2949" t="s">
        <v>307</v>
      </c>
      <c r="B357" s="2952" t="s">
        <v>3158</v>
      </c>
      <c r="C357" s="2952">
        <v>3690</v>
      </c>
      <c r="D357" s="2952">
        <v>3650</v>
      </c>
      <c r="E357" s="2952">
        <v>4020</v>
      </c>
      <c r="F357" s="2952">
        <v>700</v>
      </c>
      <c r="G357" s="2952">
        <v>2190</v>
      </c>
    </row>
    <row r="358" spans="1:7" s="2776" customFormat="1">
      <c r="A358" s="2946" t="s">
        <v>3159</v>
      </c>
      <c r="B358" s="2937" t="s">
        <v>3160</v>
      </c>
      <c r="C358" s="2937">
        <v>2080</v>
      </c>
      <c r="D358" s="2937">
        <v>2040</v>
      </c>
      <c r="E358" s="2937">
        <v>2010</v>
      </c>
      <c r="F358" s="2937">
        <v>530</v>
      </c>
      <c r="G358" s="2953">
        <v>1230</v>
      </c>
    </row>
    <row r="359" spans="1:7" s="2776" customFormat="1">
      <c r="A359" s="2941" t="s">
        <v>3159</v>
      </c>
      <c r="B359" s="2941" t="s">
        <v>3161</v>
      </c>
      <c r="C359" s="2941">
        <v>1850</v>
      </c>
      <c r="D359" s="2941">
        <v>1820</v>
      </c>
      <c r="E359" s="2941">
        <v>1780</v>
      </c>
      <c r="F359" s="2941">
        <v>520</v>
      </c>
      <c r="G359" s="2954">
        <v>1100</v>
      </c>
    </row>
    <row r="360" spans="1:7" s="2776" customFormat="1">
      <c r="A360" s="2941" t="s">
        <v>3159</v>
      </c>
      <c r="B360" s="2941" t="s">
        <v>3162</v>
      </c>
      <c r="C360" s="2941">
        <v>2020</v>
      </c>
      <c r="D360" s="2941">
        <v>1990</v>
      </c>
      <c r="E360" s="2941">
        <v>1950</v>
      </c>
      <c r="F360" s="2941">
        <v>500</v>
      </c>
      <c r="G360" s="2954">
        <v>1200</v>
      </c>
    </row>
    <row r="361" spans="1:7" s="2776" customFormat="1">
      <c r="A361" s="2941" t="s">
        <v>3159</v>
      </c>
      <c r="B361" s="2941" t="s">
        <v>153</v>
      </c>
      <c r="C361" s="2941">
        <v>2260</v>
      </c>
      <c r="D361" s="2941">
        <v>2220</v>
      </c>
      <c r="E361" s="2941">
        <v>2180</v>
      </c>
      <c r="F361" s="2941">
        <v>580</v>
      </c>
      <c r="G361" s="2954">
        <v>1340</v>
      </c>
    </row>
    <row r="362" spans="1:7" s="2776" customFormat="1">
      <c r="A362" s="2941" t="s">
        <v>3159</v>
      </c>
      <c r="B362" s="2941" t="s">
        <v>3163</v>
      </c>
      <c r="C362" s="2941">
        <v>2650</v>
      </c>
      <c r="D362" s="2941">
        <v>2610</v>
      </c>
      <c r="E362" s="2941">
        <v>2570</v>
      </c>
      <c r="F362" s="2941">
        <v>630</v>
      </c>
      <c r="G362" s="2954">
        <v>1570</v>
      </c>
    </row>
    <row r="363" spans="1:7" s="2776" customFormat="1">
      <c r="A363" s="2941" t="s">
        <v>3159</v>
      </c>
      <c r="B363" s="2941" t="s">
        <v>2884</v>
      </c>
      <c r="C363" s="2941">
        <v>2390</v>
      </c>
      <c r="D363" s="2941">
        <v>2360</v>
      </c>
      <c r="E363" s="2941">
        <v>2320</v>
      </c>
      <c r="F363" s="2941">
        <v>600</v>
      </c>
      <c r="G363" s="2954">
        <v>1420</v>
      </c>
    </row>
    <row r="364" spans="1:7" s="2776" customFormat="1">
      <c r="A364" s="2941" t="s">
        <v>3159</v>
      </c>
      <c r="B364" s="2941" t="s">
        <v>3164</v>
      </c>
      <c r="C364" s="2941">
        <v>2050</v>
      </c>
      <c r="D364" s="2941">
        <v>2030</v>
      </c>
      <c r="E364" s="2941">
        <v>1990</v>
      </c>
      <c r="F364" s="2941">
        <v>550</v>
      </c>
      <c r="G364" s="2954">
        <v>1220</v>
      </c>
    </row>
    <row r="365" spans="1:7" s="2776" customFormat="1">
      <c r="A365" s="2941" t="s">
        <v>3159</v>
      </c>
      <c r="B365" s="2941" t="s">
        <v>200</v>
      </c>
      <c r="C365" s="2941">
        <v>2140</v>
      </c>
      <c r="D365" s="2941">
        <v>2100</v>
      </c>
      <c r="E365" s="2941">
        <v>2060</v>
      </c>
      <c r="F365" s="2941">
        <v>540</v>
      </c>
      <c r="G365" s="2954">
        <v>1270</v>
      </c>
    </row>
    <row r="366" spans="1:7" s="2776" customFormat="1">
      <c r="A366" s="2941" t="s">
        <v>3159</v>
      </c>
      <c r="B366" s="2941" t="s">
        <v>2891</v>
      </c>
      <c r="C366" s="2941">
        <v>2410</v>
      </c>
      <c r="D366" s="2941">
        <v>2370</v>
      </c>
      <c r="E366" s="2941">
        <v>2330</v>
      </c>
      <c r="F366" s="2941">
        <v>570</v>
      </c>
      <c r="G366" s="2954">
        <v>1440</v>
      </c>
    </row>
    <row r="367" spans="1:7" s="2776" customFormat="1">
      <c r="A367" s="2941" t="s">
        <v>3159</v>
      </c>
      <c r="B367" s="2941" t="s">
        <v>3165</v>
      </c>
      <c r="C367" s="2941">
        <v>2300</v>
      </c>
      <c r="D367" s="2941">
        <v>2260</v>
      </c>
      <c r="E367" s="2941">
        <v>2220</v>
      </c>
      <c r="F367" s="2941">
        <v>560</v>
      </c>
      <c r="G367" s="2954">
        <v>1370</v>
      </c>
    </row>
    <row r="368" spans="1:7" s="2776" customFormat="1">
      <c r="A368" s="2941" t="s">
        <v>3159</v>
      </c>
      <c r="B368" s="2941" t="s">
        <v>3166</v>
      </c>
      <c r="C368" s="2941">
        <v>2430</v>
      </c>
      <c r="D368" s="2941">
        <v>2390</v>
      </c>
      <c r="E368" s="2941">
        <v>2350</v>
      </c>
      <c r="F368" s="2941">
        <v>570</v>
      </c>
      <c r="G368" s="2954">
        <v>1450</v>
      </c>
    </row>
    <row r="369" spans="1:7" s="2776" customFormat="1">
      <c r="A369" s="2941" t="s">
        <v>3159</v>
      </c>
      <c r="B369" s="2941" t="s">
        <v>214</v>
      </c>
      <c r="C369" s="2941">
        <v>2320</v>
      </c>
      <c r="D369" s="2941">
        <v>2290</v>
      </c>
      <c r="E369" s="2941">
        <v>2250</v>
      </c>
      <c r="F369" s="2941">
        <v>550</v>
      </c>
      <c r="G369" s="2954">
        <v>1380</v>
      </c>
    </row>
    <row r="370" spans="1:7" s="2776" customFormat="1">
      <c r="A370" s="2941" t="s">
        <v>3159</v>
      </c>
      <c r="B370" s="2941" t="s">
        <v>221</v>
      </c>
      <c r="C370" s="2941">
        <v>2190</v>
      </c>
      <c r="D370" s="2941">
        <v>2170</v>
      </c>
      <c r="E370" s="2941">
        <v>2130</v>
      </c>
      <c r="F370" s="2941">
        <v>530</v>
      </c>
      <c r="G370" s="2954">
        <v>1310</v>
      </c>
    </row>
    <row r="371" spans="1:7" s="2776" customFormat="1">
      <c r="A371" s="2941" t="s">
        <v>3159</v>
      </c>
      <c r="B371" s="2941" t="s">
        <v>229</v>
      </c>
      <c r="C371" s="2941">
        <v>2460</v>
      </c>
      <c r="D371" s="2941">
        <v>2420</v>
      </c>
      <c r="E371" s="2941">
        <v>2370</v>
      </c>
      <c r="F371" s="2941">
        <v>560</v>
      </c>
      <c r="G371" s="2954">
        <v>1470</v>
      </c>
    </row>
    <row r="372" spans="1:7" s="2776" customFormat="1">
      <c r="A372" s="2941" t="s">
        <v>3159</v>
      </c>
      <c r="B372" s="2941" t="s">
        <v>3167</v>
      </c>
      <c r="C372" s="2941">
        <v>2250</v>
      </c>
      <c r="D372" s="2941">
        <v>2210</v>
      </c>
      <c r="E372" s="2941">
        <v>2180</v>
      </c>
      <c r="F372" s="2941">
        <v>550</v>
      </c>
      <c r="G372" s="2954">
        <v>1340</v>
      </c>
    </row>
    <row r="373" spans="1:7" s="2776" customFormat="1">
      <c r="A373" s="2941" t="s">
        <v>3159</v>
      </c>
      <c r="B373" s="2941" t="s">
        <v>258</v>
      </c>
      <c r="C373" s="2941">
        <v>2210</v>
      </c>
      <c r="D373" s="2941">
        <v>2190</v>
      </c>
      <c r="E373" s="2941">
        <v>2150</v>
      </c>
      <c r="F373" s="2941">
        <v>530</v>
      </c>
      <c r="G373" s="2954">
        <v>1320</v>
      </c>
    </row>
    <row r="374" spans="1:7" s="2776" customFormat="1">
      <c r="A374" s="2941" t="s">
        <v>3159</v>
      </c>
      <c r="B374" s="2941" t="s">
        <v>266</v>
      </c>
      <c r="C374" s="2941">
        <v>2320</v>
      </c>
      <c r="D374" s="2941">
        <v>2280</v>
      </c>
      <c r="E374" s="2941">
        <v>2230</v>
      </c>
      <c r="F374" s="2941">
        <v>580</v>
      </c>
      <c r="G374" s="2954">
        <v>1380</v>
      </c>
    </row>
    <row r="375" spans="1:7" s="2776" customFormat="1">
      <c r="A375" s="2941" t="s">
        <v>3159</v>
      </c>
      <c r="B375" s="2941" t="s">
        <v>3168</v>
      </c>
      <c r="C375" s="2941">
        <v>2090</v>
      </c>
      <c r="D375" s="2941">
        <v>2050</v>
      </c>
      <c r="E375" s="2941">
        <v>2020</v>
      </c>
      <c r="F375" s="2941">
        <v>520</v>
      </c>
      <c r="G375" s="2954">
        <v>1240</v>
      </c>
    </row>
    <row r="376" spans="1:7" s="2776" customFormat="1">
      <c r="A376" s="2941" t="s">
        <v>3159</v>
      </c>
      <c r="B376" s="2941" t="s">
        <v>277</v>
      </c>
      <c r="C376" s="2941">
        <v>2010</v>
      </c>
      <c r="D376" s="2941">
        <v>1980</v>
      </c>
      <c r="E376" s="2941">
        <v>1940</v>
      </c>
      <c r="F376" s="2941">
        <v>540</v>
      </c>
      <c r="G376" s="2954">
        <v>1190</v>
      </c>
    </row>
    <row r="377" spans="1:7" s="2776" customFormat="1" ht="11.4" thickBot="1">
      <c r="A377" s="2949" t="s">
        <v>3159</v>
      </c>
      <c r="B377" s="2952" t="s">
        <v>2921</v>
      </c>
      <c r="C377" s="2952">
        <v>1930</v>
      </c>
      <c r="D377" s="2952">
        <v>1890</v>
      </c>
      <c r="E377" s="2952">
        <v>1860</v>
      </c>
      <c r="F377" s="2952">
        <v>530</v>
      </c>
      <c r="G377" s="2957">
        <v>1150</v>
      </c>
    </row>
    <row r="378" spans="1:7" s="2776" customFormat="1">
      <c r="A378" s="2958" t="s">
        <v>3169</v>
      </c>
      <c r="B378" s="2937" t="s">
        <v>3170</v>
      </c>
      <c r="C378" s="2937">
        <v>1520</v>
      </c>
      <c r="D378" s="2937">
        <v>1490</v>
      </c>
      <c r="E378" s="2937">
        <v>1460</v>
      </c>
      <c r="F378" s="2937">
        <v>460</v>
      </c>
      <c r="G378" s="2953">
        <v>940</v>
      </c>
    </row>
    <row r="379" spans="1:7" s="2776" customFormat="1">
      <c r="A379" s="2959" t="s">
        <v>3169</v>
      </c>
      <c r="B379" s="2941" t="s">
        <v>3171</v>
      </c>
      <c r="C379" s="2941">
        <v>1500</v>
      </c>
      <c r="D379" s="2941">
        <v>1470</v>
      </c>
      <c r="E379" s="2941">
        <v>1430</v>
      </c>
      <c r="F379" s="2941">
        <v>460</v>
      </c>
      <c r="G379" s="2954">
        <v>920</v>
      </c>
    </row>
    <row r="380" spans="1:7" s="2776" customFormat="1">
      <c r="A380" s="2959" t="s">
        <v>3169</v>
      </c>
      <c r="B380" s="2941" t="s">
        <v>3172</v>
      </c>
      <c r="C380" s="2941">
        <v>1620</v>
      </c>
      <c r="D380" s="2941">
        <v>1590</v>
      </c>
      <c r="E380" s="2941">
        <v>1560</v>
      </c>
      <c r="F380" s="2941">
        <v>480</v>
      </c>
      <c r="G380" s="2954">
        <v>1000</v>
      </c>
    </row>
    <row r="381" spans="1:7" s="2776" customFormat="1">
      <c r="A381" s="2959" t="s">
        <v>3169</v>
      </c>
      <c r="B381" s="2941" t="s">
        <v>3173</v>
      </c>
      <c r="C381" s="2941">
        <v>1460</v>
      </c>
      <c r="D381" s="2941">
        <v>1430</v>
      </c>
      <c r="E381" s="2941">
        <v>1390</v>
      </c>
      <c r="F381" s="2941">
        <v>450</v>
      </c>
      <c r="G381" s="2954">
        <v>900</v>
      </c>
    </row>
    <row r="382" spans="1:7" s="2776" customFormat="1">
      <c r="A382" s="2959" t="s">
        <v>3169</v>
      </c>
      <c r="B382" s="2941" t="s">
        <v>3174</v>
      </c>
      <c r="C382" s="2941">
        <v>1310</v>
      </c>
      <c r="D382" s="2941">
        <v>1280</v>
      </c>
      <c r="E382" s="2941">
        <v>1250</v>
      </c>
      <c r="F382" s="2941">
        <v>440</v>
      </c>
      <c r="G382" s="2954">
        <v>800</v>
      </c>
    </row>
    <row r="383" spans="1:7" s="2776" customFormat="1">
      <c r="A383" s="2959" t="s">
        <v>3169</v>
      </c>
      <c r="B383" s="2941" t="s">
        <v>3175</v>
      </c>
      <c r="C383" s="2941">
        <v>1260</v>
      </c>
      <c r="D383" s="2941">
        <v>1230</v>
      </c>
      <c r="E383" s="2941">
        <v>1200</v>
      </c>
      <c r="F383" s="2941">
        <v>420</v>
      </c>
      <c r="G383" s="2954">
        <v>770</v>
      </c>
    </row>
    <row r="384" spans="1:7" s="2776" customFormat="1" ht="11.4" thickBot="1">
      <c r="A384" s="2960" t="s">
        <v>3169</v>
      </c>
      <c r="B384" s="2948" t="s">
        <v>3176</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45903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45097</v>
      </c>
      <c r="D18" s="1202">
        <v>3.55</v>
      </c>
      <c r="E18" s="1202">
        <f>D18</f>
        <v>3.55</v>
      </c>
      <c r="F18" s="1202">
        <f t="shared" si="0"/>
        <v>3.55</v>
      </c>
      <c r="G18" s="1202">
        <f t="shared" si="1"/>
        <v>3.55</v>
      </c>
      <c r="H18" s="1202">
        <v>4.2</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1197" t="s">
        <v>2305</v>
      </c>
      <c r="C27" s="1204">
        <v>43697</v>
      </c>
      <c r="D27" s="2568">
        <v>4.25</v>
      </c>
      <c r="E27" s="2568">
        <v>4.25</v>
      </c>
      <c r="F27" s="2568">
        <v>4.25</v>
      </c>
      <c r="G27" s="2568">
        <v>4.25</v>
      </c>
      <c r="H27" s="2568">
        <v>4.8499999999999996</v>
      </c>
      <c r="I27" s="2568"/>
      <c r="J27" s="2568"/>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5.6">
      <c r="B28" s="2571"/>
      <c r="C28" s="2572">
        <v>42301</v>
      </c>
      <c r="D28" s="2573">
        <v>4.3499999999999996</v>
      </c>
      <c r="E28" s="2573">
        <v>4.3499999999999996</v>
      </c>
      <c r="F28" s="2573">
        <v>4.75</v>
      </c>
      <c r="G28" s="2573">
        <v>4.75</v>
      </c>
      <c r="H28" s="2573">
        <v>4.9000000000000004</v>
      </c>
      <c r="I28" s="2573"/>
      <c r="J28" s="2573"/>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798" t="s">
        <v>925</v>
      </c>
      <c r="E3" s="798" t="s">
        <v>931</v>
      </c>
      <c r="F3" s="798" t="s">
        <v>925</v>
      </c>
      <c r="G3" s="798" t="s">
        <v>926</v>
      </c>
      <c r="H3" s="798" t="s">
        <v>925</v>
      </c>
      <c r="I3" s="798" t="s">
        <v>926</v>
      </c>
    </row>
    <row r="4" spans="1:9" ht="30">
      <c r="A4" s="1400" t="str">
        <f>项目基本情况!S2</f>
        <v>北京市朝阳区建国门外大街甲6号1幢房地产</v>
      </c>
      <c r="B4" s="798">
        <f>项目基本情况!C17</f>
        <v>50178.659999999996</v>
      </c>
      <c r="C4" s="798">
        <f>项目基本情况!C18</f>
        <v>3497.08</v>
      </c>
      <c r="D4" s="798">
        <f ca="1">结果表!D118</f>
        <v>257188</v>
      </c>
      <c r="E4" s="798">
        <f ca="1">结果表!E118</f>
        <v>51254</v>
      </c>
      <c r="F4" s="798">
        <f ca="1">结果表!F118</f>
        <v>64699</v>
      </c>
      <c r="G4" s="798">
        <f ca="1">结果表!G118</f>
        <v>12894</v>
      </c>
      <c r="H4" s="798">
        <f ca="1">结果表!H118</f>
        <v>321887</v>
      </c>
      <c r="I4" s="798">
        <f ca="1">结果表!I118</f>
        <v>64148</v>
      </c>
    </row>
    <row r="5" spans="1:9" ht="30" customHeight="1">
      <c r="A5" s="3199" t="s">
        <v>927</v>
      </c>
      <c r="B5" s="3199"/>
      <c r="C5" s="3199"/>
      <c r="D5" s="3199" t="str">
        <f ca="1">结果表!D119</f>
        <v>贰拾伍亿柒仟壹佰捌拾捌万元整</v>
      </c>
      <c r="E5" s="3199"/>
      <c r="F5" s="3199" t="str">
        <f ca="1">结果表!F119</f>
        <v>陆亿肆仟陆佰玖拾玖万元整</v>
      </c>
      <c r="G5" s="3199"/>
      <c r="H5" s="3199" t="str">
        <f ca="1">结果表!H119</f>
        <v>叁拾贰亿壹仟捌佰捌拾柒万元整</v>
      </c>
      <c r="I5" s="3199"/>
    </row>
    <row r="6" spans="1:9" ht="15.6">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6">
      <c r="A8" s="3198" t="str">
        <f>结果表!A122</f>
        <v>房地产抵押价值</v>
      </c>
      <c r="B8" s="3198"/>
      <c r="C8" s="3198"/>
      <c r="D8" s="3198">
        <f ca="1">结果表!D122</f>
        <v>321887</v>
      </c>
      <c r="E8" s="3198"/>
      <c r="F8" s="3198"/>
      <c r="G8" s="3198"/>
      <c r="H8" s="3198"/>
      <c r="I8" s="3198"/>
    </row>
    <row r="9" spans="1:9" ht="15">
      <c r="A9" s="3199" t="s">
        <v>927</v>
      </c>
      <c r="B9" s="3199"/>
      <c r="C9" s="3199"/>
      <c r="D9" s="3199" t="str">
        <f ca="1">结果表!D123</f>
        <v>叁拾贰亿壹仟捌佰捌拾柒万元整</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6">
      <c r="A12" s="3198" t="str">
        <f>结果表!A126</f>
        <v>抵押净值</v>
      </c>
      <c r="B12" s="3198"/>
      <c r="C12" s="3198"/>
      <c r="D12" s="3198">
        <f ca="1">结果表!D126</f>
        <v>122371</v>
      </c>
      <c r="E12" s="3198"/>
      <c r="F12" s="3198"/>
      <c r="G12" s="3198"/>
      <c r="H12" s="3198"/>
      <c r="I12" s="3198"/>
    </row>
    <row r="13" spans="1:9" ht="15.6" thickBot="1">
      <c r="A13" s="3196" t="s">
        <v>927</v>
      </c>
      <c r="B13" s="3196"/>
      <c r="C13" s="3196"/>
      <c r="D13" s="3196" t="str">
        <f ca="1">结果表!D127</f>
        <v>壹拾贰亿贰仟叁佰柒拾壹万元整</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1" t="s">
        <v>949</v>
      </c>
      <c r="B1" s="3211"/>
      <c r="C1" s="3211"/>
      <c r="D1" s="3211"/>
    </row>
    <row r="2" spans="1:4" ht="17.399999999999999">
      <c r="A2" s="3212" t="s">
        <v>933</v>
      </c>
      <c r="B2" s="3212"/>
      <c r="C2" s="3212"/>
      <c r="D2" s="3212"/>
    </row>
    <row r="3" spans="1:4" ht="17.399999999999999">
      <c r="A3" s="1404" t="s">
        <v>934</v>
      </c>
      <c r="B3" s="1404" t="s">
        <v>935</v>
      </c>
      <c r="C3" s="1404" t="s">
        <v>936</v>
      </c>
      <c r="D3" s="1404" t="s">
        <v>937</v>
      </c>
    </row>
    <row r="4" spans="1:4" ht="56.25" customHeight="1">
      <c r="A4" s="1405" t="str">
        <f>项目基本情况!B4</f>
        <v>梁津</v>
      </c>
      <c r="B4" s="1406">
        <f ca="1">项目基本情况!C4</f>
        <v>1119970066</v>
      </c>
      <c r="C4" s="1407"/>
      <c r="D4" s="1408" t="s">
        <v>938</v>
      </c>
    </row>
    <row r="5" spans="1:4" ht="56.25" customHeight="1">
      <c r="A5" s="1405" t="str">
        <f>项目基本情况!D4</f>
        <v>郑燚</v>
      </c>
      <c r="B5" s="1406">
        <f ca="1">项目基本情况!E4</f>
        <v>1120070131</v>
      </c>
      <c r="C5" s="1409"/>
      <c r="D5" s="1408" t="s">
        <v>938</v>
      </c>
    </row>
    <row r="6" spans="1:4" ht="17.399999999999999">
      <c r="A6" s="3212" t="s">
        <v>939</v>
      </c>
      <c r="B6" s="3212"/>
      <c r="C6" s="3212"/>
      <c r="D6" s="3212"/>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19" t="s">
        <v>956</v>
      </c>
      <c r="B15" s="3214" t="s">
        <v>109</v>
      </c>
      <c r="C15" s="3215"/>
    </row>
    <row r="16" spans="1:7" ht="14.4">
      <c r="A16" s="3220"/>
      <c r="B16" s="3214" t="s">
        <v>42</v>
      </c>
      <c r="C16" s="3215"/>
    </row>
    <row r="17" spans="1:3" ht="14.4">
      <c r="A17" s="3220"/>
      <c r="B17" s="3217" t="s">
        <v>957</v>
      </c>
      <c r="C17" s="1426" t="s">
        <v>956</v>
      </c>
    </row>
    <row r="18" spans="1:3" ht="14.4">
      <c r="A18" s="3220"/>
      <c r="B18" s="3217"/>
      <c r="C18" s="1426" t="s">
        <v>958</v>
      </c>
    </row>
    <row r="19" spans="1:3" ht="14.4">
      <c r="A19" s="3220"/>
      <c r="B19" s="3217"/>
      <c r="C19" s="1426" t="s">
        <v>959</v>
      </c>
    </row>
    <row r="20" spans="1:3" ht="14.4">
      <c r="A20" s="3221"/>
      <c r="B20" s="3216" t="s">
        <v>960</v>
      </c>
      <c r="C20" s="3215"/>
    </row>
    <row r="21" spans="1:3" ht="14.4">
      <c r="A21" s="1427" t="s">
        <v>961</v>
      </c>
      <c r="B21" s="1428"/>
      <c r="C21" s="1429"/>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6" t="s">
        <v>967</v>
      </c>
    </row>
    <row r="26" spans="1:3" ht="14.4">
      <c r="A26" s="3218"/>
      <c r="B26" s="3217"/>
      <c r="C26" s="1426" t="s">
        <v>968</v>
      </c>
    </row>
    <row r="27" spans="1:3" ht="14.4">
      <c r="A27" s="3218"/>
      <c r="B27" s="3217"/>
      <c r="C27" s="1426" t="s">
        <v>969</v>
      </c>
    </row>
    <row r="28" spans="1:3" ht="14.4">
      <c r="A28" s="3218"/>
      <c r="B28" s="3217"/>
      <c r="C28" s="1426" t="s">
        <v>970</v>
      </c>
    </row>
    <row r="29" spans="1:3" ht="14.4">
      <c r="A29" s="3218"/>
      <c r="B29" s="3217"/>
      <c r="C29" s="1426" t="s">
        <v>971</v>
      </c>
    </row>
    <row r="30" spans="1:3" ht="14.4">
      <c r="A30" s="3218"/>
      <c r="B30" s="3217"/>
      <c r="C30" s="1426" t="s">
        <v>972</v>
      </c>
    </row>
    <row r="31" spans="1:3" ht="14.4">
      <c r="A31" s="3218"/>
      <c r="B31" s="3217"/>
      <c r="C31" s="1426" t="s">
        <v>973</v>
      </c>
    </row>
    <row r="32" spans="1:3" ht="14.4">
      <c r="A32" s="3218"/>
      <c r="B32" s="3217"/>
      <c r="C32" s="1426" t="s">
        <v>974</v>
      </c>
    </row>
    <row r="33" spans="1:3" ht="14.4">
      <c r="A33" s="3218"/>
      <c r="B33" s="3217"/>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45903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57"/>
      <c r="E18" s="3224" t="s">
        <v>2162</v>
      </c>
      <c r="F18" s="3223"/>
      <c r="G18" s="3223"/>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收益法（汇总）</vt:lpstr>
      <vt:lpstr>收益法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收益法办</vt:lpstr>
      <vt:lpstr>中海金融中心</vt:lpstr>
      <vt:lpstr>丽金智地中心</vt:lpstr>
      <vt:lpstr>中海国际中心</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2025-09-03T06:17:46Z</dcterms:modified>
</cp:coreProperties>
</file>