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新南路60号复估-门麒-查不动产\"/>
    </mc:Choice>
  </mc:AlternateContent>
  <xr:revisionPtr revIDLastSave="0" documentId="13_ncr:1_{ACF727BF-B099-4405-9C4F-C4E434F181DD}" xr6:coauthVersionLast="47" xr6:coauthVersionMax="47" xr10:uidLastSave="{00000000-0000-0000-0000-000000000000}"/>
  <bookViews>
    <workbookView xWindow="-108" yWindow="-108" windowWidth="20376" windowHeight="12216" tabRatio="899" firstSheet="7"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系统读取表" sheetId="74" r:id="rId15"/>
    <sheet name="正评截图" sheetId="80" r:id="rId16"/>
    <sheet name="数据-取费表" sheetId="1" r:id="rId17"/>
    <sheet name="估价对象房地状况" sheetId="20" r:id="rId18"/>
    <sheet name="结果表" sheetId="9"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H5" i="74"/>
  <c r="D14" i="74" s="1"/>
  <c r="B14" i="74"/>
  <c r="F19" i="6"/>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S34" i="79"/>
  <c r="AG34" i="79" s="1"/>
  <c r="S35" i="79"/>
  <c r="AG35" i="79" s="1"/>
  <c r="S33" i="79"/>
  <c r="AG33" i="79" s="1"/>
  <c r="T40" i="79"/>
  <c r="U46" i="79"/>
  <c r="AI46" i="79" s="1"/>
  <c r="AD47" i="79"/>
  <c r="S48" i="79"/>
  <c r="AG48" i="79" s="1"/>
  <c r="AR18" i="79"/>
  <c r="AR19" i="79" s="1"/>
  <c r="AR20" i="79" s="1"/>
  <c r="AR21" i="79" s="1"/>
  <c r="AR22" i="79" s="1"/>
  <c r="AR23" i="79" s="1"/>
  <c r="AR24" i="79" s="1"/>
  <c r="T33" i="79"/>
  <c r="T34" i="79"/>
  <c r="T35"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40" i="79"/>
  <c r="AK40" i="79" s="1"/>
  <c r="AH40"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AC18" i="35" s="1"/>
  <c r="H21" i="37"/>
  <c r="F21" i="37"/>
  <c r="AA21" i="37" s="1"/>
  <c r="H21" i="34"/>
  <c r="AB21" i="34" s="1"/>
  <c r="H21" i="33"/>
  <c r="U21" i="33" s="1"/>
  <c r="F21" i="33"/>
  <c r="S21" i="33" s="1"/>
  <c r="E83" i="21"/>
  <c r="F83" i="21" s="1"/>
  <c r="H1" i="69"/>
  <c r="AC25" i="40"/>
  <c r="W25" i="40"/>
  <c r="U29" i="39"/>
  <c r="W29" i="39"/>
  <c r="AB21" i="37"/>
  <c r="U21" i="37"/>
  <c r="AA21" i="33"/>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J35" i="34"/>
  <c r="W9" i="34"/>
  <c r="U34" i="34"/>
  <c r="H39" i="33"/>
  <c r="AB39" i="33" s="1"/>
  <c r="F26" i="33"/>
  <c r="AA26" i="33" s="1"/>
  <c r="U33" i="33"/>
  <c r="S40" i="33"/>
  <c r="W33" i="33"/>
  <c r="S27" i="35"/>
  <c r="F11" i="40"/>
  <c r="AA11" i="40" s="1"/>
  <c r="H11" i="40"/>
  <c r="AB11" i="40"/>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AB23" i="34" s="1"/>
  <c r="J23" i="34"/>
  <c r="F19" i="34"/>
  <c r="H17" i="34"/>
  <c r="U17" i="34" s="1"/>
  <c r="F15" i="34"/>
  <c r="AA15" i="34" s="1"/>
  <c r="J15" i="34"/>
  <c r="H15" i="34"/>
  <c r="AB15" i="34" s="1"/>
  <c r="W8" i="34"/>
  <c r="F41" i="33"/>
  <c r="S41" i="33" s="1"/>
  <c r="AA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F113" i="33"/>
  <c r="G113" i="33" s="1"/>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s="1"/>
  <c r="J42" i="21"/>
  <c r="AC42" i="21" s="1"/>
  <c r="H42" i="21"/>
  <c r="U42" i="21" s="1"/>
  <c r="J44" i="34"/>
  <c r="F44" i="34"/>
  <c r="J10" i="35"/>
  <c r="AC10" i="35" s="1"/>
  <c r="J14" i="21"/>
  <c r="W14" i="21"/>
  <c r="F14" i="21"/>
  <c r="S14" i="21" s="1"/>
  <c r="U14" i="21"/>
  <c r="H28" i="21"/>
  <c r="AB28" i="21" s="1"/>
  <c r="F28" i="21"/>
  <c r="AA28" i="21" s="1"/>
  <c r="J28" i="21"/>
  <c r="W28" i="21" s="1"/>
  <c r="H30" i="21"/>
  <c r="U30" i="21"/>
  <c r="J30" i="21"/>
  <c r="AC30" i="21" s="1"/>
  <c r="J44" i="21"/>
  <c r="AC44" i="21" s="1"/>
  <c r="H44" i="21"/>
  <c r="U44" i="21"/>
  <c r="F44" i="21"/>
  <c r="AA44" i="21" s="1"/>
  <c r="H46" i="21"/>
  <c r="U46" i="21" s="1"/>
  <c r="J46" i="21"/>
  <c r="F46" i="21"/>
  <c r="AA46" i="21" s="1"/>
  <c r="H26" i="33"/>
  <c r="AB26" i="33" s="1"/>
  <c r="U26" i="33"/>
  <c r="H28" i="33"/>
  <c r="U28" i="33" s="1"/>
  <c r="F28" i="33"/>
  <c r="AA28" i="33"/>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AB27" i="21"/>
  <c r="F27" i="21"/>
  <c r="AA27" i="21" s="1"/>
  <c r="H29" i="21"/>
  <c r="U29" i="21" s="1"/>
  <c r="J31" i="21"/>
  <c r="AC31" i="21" s="1"/>
  <c r="F31" i="21"/>
  <c r="S31" i="21"/>
  <c r="F45" i="21"/>
  <c r="AA45" i="21" s="1"/>
  <c r="F27" i="33"/>
  <c r="AA27" i="33"/>
  <c r="J13" i="33"/>
  <c r="H13" i="33"/>
  <c r="U13" i="33" s="1"/>
  <c r="F13" i="33"/>
  <c r="S13" i="33"/>
  <c r="J29" i="33"/>
  <c r="H29" i="33"/>
  <c r="U29" i="33"/>
  <c r="F29" i="33"/>
  <c r="S29" i="33" s="1"/>
  <c r="J31" i="33"/>
  <c r="H31" i="33"/>
  <c r="F31" i="33"/>
  <c r="H45" i="33"/>
  <c r="J45" i="33"/>
  <c r="W45" i="33" s="1"/>
  <c r="F45" i="33"/>
  <c r="AA45" i="33"/>
  <c r="J14" i="34"/>
  <c r="W14" i="34" s="1"/>
  <c r="F14" i="34"/>
  <c r="S14" i="34"/>
  <c r="H14" i="34"/>
  <c r="H30" i="34"/>
  <c r="F30" i="34"/>
  <c r="S30" i="34"/>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H14" i="33"/>
  <c r="U14" i="33" s="1"/>
  <c r="F14" i="33"/>
  <c r="S14" i="33"/>
  <c r="J14" i="33"/>
  <c r="H30" i="33"/>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F43" i="39"/>
  <c r="AA43" i="39" s="1"/>
  <c r="H43" i="39"/>
  <c r="J14" i="39"/>
  <c r="AC14" i="39" s="1"/>
  <c r="F14" i="39"/>
  <c r="H14" i="39"/>
  <c r="AB14" i="39"/>
  <c r="F12" i="40"/>
  <c r="H12" i="40"/>
  <c r="AB12" i="40"/>
  <c r="H30" i="40"/>
  <c r="AB30" i="40" s="1"/>
  <c r="F33" i="40"/>
  <c r="AA33" i="40"/>
  <c r="H33" i="40"/>
  <c r="J35" i="40"/>
  <c r="AC35" i="40"/>
  <c r="J37" i="40"/>
  <c r="AC37" i="40" s="1"/>
  <c r="H13" i="40"/>
  <c r="U13" i="40"/>
  <c r="J13" i="40"/>
  <c r="W13" i="40" s="1"/>
  <c r="F13" i="40"/>
  <c r="AA13" i="40"/>
  <c r="F14" i="37"/>
  <c r="F27" i="37"/>
  <c r="AA27" i="37"/>
  <c r="F13" i="39"/>
  <c r="S13" i="39" s="1"/>
  <c r="J13" i="39"/>
  <c r="W13" i="39" s="1"/>
  <c r="H13" i="39"/>
  <c r="H14" i="40"/>
  <c r="AB14" i="40"/>
  <c r="J14" i="40"/>
  <c r="W14" i="40" s="1"/>
  <c r="F14" i="40"/>
  <c r="AA14" i="40"/>
  <c r="J14" i="37"/>
  <c r="J27" i="37"/>
  <c r="AC27" i="37"/>
  <c r="AA44" i="33"/>
  <c r="U46" i="33"/>
  <c r="AA14" i="33"/>
  <c r="J36" i="37"/>
  <c r="AC36" i="37"/>
  <c r="J10" i="36"/>
  <c r="AC10" i="36" s="1"/>
  <c r="AB30" i="21"/>
  <c r="W31" i="34"/>
  <c r="AA14" i="34"/>
  <c r="S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4" i="3"/>
  <c r="BL560" i="3"/>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Q567" i="3"/>
  <c r="BL567" i="3"/>
  <c r="BQ565" i="3"/>
  <c r="BL565" i="3" s="1"/>
  <c r="AZ565" i="3"/>
  <c r="BQ563" i="3"/>
  <c r="BL563" i="3"/>
  <c r="AZ563" i="3" s="1"/>
  <c r="BQ561" i="3"/>
  <c r="BL561" i="3"/>
  <c r="BQ559" i="3"/>
  <c r="BL559" i="3" s="1"/>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H19" i="37"/>
  <c r="AB19" i="37" s="1"/>
  <c r="H42" i="33"/>
  <c r="J43" i="33"/>
  <c r="AC43" i="33"/>
  <c r="S28" i="31"/>
  <c r="S27" i="31"/>
  <c r="S26" i="31"/>
  <c r="U14" i="40"/>
  <c r="W23" i="35"/>
  <c r="U26" i="37"/>
  <c r="W47" i="34"/>
  <c r="AC36" i="34"/>
  <c r="AA13"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19" i="40"/>
  <c r="S19" i="40" s="1"/>
  <c r="S14" i="40"/>
  <c r="AC13" i="40"/>
  <c r="W23" i="39"/>
  <c r="AC43" i="39"/>
  <c r="W43" i="39"/>
  <c r="U45" i="39"/>
  <c r="AB45"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186"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AZ380" i="3" s="1"/>
  <c r="G381" i="3"/>
  <c r="BA383" i="3"/>
  <c r="AZ383" i="3" s="1"/>
  <c r="BL384" i="3"/>
  <c r="G385" i="3"/>
  <c r="BA387" i="3"/>
  <c r="BL388" i="3"/>
  <c r="AZ388" i="3" s="1"/>
  <c r="G389" i="3"/>
  <c r="BA391" i="3"/>
  <c r="AZ391" i="3" s="1"/>
  <c r="BL392" i="3"/>
  <c r="G393" i="3"/>
  <c r="BO5" i="3"/>
  <c r="BM5" i="3"/>
  <c r="BJ5" i="3"/>
  <c r="BH5" i="3"/>
  <c r="BF5" i="3"/>
  <c r="BD5" i="3"/>
  <c r="AZ506" i="3"/>
  <c r="G548" i="3"/>
  <c r="G538" i="3"/>
  <c r="G520" i="3"/>
  <c r="G502" i="3"/>
  <c r="BS5" i="3"/>
  <c r="BP5" i="3"/>
  <c r="BN5" i="3"/>
  <c r="BK5" i="3"/>
  <c r="BI5" i="3"/>
  <c r="BG5" i="3"/>
  <c r="BE5" i="3"/>
  <c r="BC5" i="3"/>
  <c r="G17" i="3"/>
  <c r="BA17" i="3"/>
  <c r="BT5" i="3"/>
  <c r="AZ368" i="3"/>
  <c r="BA15" i="3"/>
  <c r="AZ15" i="3" s="1"/>
  <c r="BB5" i="3"/>
  <c r="BR5" i="3"/>
  <c r="AZ392" i="3"/>
  <c r="AZ499"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B23" i="35"/>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69" i="3"/>
  <c r="AZ77"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3" i="36"/>
  <c r="U33" i="36"/>
  <c r="AC12" i="39"/>
  <c r="W12" i="39"/>
  <c r="AC39" i="40"/>
  <c r="W39" i="40"/>
  <c r="AZ433" i="3"/>
  <c r="AZ586" i="3"/>
  <c r="W12" i="33"/>
  <c r="AC12" i="33"/>
  <c r="AA32" i="36"/>
  <c r="S32" i="36"/>
  <c r="AZ437" i="3"/>
  <c r="BL14" i="3"/>
  <c r="AC13" i="34"/>
  <c r="AA47" i="34"/>
  <c r="W28" i="37"/>
  <c r="S19" i="39"/>
  <c r="F12" i="33"/>
  <c r="H12" i="39"/>
  <c r="U12" i="39" s="1"/>
  <c r="AB12" i="39"/>
  <c r="F39" i="40"/>
  <c r="BA14" i="3"/>
  <c r="AZ250" i="3"/>
  <c r="AZ286" i="3"/>
  <c r="AZ157" i="3"/>
  <c r="B12" i="1"/>
  <c r="E12" i="1" s="1"/>
  <c r="B10" i="1"/>
  <c r="E10" i="1" s="1"/>
  <c r="K12" i="1"/>
  <c r="M12" i="1" s="1"/>
  <c r="S13" i="1"/>
  <c r="AR13" i="1" s="1"/>
  <c r="R13" i="1"/>
  <c r="J51" i="67"/>
  <c r="C42" i="1"/>
  <c r="C24" i="12" s="1"/>
  <c r="AC34" i="33"/>
  <c r="B41" i="1"/>
  <c r="F48" i="9" s="1"/>
  <c r="O52" i="9" s="1"/>
  <c r="AB37" i="40"/>
  <c r="S35" i="40"/>
  <c r="U35"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B14" i="36"/>
  <c r="U22" i="36"/>
  <c r="S16" i="36"/>
  <c r="AA25" i="36"/>
  <c r="S24" i="36"/>
  <c r="U23" i="36"/>
  <c r="AB20" i="36"/>
  <c r="U16" i="36"/>
  <c r="S14" i="36"/>
  <c r="AA25" i="35"/>
  <c r="S23" i="35"/>
  <c r="W24" i="35"/>
  <c r="AB13" i="35"/>
  <c r="U29" i="35"/>
  <c r="U28" i="35"/>
  <c r="AB27" i="35"/>
  <c r="U32" i="35"/>
  <c r="AC30" i="35"/>
  <c r="S32" i="35"/>
  <c r="AA36" i="35"/>
  <c r="S28" i="35"/>
  <c r="AB16" i="35"/>
  <c r="U22" i="35"/>
  <c r="AC20" i="35"/>
  <c r="S22" i="35"/>
  <c r="U14" i="35"/>
  <c r="AA11" i="35"/>
  <c r="AC9" i="35"/>
  <c r="W9" i="35"/>
  <c r="AC12" i="35"/>
  <c r="F9" i="35"/>
  <c r="S9" i="35" s="1"/>
  <c r="H9" i="35"/>
  <c r="U9" i="35" s="1"/>
  <c r="AB40" i="37"/>
  <c r="S25" i="37"/>
  <c r="W27" i="37"/>
  <c r="AC29" i="37"/>
  <c r="U29" i="37"/>
  <c r="AB31" i="37"/>
  <c r="W30" i="37"/>
  <c r="S36"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AC27" i="33" s="1"/>
  <c r="U25" i="33"/>
  <c r="AB25" i="33"/>
  <c r="S25" i="33"/>
  <c r="AA25" i="33"/>
  <c r="J25" i="33"/>
  <c r="AC25" i="33" s="1"/>
  <c r="AB23" i="33"/>
  <c r="U23" i="33"/>
  <c r="F23" i="33"/>
  <c r="G85" i="33"/>
  <c r="AA19" i="33"/>
  <c r="H19" i="33"/>
  <c r="AB19" i="33" s="1"/>
  <c r="G81" i="33"/>
  <c r="H17" i="33"/>
  <c r="U17" i="33" s="1"/>
  <c r="F17" i="33"/>
  <c r="S17" i="33" s="1"/>
  <c r="W17" i="33"/>
  <c r="AC17" i="33"/>
  <c r="S37" i="21"/>
  <c r="AA23" i="21"/>
  <c r="AB15" i="21"/>
  <c r="J23" i="21"/>
  <c r="AC23" i="21" s="1"/>
  <c r="F85" i="21"/>
  <c r="G85" i="21" s="1"/>
  <c r="H23" i="21"/>
  <c r="S13" i="21"/>
  <c r="D6" i="52"/>
  <c r="AP7" i="1"/>
  <c r="AB9" i="21"/>
  <c r="U9" i="21"/>
  <c r="AA32" i="21"/>
  <c r="W9" i="21"/>
  <c r="AC9" i="21"/>
  <c r="AB32" i="21"/>
  <c r="U32" i="39"/>
  <c r="AC32" i="39"/>
  <c r="J63" i="37"/>
  <c r="K63" i="37" s="1"/>
  <c r="L63" i="37" s="1"/>
  <c r="M63" i="37" s="1"/>
  <c r="J11" i="37"/>
  <c r="AC11" i="37" s="1"/>
  <c r="J11" i="34"/>
  <c r="W11" i="34" s="1"/>
  <c r="W25" i="33"/>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67"/>
  <c r="F16" i="67"/>
  <c r="F9" i="67"/>
  <c r="M26" i="15"/>
  <c r="M8" i="15"/>
  <c r="L48" i="67"/>
  <c r="AO13" i="1"/>
  <c r="D35" i="9"/>
  <c r="J15" i="67"/>
  <c r="F4" i="73"/>
  <c r="M22" i="15"/>
  <c r="B10" i="76"/>
  <c r="F38" i="67"/>
  <c r="E9" i="76"/>
  <c r="B9" i="76"/>
  <c r="E2" i="69"/>
  <c r="F6" i="73"/>
  <c r="B13" i="76"/>
  <c r="F40" i="15"/>
  <c r="E8" i="76"/>
  <c r="E12" i="76"/>
  <c r="M24" i="67"/>
  <c r="C76" i="67"/>
  <c r="C19" i="9"/>
  <c r="F43" i="15"/>
  <c r="M6" i="67"/>
  <c r="M8" i="67"/>
  <c r="F7" i="67"/>
  <c r="B8" i="76"/>
  <c r="E2" i="68"/>
  <c r="F7" i="73"/>
  <c r="M9" i="15"/>
  <c r="E11" i="76"/>
  <c r="D19" i="9"/>
  <c r="E10" i="76"/>
  <c r="F6" i="67"/>
  <c r="C76" i="15"/>
  <c r="M24" i="15"/>
  <c r="M28" i="15"/>
  <c r="F3" i="73"/>
  <c r="M28" i="67"/>
  <c r="F13" i="15"/>
  <c r="F8" i="15"/>
  <c r="F40" i="67"/>
  <c r="F37" i="67"/>
  <c r="F13" i="67"/>
  <c r="F9" i="15"/>
  <c r="M23" i="67"/>
  <c r="M23" i="15"/>
  <c r="L48" i="15"/>
  <c r="F16" i="15"/>
  <c r="M29" i="15"/>
  <c r="D34" i="9"/>
  <c r="F26" i="15"/>
  <c r="J15" i="15"/>
  <c r="F37" i="15"/>
  <c r="M22" i="67"/>
  <c r="F36" i="67"/>
  <c r="F42" i="15"/>
  <c r="F7" i="15"/>
  <c r="F20" i="31"/>
  <c r="B11" i="76"/>
  <c r="C20" i="9"/>
  <c r="D20" i="9"/>
  <c r="E13" i="76"/>
  <c r="M9" i="67"/>
  <c r="B12" i="76"/>
  <c r="F5" i="73"/>
  <c r="M26" i="67"/>
  <c r="L47" i="15"/>
  <c r="B7" i="76"/>
  <c r="F43" i="67"/>
  <c r="D6" i="73"/>
  <c r="F8" i="67"/>
  <c r="E7" i="76"/>
  <c r="F6" i="15"/>
  <c r="F42" i="67"/>
  <c r="M29" i="67"/>
  <c r="M6" i="15"/>
  <c r="F36" i="15"/>
  <c r="F26" i="67"/>
  <c r="F38" i="15"/>
  <c r="G29" i="6" l="1"/>
  <c r="F29" i="6"/>
  <c r="W27" i="33"/>
  <c r="W23" i="37"/>
  <c r="AZ520" i="3"/>
  <c r="AZ502" i="3"/>
  <c r="U33" i="40"/>
  <c r="AB33" i="40"/>
  <c r="AB30" i="33"/>
  <c r="U30" i="33"/>
  <c r="U45" i="33"/>
  <c r="AB45" i="33"/>
  <c r="AB36" i="33"/>
  <c r="AB45" i="21"/>
  <c r="AB42" i="33"/>
  <c r="U42" i="33"/>
  <c r="S38" i="37"/>
  <c r="AA38" i="37"/>
  <c r="U46" i="34"/>
  <c r="AB46" i="34"/>
  <c r="AC14" i="36"/>
  <c r="W14" i="36"/>
  <c r="AA20" i="35"/>
  <c r="S20" i="35"/>
  <c r="S22" i="36"/>
  <c r="AA22" i="36"/>
  <c r="AZ513" i="3"/>
  <c r="S12" i="40"/>
  <c r="AA12" i="40"/>
  <c r="S33" i="35"/>
  <c r="AA33" i="35"/>
  <c r="S35" i="33"/>
  <c r="AA35" i="33"/>
  <c r="AZ16" i="3"/>
  <c r="W36" i="40"/>
  <c r="AC36" i="40"/>
  <c r="G521" i="3"/>
  <c r="AC5" i="3"/>
  <c r="S14" i="37"/>
  <c r="AA14" i="37"/>
  <c r="AC13" i="35"/>
  <c r="W13" i="35"/>
  <c r="W31" i="33"/>
  <c r="AC31" i="33"/>
  <c r="AA44" i="34"/>
  <c r="S44" i="34"/>
  <c r="AB35" i="33"/>
  <c r="U35" i="33"/>
  <c r="AA38" i="33"/>
  <c r="S38" i="33"/>
  <c r="U39" i="40"/>
  <c r="AB39" i="40"/>
  <c r="AZ384" i="3"/>
  <c r="AZ313" i="3"/>
  <c r="AZ394" i="3"/>
  <c r="AZ531" i="3"/>
  <c r="AZ583" i="3"/>
  <c r="AZ568" i="3"/>
  <c r="AZ576" i="3"/>
  <c r="W12" i="40"/>
  <c r="W39" i="33"/>
  <c r="G586" i="3"/>
  <c r="B97" i="43"/>
  <c r="B75" i="43"/>
  <c r="F28" i="34"/>
  <c r="J28" i="34"/>
  <c r="J24" i="36"/>
  <c r="H24" i="36"/>
  <c r="H34" i="36"/>
  <c r="J34" i="36"/>
  <c r="W34" i="36" s="1"/>
  <c r="AZ402" i="3"/>
  <c r="AZ406" i="3"/>
  <c r="AZ14" i="3"/>
  <c r="AZ345" i="3"/>
  <c r="AZ334" i="3"/>
  <c r="AZ372" i="3"/>
  <c r="AZ337" i="3"/>
  <c r="AZ123" i="3"/>
  <c r="AZ376" i="3"/>
  <c r="AZ309" i="3"/>
  <c r="H5" i="3"/>
  <c r="AZ515" i="3"/>
  <c r="AZ523" i="3"/>
  <c r="AZ533" i="3"/>
  <c r="AZ547" i="3"/>
  <c r="AZ561" i="3"/>
  <c r="BL569" i="3"/>
  <c r="AZ569" i="3" s="1"/>
  <c r="AZ571" i="3"/>
  <c r="AZ579" i="3"/>
  <c r="AZ524" i="3"/>
  <c r="W44" i="39"/>
  <c r="BL587" i="3"/>
  <c r="AZ587" i="3" s="1"/>
  <c r="J36" i="35"/>
  <c r="AC36" i="35" s="1"/>
  <c r="H36" i="35"/>
  <c r="AC28" i="36"/>
  <c r="W28" i="36"/>
  <c r="BL550" i="3"/>
  <c r="AC39" i="34"/>
  <c r="AA34" i="33"/>
  <c r="AZ387" i="3"/>
  <c r="AZ370" i="3"/>
  <c r="AZ362" i="3"/>
  <c r="AZ338" i="3"/>
  <c r="AZ307" i="3"/>
  <c r="AZ390" i="3"/>
  <c r="AZ371" i="3"/>
  <c r="AZ351" i="3"/>
  <c r="AZ336" i="3"/>
  <c r="AZ305" i="3"/>
  <c r="AZ155" i="3"/>
  <c r="AZ360" i="3"/>
  <c r="AZ539" i="3"/>
  <c r="AZ529" i="3"/>
  <c r="AZ537" i="3"/>
  <c r="AZ518" i="3"/>
  <c r="AZ526" i="3"/>
  <c r="AZ546" i="3"/>
  <c r="AZ564" i="3"/>
  <c r="AZ580" i="3"/>
  <c r="AZ585" i="3"/>
  <c r="S11" i="36"/>
  <c r="AB17" i="34"/>
  <c r="U23" i="34"/>
  <c r="J12" i="36"/>
  <c r="F12" i="36"/>
  <c r="H12" i="36"/>
  <c r="J39" i="37"/>
  <c r="H39" i="37"/>
  <c r="AB38" i="40"/>
  <c r="U38" i="40"/>
  <c r="G552" i="3"/>
  <c r="AZ400" i="3"/>
  <c r="BA551" i="3"/>
  <c r="AZ551" i="3" s="1"/>
  <c r="BA550" i="3"/>
  <c r="BL548" i="3"/>
  <c r="AZ548" i="3" s="1"/>
  <c r="G399" i="3"/>
  <c r="BL400" i="3"/>
  <c r="BA410" i="3"/>
  <c r="BA411" i="3"/>
  <c r="AZ419" i="3"/>
  <c r="AZ451" i="3"/>
  <c r="AZ458" i="3"/>
  <c r="AZ462" i="3"/>
  <c r="BL484" i="3"/>
  <c r="AZ487" i="3"/>
  <c r="S40" i="39"/>
  <c r="W22" i="35"/>
  <c r="J45" i="39"/>
  <c r="W45" i="39" s="1"/>
  <c r="BL585" i="3"/>
  <c r="H12" i="33"/>
  <c r="U12" i="33" s="1"/>
  <c r="AC31" i="35"/>
  <c r="G558" i="3"/>
  <c r="BL398" i="3"/>
  <c r="G402" i="3"/>
  <c r="BL403" i="3"/>
  <c r="G405" i="3"/>
  <c r="G406" i="3"/>
  <c r="BA408" i="3"/>
  <c r="BA409" i="3"/>
  <c r="AZ409" i="3" s="1"/>
  <c r="BA412" i="3"/>
  <c r="AZ412" i="3" s="1"/>
  <c r="BA417" i="3"/>
  <c r="G421" i="3"/>
  <c r="BA444" i="3"/>
  <c r="AZ444" i="3" s="1"/>
  <c r="BL447" i="3"/>
  <c r="BA452" i="3"/>
  <c r="G460" i="3"/>
  <c r="BA466" i="3"/>
  <c r="AZ466" i="3" s="1"/>
  <c r="BA480" i="3"/>
  <c r="AZ480" i="3" s="1"/>
  <c r="BL488" i="3"/>
  <c r="BA331" i="3"/>
  <c r="AZ331" i="3" s="1"/>
  <c r="AZ398" i="3"/>
  <c r="AZ435" i="3"/>
  <c r="AZ460" i="3"/>
  <c r="AZ301" i="3"/>
  <c r="G574" i="3"/>
  <c r="BL16" i="3"/>
  <c r="BA401" i="3"/>
  <c r="AZ401" i="3" s="1"/>
  <c r="BA403" i="3"/>
  <c r="AZ403" i="3" s="1"/>
  <c r="BA404" i="3"/>
  <c r="AZ404" i="3" s="1"/>
  <c r="BA405" i="3"/>
  <c r="AZ405" i="3" s="1"/>
  <c r="G409" i="3"/>
  <c r="AZ413" i="3"/>
  <c r="BA414" i="3"/>
  <c r="AZ414" i="3" s="1"/>
  <c r="BA415" i="3"/>
  <c r="AZ415" i="3" s="1"/>
  <c r="BA416" i="3"/>
  <c r="AZ416" i="3" s="1"/>
  <c r="AZ425" i="3"/>
  <c r="BL440" i="3"/>
  <c r="AZ469" i="3"/>
  <c r="AZ483" i="3"/>
  <c r="G419" i="3"/>
  <c r="BA422" i="3"/>
  <c r="G430" i="3"/>
  <c r="BL431" i="3"/>
  <c r="G433" i="3"/>
  <c r="BL434" i="3"/>
  <c r="G436" i="3"/>
  <c r="G437" i="3"/>
  <c r="BL438" i="3"/>
  <c r="BL439" i="3"/>
  <c r="BA441" i="3"/>
  <c r="AZ441" i="3" s="1"/>
  <c r="BL445" i="3"/>
  <c r="BL446" i="3"/>
  <c r="BL449" i="3"/>
  <c r="BL450" i="3"/>
  <c r="BL452" i="3"/>
  <c r="AZ452" i="3" s="1"/>
  <c r="G454" i="3"/>
  <c r="G455" i="3"/>
  <c r="BL456" i="3"/>
  <c r="BA464" i="3"/>
  <c r="AZ464" i="3" s="1"/>
  <c r="BL467" i="3"/>
  <c r="BL468" i="3"/>
  <c r="BL470" i="3"/>
  <c r="G472" i="3"/>
  <c r="G473" i="3"/>
  <c r="BL473" i="3"/>
  <c r="AZ473" i="3" s="1"/>
  <c r="BL474" i="3"/>
  <c r="G475" i="3"/>
  <c r="BA482" i="3"/>
  <c r="BA484" i="3"/>
  <c r="G491" i="3"/>
  <c r="BA303" i="3"/>
  <c r="AZ303" i="3" s="1"/>
  <c r="BA307" i="3"/>
  <c r="G311" i="3"/>
  <c r="BL314" i="3"/>
  <c r="AZ314" i="3" s="1"/>
  <c r="G315" i="3"/>
  <c r="BA332" i="3"/>
  <c r="AZ332" i="3" s="1"/>
  <c r="BL332" i="3"/>
  <c r="G339" i="3"/>
  <c r="G364" i="3"/>
  <c r="BA367" i="3"/>
  <c r="AZ367" i="3" s="1"/>
  <c r="BA370" i="3"/>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L139" i="3"/>
  <c r="AZ139" i="3" s="1"/>
  <c r="G140" i="3"/>
  <c r="BL141" i="3"/>
  <c r="BL143" i="3"/>
  <c r="AZ143" i="3" s="1"/>
  <c r="G146" i="3"/>
  <c r="BL408" i="3"/>
  <c r="BL411" i="3"/>
  <c r="BL413" i="3"/>
  <c r="G415" i="3"/>
  <c r="G416" i="3"/>
  <c r="BL417" i="3"/>
  <c r="BL418" i="3"/>
  <c r="AZ418" i="3" s="1"/>
  <c r="BL420" i="3"/>
  <c r="G422" i="3"/>
  <c r="G423" i="3"/>
  <c r="BL424" i="3"/>
  <c r="G426" i="3"/>
  <c r="G427" i="3"/>
  <c r="BL428" i="3"/>
  <c r="BL429" i="3"/>
  <c r="BL432" i="3"/>
  <c r="BL435" i="3"/>
  <c r="BL436" i="3"/>
  <c r="BA439" i="3"/>
  <c r="BA440" i="3"/>
  <c r="BA442" i="3"/>
  <c r="BA445" i="3"/>
  <c r="BA447" i="3"/>
  <c r="BA449" i="3"/>
  <c r="BL453" i="3"/>
  <c r="BL454" i="3"/>
  <c r="AZ454" i="3" s="1"/>
  <c r="BL459" i="3"/>
  <c r="AZ459" i="3" s="1"/>
  <c r="G461"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BL290" i="3"/>
  <c r="BL291" i="3"/>
  <c r="AZ291" i="3" s="1"/>
  <c r="BL293" i="3"/>
  <c r="BL294" i="3"/>
  <c r="BA297" i="3"/>
  <c r="AZ297" i="3" s="1"/>
  <c r="BL297" i="3"/>
  <c r="BL300" i="3"/>
  <c r="BA302" i="3"/>
  <c r="AZ302" i="3" s="1"/>
  <c r="G115" i="3"/>
  <c r="BA117" i="3"/>
  <c r="G128" i="3"/>
  <c r="BA129" i="3"/>
  <c r="BL421" i="3"/>
  <c r="AZ421" i="3" s="1"/>
  <c r="BL422" i="3"/>
  <c r="BL425" i="3"/>
  <c r="BL426" i="3"/>
  <c r="AZ426" i="3" s="1"/>
  <c r="BA428" i="3"/>
  <c r="BA429" i="3"/>
  <c r="BA430" i="3"/>
  <c r="AZ430" i="3" s="1"/>
  <c r="BA432" i="3"/>
  <c r="AZ432" i="3" s="1"/>
  <c r="BA434" i="3"/>
  <c r="BA436" i="3"/>
  <c r="BA438" i="3"/>
  <c r="G442" i="3"/>
  <c r="BA446" i="3"/>
  <c r="BA450" i="3"/>
  <c r="BA453" i="3"/>
  <c r="AZ453" i="3" s="1"/>
  <c r="BA455" i="3"/>
  <c r="AZ455" i="3" s="1"/>
  <c r="BL457" i="3"/>
  <c r="AZ457" i="3" s="1"/>
  <c r="BL460" i="3"/>
  <c r="BL461" i="3"/>
  <c r="AZ461" i="3" s="1"/>
  <c r="BL463" i="3"/>
  <c r="G465" i="3"/>
  <c r="BA471" i="3"/>
  <c r="AZ471" i="3" s="1"/>
  <c r="G486" i="3"/>
  <c r="G488" i="3"/>
  <c r="BL317" i="3"/>
  <c r="G318" i="3"/>
  <c r="BL134" i="3"/>
  <c r="BL346" i="3"/>
  <c r="AZ346" i="3" s="1"/>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BA273" i="3"/>
  <c r="AZ273" i="3" s="1"/>
  <c r="BA278" i="3"/>
  <c r="AZ278" i="3" s="1"/>
  <c r="BA280" i="3"/>
  <c r="AZ280" i="3" s="1"/>
  <c r="BL283" i="3"/>
  <c r="AZ283" i="3" s="1"/>
  <c r="BL284" i="3"/>
  <c r="G288" i="3"/>
  <c r="BL292" i="3"/>
  <c r="BA294" i="3"/>
  <c r="BL295" i="3"/>
  <c r="BA298" i="3"/>
  <c r="AZ298" i="3" s="1"/>
  <c r="BL301" i="3"/>
  <c r="BL302" i="3"/>
  <c r="BA114" i="3"/>
  <c r="BL123" i="3"/>
  <c r="BA150" i="3"/>
  <c r="BA144" i="3"/>
  <c r="AZ144" i="3" s="1"/>
  <c r="BA153" i="3"/>
  <c r="AZ153" i="3" s="1"/>
  <c r="BL155" i="3"/>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BA31" i="3"/>
  <c r="AZ31" i="3" s="1"/>
  <c r="BA32" i="3"/>
  <c r="AZ64" i="3"/>
  <c r="AZ65" i="3"/>
  <c r="C44" i="71"/>
  <c r="D43" i="71"/>
  <c r="V24" i="71"/>
  <c r="E23" i="71"/>
  <c r="E22" i="71" s="1"/>
  <c r="E21" i="71" s="1"/>
  <c r="E20" i="71" s="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AZ41" i="3" s="1"/>
  <c r="BL45" i="3"/>
  <c r="BA48" i="3"/>
  <c r="BA49" i="3"/>
  <c r="BA51" i="3"/>
  <c r="G55" i="3"/>
  <c r="BL56" i="3"/>
  <c r="BA58" i="3"/>
  <c r="BL59" i="3"/>
  <c r="AZ59" i="3" s="1"/>
  <c r="BL60" i="3"/>
  <c r="AZ60" i="3" s="1"/>
  <c r="BA61" i="3"/>
  <c r="AZ61" i="3" s="1"/>
  <c r="BA68" i="3"/>
  <c r="BA71" i="3"/>
  <c r="BL72" i="3"/>
  <c r="BL75" i="3"/>
  <c r="B13" i="1"/>
  <c r="E13" i="1" s="1"/>
  <c r="K13" i="1"/>
  <c r="M13" i="1" s="1"/>
  <c r="O13" i="1" s="1"/>
  <c r="P13" i="1" s="1"/>
  <c r="C47" i="71"/>
  <c r="D47" i="71" s="1"/>
  <c r="D46" i="71"/>
  <c r="BA37" i="3"/>
  <c r="BL39" i="3"/>
  <c r="G43" i="3"/>
  <c r="G44" i="3"/>
  <c r="BA45" i="3"/>
  <c r="BA46" i="3"/>
  <c r="BL49" i="3"/>
  <c r="BL50" i="3"/>
  <c r="AZ50" i="3" s="1"/>
  <c r="BL51" i="3"/>
  <c r="G53" i="3"/>
  <c r="BL53" i="3"/>
  <c r="BA56" i="3"/>
  <c r="BA57" i="3"/>
  <c r="BL58" i="3"/>
  <c r="G60" i="3"/>
  <c r="BA60" i="3"/>
  <c r="BA63" i="3"/>
  <c r="BA66" i="3"/>
  <c r="AZ66" i="3" s="1"/>
  <c r="BL70" i="3"/>
  <c r="AZ70" i="3" s="1"/>
  <c r="BL71" i="3"/>
  <c r="BA78" i="3"/>
  <c r="BA80" i="3"/>
  <c r="D31" i="71"/>
  <c r="C32" i="71"/>
  <c r="C52" i="71"/>
  <c r="D51" i="71"/>
  <c r="C55" i="71"/>
  <c r="D54" i="71"/>
  <c r="N67" i="71"/>
  <c r="B66" i="71"/>
  <c r="F66" i="71"/>
  <c r="Q66" i="71" s="1"/>
  <c r="Q67" i="71"/>
  <c r="BL167" i="3"/>
  <c r="AZ167" i="3" s="1"/>
  <c r="G175" i="3"/>
  <c r="G176" i="3"/>
  <c r="BL178" i="3"/>
  <c r="BA180" i="3"/>
  <c r="AZ180" i="3" s="1"/>
  <c r="BL182" i="3"/>
  <c r="G183" i="3"/>
  <c r="BA185" i="3"/>
  <c r="BL191" i="3"/>
  <c r="AZ191" i="3" s="1"/>
  <c r="G192" i="3"/>
  <c r="BA193" i="3"/>
  <c r="AZ193" i="3" s="1"/>
  <c r="BA196" i="3"/>
  <c r="AZ196" i="3" s="1"/>
  <c r="G203" i="3"/>
  <c r="BA205" i="3"/>
  <c r="AZ205" i="3" s="1"/>
  <c r="G20" i="3"/>
  <c r="BL20" i="3"/>
  <c r="BA21" i="3"/>
  <c r="AZ21" i="3" s="1"/>
  <c r="BA25" i="3"/>
  <c r="AZ25" i="3" s="1"/>
  <c r="BA26" i="3"/>
  <c r="G28" i="3"/>
  <c r="BL28" i="3"/>
  <c r="BA29" i="3"/>
  <c r="AZ29" i="3" s="1"/>
  <c r="BA36" i="3"/>
  <c r="BL38" i="3"/>
  <c r="AZ38" i="3" s="1"/>
  <c r="BA39" i="3"/>
  <c r="BL47" i="3"/>
  <c r="AZ47" i="3" s="1"/>
  <c r="G49" i="3"/>
  <c r="BA52" i="3"/>
  <c r="AZ52" i="3" s="1"/>
  <c r="BA53" i="3"/>
  <c r="BA54" i="3"/>
  <c r="BL57" i="3"/>
  <c r="G62" i="3"/>
  <c r="BL62" i="3"/>
  <c r="AZ62" i="3" s="1"/>
  <c r="BL63" i="3"/>
  <c r="G65" i="3"/>
  <c r="BL65" i="3"/>
  <c r="BL66" i="3"/>
  <c r="BL67" i="3"/>
  <c r="AZ67" i="3" s="1"/>
  <c r="G69" i="3"/>
  <c r="G70" i="3"/>
  <c r="BA72" i="3"/>
  <c r="BA73" i="3"/>
  <c r="BA79" i="3"/>
  <c r="AZ79" i="3" s="1"/>
  <c r="AZ103" i="3"/>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84" i="3"/>
  <c r="AZ84" i="3" s="1"/>
  <c r="BL88" i="3"/>
  <c r="AZ88" i="3" s="1"/>
  <c r="G90" i="3"/>
  <c r="BL90" i="3"/>
  <c r="BL92" i="3"/>
  <c r="G101" i="3"/>
  <c r="BA101" i="3"/>
  <c r="AZ101" i="3" s="1"/>
  <c r="G108" i="3"/>
  <c r="G109" i="3"/>
  <c r="BL112" i="3"/>
  <c r="W18" i="35"/>
  <c r="AB21" i="33"/>
  <c r="U25" i="40"/>
  <c r="S21" i="34"/>
  <c r="B68" i="43"/>
  <c r="B88" i="43"/>
  <c r="BA82" i="3"/>
  <c r="AZ82" i="3" s="1"/>
  <c r="BL83" i="3"/>
  <c r="BA90" i="3"/>
  <c r="BL94" i="3"/>
  <c r="AZ94" i="3" s="1"/>
  <c r="BA100" i="3"/>
  <c r="AZ100" i="3" s="1"/>
  <c r="BA102" i="3"/>
  <c r="AZ102" i="3" s="1"/>
  <c r="BL105" i="3"/>
  <c r="AZ105" i="3" s="1"/>
  <c r="BL107" i="3"/>
  <c r="BA111" i="3"/>
  <c r="AZ111" i="3" s="1"/>
  <c r="AC21" i="37"/>
  <c r="U21" i="34"/>
  <c r="W18" i="36"/>
  <c r="B57"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3" i="73"/>
  <c r="C16" i="67"/>
  <c r="D5" i="73"/>
  <c r="D7" i="73"/>
  <c r="C16" i="15"/>
  <c r="D4" i="73"/>
  <c r="D20" i="53" l="1"/>
  <c r="B40" i="72" s="1"/>
  <c r="J26" i="43"/>
  <c r="N94" i="46"/>
  <c r="G26" i="43"/>
  <c r="F26" i="43"/>
  <c r="D26" i="43" s="1"/>
  <c r="C25" i="43" s="1"/>
  <c r="H16" i="1"/>
  <c r="N370" i="46"/>
  <c r="E26" i="43"/>
  <c r="D83" i="71"/>
  <c r="C82" i="71"/>
  <c r="D82" i="71" s="1"/>
  <c r="O65" i="71"/>
  <c r="D66" i="71"/>
  <c r="O66" i="71"/>
  <c r="C56" i="71"/>
  <c r="D55" i="71"/>
  <c r="AZ284" i="3"/>
  <c r="AB39" i="37"/>
  <c r="U39" i="37"/>
  <c r="AC12" i="36"/>
  <c r="W12" i="36"/>
  <c r="AB34" i="36"/>
  <c r="U34" i="36"/>
  <c r="AA28" i="34"/>
  <c r="S28" i="34"/>
  <c r="C40" i="71"/>
  <c r="D39" i="71"/>
  <c r="N65" i="71"/>
  <c r="N66" i="71"/>
  <c r="AZ71" i="3"/>
  <c r="AZ51" i="3"/>
  <c r="AZ28" i="3"/>
  <c r="AZ178" i="3"/>
  <c r="AZ294" i="3"/>
  <c r="AZ244" i="3"/>
  <c r="AZ239" i="3"/>
  <c r="AZ229" i="3"/>
  <c r="AZ218" i="3"/>
  <c r="AZ411" i="3"/>
  <c r="AC39" i="37"/>
  <c r="W39" i="37"/>
  <c r="AB24" i="36"/>
  <c r="U24" i="36"/>
  <c r="AZ112" i="3"/>
  <c r="G5" i="3"/>
  <c r="B3" i="3" s="1"/>
  <c r="E212" i="3" s="1"/>
  <c r="AZ36" i="3"/>
  <c r="AZ295" i="3"/>
  <c r="C70" i="71"/>
  <c r="D70" i="71" s="1"/>
  <c r="D71" i="71"/>
  <c r="AZ72" i="3"/>
  <c r="AZ53" i="3"/>
  <c r="AZ39" i="3"/>
  <c r="T52" i="71"/>
  <c r="D52" i="71"/>
  <c r="AZ63" i="3"/>
  <c r="AZ57" i="3"/>
  <c r="AZ45" i="3"/>
  <c r="AZ58" i="3"/>
  <c r="AZ49" i="3"/>
  <c r="D44" i="71"/>
  <c r="T44" i="71"/>
  <c r="AZ27" i="3"/>
  <c r="AZ150" i="3"/>
  <c r="AZ429" i="3"/>
  <c r="AZ440" i="3"/>
  <c r="AZ484" i="3"/>
  <c r="AZ422" i="3"/>
  <c r="AZ408" i="3"/>
  <c r="AZ550" i="3"/>
  <c r="U12" i="36"/>
  <c r="AB12" i="36"/>
  <c r="AC24" i="36"/>
  <c r="W24" i="36"/>
  <c r="G16" i="1"/>
  <c r="F10" i="39" s="1"/>
  <c r="S10" i="39" s="1"/>
  <c r="T28" i="71"/>
  <c r="D28" i="71"/>
  <c r="U28" i="71" s="1"/>
  <c r="C27" i="71"/>
  <c r="D79" i="71"/>
  <c r="C78" i="71"/>
  <c r="D78" i="71" s="1"/>
  <c r="C36" i="71"/>
  <c r="D35" i="71"/>
  <c r="T32" i="71"/>
  <c r="D32" i="71"/>
  <c r="AZ182" i="3"/>
  <c r="AZ428" i="3"/>
  <c r="AZ447" i="3"/>
  <c r="AZ417" i="3"/>
  <c r="AA12" i="36"/>
  <c r="S12" i="36"/>
  <c r="AB36" i="35"/>
  <c r="U36" i="35"/>
  <c r="W28" i="34"/>
  <c r="AC28" i="34"/>
  <c r="J7" i="37"/>
  <c r="K1" i="73"/>
  <c r="E539" i="3"/>
  <c r="E536" i="3"/>
  <c r="E286" i="3"/>
  <c r="E502" i="3"/>
  <c r="E442" i="3"/>
  <c r="E430" i="3"/>
  <c r="E255" i="3"/>
  <c r="AP6" i="3"/>
  <c r="E554" i="3"/>
  <c r="E491" i="3"/>
  <c r="E417" i="3"/>
  <c r="E479" i="3"/>
  <c r="E95" i="3"/>
  <c r="E152" i="3"/>
  <c r="E192" i="3"/>
  <c r="E241" i="3"/>
  <c r="E292" i="3"/>
  <c r="E363" i="3"/>
  <c r="E389" i="3"/>
  <c r="E544" i="3"/>
  <c r="E76" i="3"/>
  <c r="E409" i="3"/>
  <c r="E484" i="3"/>
  <c r="E425" i="3"/>
  <c r="E64" i="3"/>
  <c r="E46" i="3"/>
  <c r="E103" i="3"/>
  <c r="E267" i="3"/>
  <c r="E249" i="3"/>
  <c r="E300" i="3"/>
  <c r="E310" i="3"/>
  <c r="E492" i="3"/>
  <c r="E23"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F10" i="40"/>
  <c r="S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J10" i="40" l="1"/>
  <c r="AC10" i="40" s="1"/>
  <c r="AA10" i="39"/>
  <c r="H10" i="40"/>
  <c r="AB10" i="40" s="1"/>
  <c r="E84" i="3"/>
  <c r="E371" i="3"/>
  <c r="E160" i="3"/>
  <c r="E467" i="3"/>
  <c r="E59" i="3"/>
  <c r="E349" i="3"/>
  <c r="E258" i="3"/>
  <c r="E37" i="3"/>
  <c r="E517" i="3"/>
  <c r="E449" i="3"/>
  <c r="E575" i="3"/>
  <c r="H10" i="39"/>
  <c r="U10" i="39" s="1"/>
  <c r="J10" i="39"/>
  <c r="W10" i="39" s="1"/>
  <c r="E3" i="6"/>
  <c r="C26" i="71"/>
  <c r="D26" i="71" s="1"/>
  <c r="D27" i="71"/>
  <c r="E56" i="3"/>
  <c r="E435" i="3"/>
  <c r="I3" i="6"/>
  <c r="E541" i="3"/>
  <c r="R6" i="3"/>
  <c r="E199" i="3"/>
  <c r="E510" i="3"/>
  <c r="D36" i="71"/>
  <c r="T36" i="71"/>
  <c r="E466" i="3"/>
  <c r="E499" i="3"/>
  <c r="D56" i="71"/>
  <c r="T5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25" i="12"/>
  <c r="C35" i="9"/>
  <c r="M27" i="15"/>
  <c r="M27" i="67"/>
  <c r="F41" i="15"/>
  <c r="F22" i="68" l="1"/>
  <c r="F41" i="68" s="1"/>
  <c r="AC10" i="39"/>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3" i="68"/>
  <c r="C26" i="12"/>
  <c r="D25" i="12" s="1"/>
  <c r="C34" i="9"/>
  <c r="C66" i="67"/>
  <c r="C60" i="67"/>
  <c r="D10" i="69"/>
  <c r="C34" i="69"/>
  <c r="D10" i="68"/>
  <c r="C17" i="15"/>
  <c r="C14" i="67"/>
  <c r="C17" i="67"/>
  <c r="C44" i="11" l="1"/>
  <c r="D41" i="11" s="1"/>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9" i="1"/>
  <c r="AO11" i="1"/>
  <c r="AO10" i="1"/>
  <c r="AO7"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1" i="72"/>
  <c r="D15" i="53"/>
  <c r="M67" i="9"/>
  <c r="L67" i="9"/>
  <c r="E97" i="9"/>
  <c r="E96" i="9"/>
  <c r="C96" i="9"/>
  <c r="B22" i="72"/>
  <c r="D6" i="53"/>
  <c r="M65" i="9"/>
  <c r="L65" i="9"/>
  <c r="C86" i="9"/>
  <c r="C93" i="9"/>
  <c r="M66" i="9"/>
  <c r="L66" i="9"/>
  <c r="B53" i="72"/>
  <c r="F5" i="52"/>
  <c r="F119" i="9"/>
  <c r="C81" i="9"/>
  <c r="M48" i="9"/>
  <c r="P57" i="9"/>
  <c r="D55" i="9"/>
  <c r="M53" i="9"/>
  <c r="N57" i="9"/>
  <c r="N58" i="9"/>
  <c r="D9" i="52"/>
  <c r="D123" i="9"/>
  <c r="H5" i="52"/>
  <c r="H119" i="9"/>
  <c r="D119" i="9"/>
  <c r="D5" i="52"/>
  <c r="B49" i="72"/>
  <c r="H108" i="9"/>
  <c r="C6" i="74"/>
  <c r="C72" i="9"/>
  <c r="C79" i="9"/>
  <c r="C80" i="9"/>
  <c r="E80" i="9"/>
  <c r="E81" i="9"/>
  <c r="C85" i="9"/>
  <c r="C95" i="9"/>
  <c r="C97" i="9"/>
  <c r="D58" i="9"/>
  <c r="D56" i="9"/>
  <c r="M54" i="9"/>
  <c r="E4" i="52"/>
  <c r="B48" i="72"/>
  <c r="L63" i="9"/>
  <c r="M63" i="9"/>
  <c r="M69" i="9"/>
  <c r="N69" i="9"/>
  <c r="B32" i="72"/>
  <c r="D14" i="53"/>
  <c r="B21" i="72"/>
  <c r="D7" i="53"/>
  <c r="M55" i="9"/>
  <c r="D59" i="9"/>
  <c r="C73" i="9"/>
  <c r="C78" i="9"/>
  <c r="D13" i="53"/>
  <c r="B30" i="72"/>
  <c r="B52" i="72"/>
  <c r="G4" i="52"/>
  <c r="I4" i="52"/>
  <c r="C105" i="9"/>
  <c r="H102" i="9"/>
  <c r="C5" i="74"/>
  <c r="C104" i="9"/>
  <c r="H4" i="52"/>
  <c r="D122" i="9"/>
  <c r="D8" i="52"/>
  <c r="M64" i="9"/>
  <c r="L64" i="9"/>
  <c r="M68" i="9"/>
  <c r="L68" i="9"/>
  <c r="N61" i="9"/>
  <c r="H107" i="9"/>
  <c r="M49" i="9"/>
  <c r="N59" i="9"/>
  <c r="N60" i="9"/>
  <c r="B47" i="72"/>
  <c r="E118" i="9"/>
  <c r="D118" i="9"/>
  <c r="D4" i="52"/>
  <c r="C64" i="9"/>
  <c r="C63" i="9"/>
  <c r="C67" i="9"/>
  <c r="C68" i="9"/>
  <c r="D54" i="9"/>
  <c r="G118" i="9"/>
  <c r="F118" i="9"/>
  <c r="F4" i="52"/>
  <c r="B51" i="72"/>
  <c r="D5" i="53"/>
  <c r="B20"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<sst xmlns="http://schemas.openxmlformats.org/spreadsheetml/2006/main" count="7837" uniqueCount="3428">
  <si>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</si>
  <si>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</si>
  <si>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</si>
  <si>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</si>
  <si>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</si>
  <si>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</si>
  <si>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</si>
  <si>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</si>
  <si>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</si>
  <si>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</si>
  <si>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</si>
  <si>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</si>
  <si>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</si>
  <si>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</si>
  <si>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</si>
  <si>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</si>
  <si>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</si>
  <si>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</si>
  <si>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</si>
  <si>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</si>
  <si>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</si>
  <si>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</si>
  <si>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</si>
  <si>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</si>
  <si>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</si>
  <si>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</si>
  <si>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</si>
  <si>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</si>
  <si>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</si>
  <si>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</si>
  <si>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</si>
  <si>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</si>
  <si>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</si>
  <si>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</si>
  <si>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</si>
  <si>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</si>
  <si>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</si>
  <si>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</si>
  <si>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</si>
  <si>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</si>
  <si>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</si>
  <si>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</si>
  <si>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</si>
  <si>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</si>
  <si>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</si>
  <si>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</si>
  <si>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</si>
  <si>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</si>
  <si>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</si>
  <si>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</si>
  <si>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</si>
  <si>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</si>
  <si>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</si>
  <si>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</si>
  <si>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</si>
  <si>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</si>
  <si>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</si>
  <si>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</si>
  <si>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</si>
  <si>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</si>
  <si>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</si>
  <si>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</si>
  <si>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</si>
  <si>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</si>
  <si>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</si>
  <si>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</si>
  <si>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</si>
  <si>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</si>
  <si>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</si>
  <si>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</si>
  <si>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</si>
  <si>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</si>
  <si>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</si>
  <si>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</si>
  <si>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</si>
  <si>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</si>
  <si>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</si>
  <si>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</si>
  <si>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</si>
  <si>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</si>
  <si>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</si>
  <si>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</si>
  <si>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</si>
  <si>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</si>
  <si>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</si>
  <si>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</si>
  <si>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</si>
  <si>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</si>
  <si>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</si>
  <si>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</si>
  <si>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</si>
  <si>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</si>
  <si>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</si>
  <si>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</si>
  <si>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</si>
  <si>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</si>
  <si>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</si>
  <si>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</si>
  <si>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</si>
  <si>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</si>
  <si>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</si>
  <si>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</si>
  <si>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</si>
  <si>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</si>
  <si>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</si>
  <si>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</si>
  <si>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</si>
  <si>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</si>
  <si>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</si>
  <si>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</si>
  <si>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</si>
  <si>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</si>
  <si>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</si>
  <si>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</si>
  <si>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</si>
  <si>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</si>
  <si>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</si>
  <si>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</si>
  <si>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</si>
  <si>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</si>
  <si>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</si>
  <si>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</si>
  <si>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</si>
  <si>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</si>
  <si>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</si>
  <si>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</si>
  <si>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</si>
  <si>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</si>
  <si>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</si>
  <si>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</si>
  <si>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</si>
  <si>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</si>
  <si>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</si>
  <si>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</si>
  <si>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</si>
  <si>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</si>
  <si>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</si>
  <si>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</si>
  <si>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</si>
  <si>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</si>
  <si>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</si>
  <si>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</si>
  <si>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</si>
  <si>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</si>
  <si>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</si>
  <si>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</si>
  <si>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</si>
  <si>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</si>
  <si>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</si>
  <si>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</si>
  <si>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</si>
  <si>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</si>
  <si>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</si>
  <si>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</si>
  <si>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</si>
  <si>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</si>
  <si>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</si>
  <si>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</si>
  <si>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</si>
  <si>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</si>
  <si>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</si>
  <si>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</si>
  <si>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</si>
  <si>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</si>
  <si>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</si>
  <si>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</si>
  <si>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</si>
  <si>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</si>
  <si>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</si>
  <si>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</si>
  <si>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</si>
  <si>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</si>
  <si>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</si>
  <si>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</si>
  <si>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</si>
  <si>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</si>
  <si>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</si>
  <si>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</si>
  <si>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</si>
  <si>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</si>
  <si>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</si>
  <si>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</si>
  <si>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</si>
  <si>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</si>
  <si>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</si>
  <si>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</si>
  <si>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</si>
  <si>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</si>
  <si>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</si>
  <si>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</si>
  <si>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</si>
  <si>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</si>
  <si>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</si>
  <si>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</si>
  <si>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</si>
  <si>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</si>
  <si>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</si>
  <si>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</si>
  <si>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</si>
  <si>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</si>
  <si>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</si>
  <si>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</si>
  <si>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</si>
  <si>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</si>
  <si>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</si>
  <si>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</si>
  <si>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</si>
  <si>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</si>
  <si>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</si>
  <si>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</si>
  <si>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</si>
  <si>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</si>
  <si>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</si>
  <si>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</si>
  <si>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</si>
  <si>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</si>
  <si>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</si>
  <si>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</si>
  <si>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</si>
  <si>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</si>
  <si>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</si>
  <si>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</si>
  <si>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</si>
  <si>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</si>
  <si>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</si>
  <si>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</si>
  <si>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</si>
  <si>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</si>
  <si>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</si>
  <si>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</si>
  <si>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</si>
  <si>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</si>
  <si>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</si>
  <si>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</si>
  <si>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</si>
  <si>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</si>
  <si>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</si>
  <si>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</si>
  <si>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</si>
  <si>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</si>
  <si>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</si>
  <si>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</si>
  <si>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</si>
  <si>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</si>
  <si>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</si>
  <si>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</si>
  <si>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</si>
  <si>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</si>
  <si>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</si>
  <si>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</si>
  <si>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</si>
  <si>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</si>
  <si>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</si>
  <si>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</si>
  <si>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</si>
  <si>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</si>
  <si>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</si>
  <si>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</si>
  <si>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</si>
  <si>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</si>
  <si>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</si>
  <si>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</si>
  <si>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</si>
  <si>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</si>
  <si>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</si>
  <si>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</si>
  <si>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</si>
  <si>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</si>
  <si>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</si>
  <si>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</si>
  <si>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</si>
  <si>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</si>
  <si>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</si>
  <si>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</si>
  <si>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</si>
  <si>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</si>
  <si>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</si>
  <si>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</si>
  <si>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</si>
  <si>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</si>
  <si>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</si>
  <si>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</si>
  <si>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</si>
  <si>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</si>
  <si>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</si>
  <si>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</si>
  <si>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</si>
  <si>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</si>
  <si>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</si>
  <si>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</si>
  <si>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</si>
  <si>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</si>
  <si>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</si>
  <si>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</si>
  <si>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</si>
  <si>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</si>
  <si>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</si>
  <si>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</si>
  <si>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</si>
  <si>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</si>
  <si>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</si>
  <si>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</si>
  <si>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</si>
  <si>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</si>
  <si>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</si>
  <si>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</si>
  <si>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</si>
  <si>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</si>
  <si>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</si>
  <si>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</si>
  <si>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</si>
  <si>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</si>
  <si>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</si>
  <si>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</si>
  <si>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</si>
  <si>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</si>
  <si>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</si>
  <si>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</si>
  <si>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</si>
  <si>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</si>
  <si>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</si>
  <si>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</si>
  <si>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</si>
  <si>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</si>
  <si>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</si>
  <si>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</si>
  <si>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</si>
  <si>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</si>
  <si>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</si>
  <si>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</si>
  <si>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</si>
  <si>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</si>
  <si>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</si>
  <si>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</si>
  <si>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</si>
  <si>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</si>
  <si>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</si>
  <si>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</si>
  <si>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</si>
  <si>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</si>
  <si>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</si>
  <si>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</si>
  <si>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</si>
  <si>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</si>
  <si>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</si>
  <si>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</si>
  <si>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</si>
  <si>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</si>
  <si>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</si>
  <si>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</si>
  <si>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</si>
  <si>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</si>
  <si>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</si>
  <si>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</si>
  <si>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</si>
  <si>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</si>
  <si>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</si>
  <si>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</si>
  <si>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</si>
  <si>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</si>
  <si>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</si>
  <si>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</si>
  <si>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</si>
  <si>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</si>
  <si>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</si>
  <si>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</si>
  <si>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</si>
  <si>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</si>
  <si>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</si>
  <si>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</si>
  <si>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</si>
  <si>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</si>
  <si>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</si>
  <si>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</si>
  <si>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</si>
  <si>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</si>
  <si>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</si>
  <si>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</si>
  <si>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</si>
  <si>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</si>
  <si>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</si>
  <si>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</si>
  <si>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</si>
  <si>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</si>
  <si>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</si>
  <si>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</si>
  <si>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</si>
  <si>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</si>
  <si>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</si>
  <si>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</si>
  <si>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</si>
  <si>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</si>
  <si>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</si>
  <si>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</si>
  <si>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</si>
  <si>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</si>
  <si>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</si>
  <si>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</si>
  <si>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</si>
  <si>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</si>
  <si>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</si>
  <si>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</si>
  <si>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</si>
  <si>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</si>
  <si>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</si>
  <si>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</si>
  <si>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</si>
  <si>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</si>
  <si>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</si>
  <si>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</si>
  <si>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</si>
  <si>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</si>
  <si>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</si>
  <si>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</si>
  <si>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</si>
  <si>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</si>
  <si>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</si>
  <si>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</si>
  <si>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</si>
  <si>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</si>
  <si>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</si>
  <si>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</si>
  <si>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</si>
  <si>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</si>
  <si>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</si>
  <si>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</si>
  <si>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</si>
  <si>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</si>
  <si>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</si>
  <si>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</si>
  <si>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</si>
  <si>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</si>
  <si>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</si>
  <si>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</si>
  <si>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</si>
  <si>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</si>
  <si>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</si>
  <si>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</si>
  <si>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</si>
  <si>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</si>
  <si>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</si>
  <si>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</si>
  <si>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</si>
  <si>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</si>
  <si>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</si>
  <si>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</si>
  <si>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</si>
  <si>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</si>
  <si>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</si>
  <si>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</si>
  <si>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</si>
  <si>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</si>
  <si>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</si>
  <si>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</si>
  <si>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</si>
  <si>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</si>
  <si>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</si>
  <si>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</si>
  <si>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</si>
  <si>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</si>
  <si>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</si>
  <si>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</si>
  <si>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</si>
  <si>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</si>
  <si>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</si>
  <si>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</si>
  <si>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</si>
  <si>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</si>
  <si>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</si>
  <si>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</si>
  <si>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</si>
  <si>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</si>
  <si>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</si>
  <si>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</si>
  <si>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</si>
  <si>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</si>
  <si>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</si>
  <si>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</si>
  <si>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</si>
  <si>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</si>
  <si>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</si>
  <si>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</si>
  <si>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</si>
  <si>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</si>
  <si>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</si>
  <si>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</si>
  <si>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</si>
  <si>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</si>
  <si>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</si>
  <si>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</si>
  <si>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</si>
  <si>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</si>
  <si>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</si>
  <si>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</si>
  <si>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</si>
  <si>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</si>
  <si>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</si>
  <si>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</si>
  <si>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</si>
  <si>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</si>
  <si>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</si>
  <si>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</si>
  <si>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</si>
  <si>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</si>
  <si>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</si>
  <si>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</si>
  <si>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</si>
  <si>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</si>
  <si>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</si>
  <si>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</si>
  <si>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</si>
  <si>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</si>
  <si>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</si>
  <si>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</si>
  <si>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</si>
  <si>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</si>
  <si>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</si>
  <si>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</si>
  <si>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</si>
  <si>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</si>
  <si>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</si>
  <si>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</si>
  <si>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</si>
  <si>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</si>
  <si>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</si>
  <si>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</si>
  <si>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</si>
  <si>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</si>
  <si>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</si>
  <si>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</si>
  <si>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</si>
  <si>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</si>
  <si>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</si>
  <si>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</si>
  <si>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</si>
  <si>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</si>
  <si>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</si>
  <si>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</si>
  <si>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</si>
  <si>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</si>
  <si>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</si>
  <si>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</si>
  <si>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</si>
  <si>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</si>
  <si>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</si>
  <si>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</si>
  <si>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</si>
  <si>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</si>
  <si>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</si>
  <si>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</si>
  <si>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</si>
  <si>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</si>
  <si>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</si>
  <si>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</si>
  <si>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</si>
  <si>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</si>
  <si>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</si>
  <si>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</si>
  <si>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</si>
  <si>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</si>
  <si>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</si>
  <si>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</si>
  <si>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</si>
  <si>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</si>
  <si>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</si>
  <si>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</si>
  <si>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</si>
  <si>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</si>
  <si>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</si>
  <si>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</si>
  <si>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</si>
  <si>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</si>
  <si>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</si>
  <si>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</si>
  <si>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</si>
  <si>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</si>
  <si>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</si>
  <si>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</si>
  <si>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</si>
  <si>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</si>
  <si>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</si>
  <si>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</si>
  <si>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</si>
  <si>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</si>
  <si>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</si>
  <si>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</si>
  <si>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</si>
  <si>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</si>
  <si>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</si>
  <si>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</si>
  <si>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</si>
  <si>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</si>
  <si>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</si>
  <si>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</si>
  <si>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</si>
  <si>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</si>
  <si>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</si>
  <si>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</si>
  <si>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</si>
  <si>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</si>
  <si>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</si>
  <si>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</si>
  <si>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</si>
  <si>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</si>
  <si>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</si>
  <si>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</si>
  <si>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</si>
  <si>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</si>
  <si>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</si>
  <si>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</si>
  <si>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</si>
  <si>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</si>
  <si>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</si>
  <si>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</si>
  <si>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</si>
  <si>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</si>
  <si>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</si>
  <si>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</si>
  <si>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</si>
  <si>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</si>
  <si>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</si>
  <si>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</si>
  <si>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</si>
  <si>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</si>
  <si>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</si>
  <si>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</si>
  <si>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</si>
  <si>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</si>
  <si>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</si>
  <si>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</si>
  <si>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</si>
  <si>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</si>
  <si>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</si>
  <si>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</si>
  <si>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</si>
  <si>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</si>
  <si>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</si>
  <si>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</si>
  <si>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</si>
  <si>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</si>
  <si>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</si>
  <si>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</si>
  <si>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</si>
  <si>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</si>
  <si>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</si>
  <si>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</si>
  <si>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</si>
  <si>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</si>
  <si>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</si>
  <si>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</si>
  <si>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</si>
  <si>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</si>
  <si>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</si>
  <si>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</si>
  <si>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</si>
  <si>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</si>
  <si>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</si>
  <si>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</si>
  <si>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</si>
  <si>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</si>
  <si>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</si>
  <si>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</si>
  <si>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</si>
  <si>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</si>
  <si>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</si>
  <si>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</si>
  <si>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</si>
  <si>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</si>
  <si>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</si>
  <si>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</si>
  <si>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</si>
  <si>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</si>
  <si>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</si>
  <si>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</si>
  <si>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</si>
  <si>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</si>
  <si>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</si>
  <si>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</si>
  <si>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</si>
  <si>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</si>
  <si>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</si>
  <si>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</si>
  <si>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</si>
  <si>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</si>
  <si>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</si>
  <si>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</si>
  <si>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</si>
  <si>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</si>
  <si>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</si>
  <si>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</si>
  <si>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</si>
  <si>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</si>
  <si>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</si>
  <si>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</si>
  <si>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</si>
  <si>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</si>
  <si>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</si>
  <si>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</si>
  <si>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</si>
  <si>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</si>
  <si>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</si>
  <si>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</si>
  <si>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</si>
  <si>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</si>
  <si>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</si>
  <si>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</si>
  <si>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</si>
  <si>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</si>
  <si>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</si>
  <si>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</si>
  <si>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</si>
  <si>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</si>
  <si>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</si>
  <si>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</si>
  <si>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</si>
  <si>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</si>
  <si>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</si>
  <si>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</si>
  <si>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</si>
  <si>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</si>
  <si>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</si>
  <si>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</si>
  <si>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</si>
  <si>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</si>
  <si>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</si>
  <si>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</si>
  <si>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</si>
  <si>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</si>
  <si>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</si>
  <si>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</si>
  <si>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</si>
  <si>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</si>
  <si>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</si>
  <si>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</si>
  <si>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</si>
  <si>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</si>
  <si>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</si>
  <si>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</si>
  <si>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</si>
  <si>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</si>
  <si>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</si>
  <si>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</si>
  <si>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</si>
  <si>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</si>
  <si>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</si>
  <si>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</si>
  <si>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</si>
  <si>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</si>
  <si>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</si>
  <si>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</si>
  <si>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</si>
  <si>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</si>
  <si>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</si>
  <si>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</si>
  <si>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</si>
  <si>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</si>
  <si>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</si>
  <si>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</si>
  <si>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</si>
  <si>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</si>
  <si>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</si>
  <si>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</si>
  <si>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</si>
  <si>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</si>
  <si>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</si>
  <si>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</si>
  <si>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</si>
  <si>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</si>
  <si>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</si>
  <si>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</si>
  <si>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</si>
  <si>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</si>
  <si>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</si>
  <si>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</si>
  <si>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</si>
  <si>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</si>
  <si>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</si>
  <si>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</si>
  <si>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</si>
  <si>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</si>
  <si>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</si>
  <si>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</si>
  <si>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</si>
  <si>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</si>
  <si>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</si>
  <si>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</si>
  <si>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</si>
  <si>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</si>
  <si>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</si>
  <si>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</si>
  <si>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</si>
  <si>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</si>
  <si>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</si>
  <si>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</si>
  <si>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</si>
  <si>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</si>
  <si>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</si>
  <si>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</si>
  <si>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</si>
  <si>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</si>
  <si>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</si>
  <si>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</si>
  <si>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</si>
  <si>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</si>
  <si>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</si>
  <si>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</si>
  <si>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</si>
  <si>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</si>
  <si>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</si>
  <si>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</si>
  <si>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</si>
  <si>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</si>
  <si>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</si>
  <si>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</si>
  <si>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</si>
  <si>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</si>
  <si>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</si>
  <si>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</si>
  <si>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</si>
  <si>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</si>
  <si>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</si>
  <si>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</si>
  <si>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</si>
  <si>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</si>
  <si>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</si>
  <si>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</si>
  <si>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</si>
  <si>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</si>
  <si>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</si>
  <si>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</si>
  <si>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</si>
  <si>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</si>
  <si>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</si>
  <si>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</si>
  <si>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</si>
  <si>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</si>
  <si>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</si>
  <si>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</si>
  <si>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</si>
  <si>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</si>
  <si>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</si>
  <si>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</si>
  <si>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</si>
  <si>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</si>
  <si>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</si>
  <si>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</si>
  <si>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</si>
  <si>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</si>
  <si>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</si>
  <si>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</si>
  <si>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</si>
  <si>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</si>
  <si>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</si>
  <si>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</si>
  <si>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</si>
  <si>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</si>
  <si>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</si>
  <si>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</si>
  <si>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</si>
  <si>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</si>
  <si>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</si>
  <si>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</si>
  <si>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</si>
  <si>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</si>
  <si>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</si>
  <si>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</si>
  <si>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</si>
  <si>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</si>
  <si>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</si>
  <si>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</si>
  <si>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</si>
  <si>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</si>
  <si>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</si>
  <si>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</si>
  <si>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</si>
  <si>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</si>
  <si>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</si>
  <si>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</si>
  <si>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</si>
  <si>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</si>
  <si>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</si>
  <si>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</si>
  <si>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</si>
  <si>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</si>
  <si>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</si>
  <si>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</si>
  <si>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</si>
  <si>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</si>
  <si>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</si>
  <si>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</si>
  <si>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</si>
  <si>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</si>
  <si>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</si>
  <si>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</si>
  <si>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</si>
  <si>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</si>
  <si>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</si>
  <si>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</si>
  <si>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</si>
  <si>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</si>
  <si>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</si>
  <si>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</si>
  <si>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</si>
  <si>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</si>
  <si>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</si>
  <si>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</si>
  <si>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</si>
  <si>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</si>
  <si>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</si>
  <si>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</si>
  <si>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</si>
  <si>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</si>
  <si>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</si>
  <si>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</si>
  <si>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</si>
  <si>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</si>
  <si>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</si>
  <si>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</si>
  <si>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</si>
  <si>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</si>
  <si>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</si>
  <si>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</si>
  <si>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</si>
  <si>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</si>
  <si>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</si>
  <si>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</si>
  <si>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</si>
  <si>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</si>
  <si>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</si>
  <si>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</si>
  <si>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</si>
  <si>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</si>
  <si>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</si>
  <si>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</si>
  <si>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</si>
  <si>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</si>
  <si>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</si>
  <si>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</si>
  <si>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</si>
  <si>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</si>
  <si>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</si>
  <si>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</si>
  <si>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</si>
  <si>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</si>
  <si>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</si>
  <si>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</si>
  <si>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</si>
  <si>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</si>
  <si>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</si>
  <si>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</si>
  <si>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</si>
  <si>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</si>
  <si>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</si>
  <si>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</si>
  <si>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</si>
  <si>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</si>
  <si>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</si>
  <si>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</si>
  <si>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</si>
  <si>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</si>
  <si>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</si>
  <si>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</si>
  <si>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</si>
  <si>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</si>
  <si>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</si>
  <si>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</si>
  <si>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</si>
  <si>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</si>
  <si>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</si>
  <si>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</si>
  <si>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</si>
  <si>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</si>
  <si>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</si>
  <si>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</si>
  <si>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</si>
  <si>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</si>
  <si>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</si>
  <si>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</si>
  <si>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</si>
  <si>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</si>
  <si>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</si>
  <si>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</si>
  <si>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</si>
  <si>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</si>
  <si>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</si>
  <si>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</si>
  <si>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</si>
  <si>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</si>
  <si>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</si>
  <si>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</si>
  <si>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</si>
  <si>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</si>
  <si>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</si>
  <si>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</si>
  <si>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</si>
  <si>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</si>
  <si>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</si>
  <si>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</si>
  <si>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</si>
  <si>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</si>
  <si>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</si>
  <si>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</si>
  <si>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</si>
  <si>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</si>
  <si>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</si>
  <si>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</si>
  <si>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</si>
  <si>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</si>
  <si>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</si>
  <si>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</si>
  <si>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</si>
  <si>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</si>
  <si>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</si>
  <si>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</si>
  <si>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</si>
  <si>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</si>
  <si>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</si>
  <si>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</si>
  <si>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</si>
  <si>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</si>
  <si>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</si>
  <si>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</si>
  <si>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</si>
  <si>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</si>
  <si>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</si>
  <si>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</si>
  <si>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</si>
  <si>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</si>
  <si>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</si>
  <si>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</si>
  <si>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</si>
  <si>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</si>
  <si>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</si>
  <si>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</si>
  <si>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</si>
  <si>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</si>
  <si>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</si>
  <si>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</si>
  <si>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</si>
  <si>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</si>
  <si>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</si>
  <si>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</si>
  <si>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</si>
  <si>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</si>
  <si>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</si>
  <si>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</si>
  <si>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</si>
  <si>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</si>
  <si>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</si>
  <si>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</si>
  <si>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</si>
  <si>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</si>
  <si>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</si>
  <si>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</si>
  <si>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</si>
  <si>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</si>
  <si>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</si>
  <si>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</si>
  <si>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</si>
  <si>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</si>
  <si>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</si>
  <si>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</si>
  <si>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</si>
  <si>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</si>
  <si>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</si>
  <si>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</si>
  <si>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</si>
  <si>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</si>
  <si>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</si>
  <si>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</si>
  <si>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</si>
  <si>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</si>
  <si>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</si>
  <si>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</si>
  <si>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</si>
  <si>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</si>
  <si>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</si>
  <si>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</si>
  <si>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</si>
  <si>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</si>
  <si>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</si>
  <si>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</si>
  <si>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</si>
  <si>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</si>
  <si>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</si>
  <si>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</si>
  <si>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</si>
  <si>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</si>
  <si>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</si>
  <si>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</si>
  <si>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</si>
  <si>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</si>
  <si>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</si>
  <si>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</si>
  <si>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</si>
  <si>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</si>
  <si>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</si>
  <si>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</si>
  <si>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</si>
  <si>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</si>
  <si>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</si>
  <si>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</si>
  <si>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</si>
  <si>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</si>
  <si>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</si>
  <si>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</si>
  <si>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</si>
  <si>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</si>
  <si>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</si>
  <si>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</si>
  <si>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</si>
  <si>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</si>
  <si>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</si>
  <si>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</si>
  <si>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</si>
  <si>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</si>
  <si>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</si>
  <si>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</si>
  <si>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</si>
  <si>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</si>
  <si>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</si>
  <si>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</si>
  <si>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</si>
  <si>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</si>
  <si>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</si>
  <si>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</si>
  <si>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</si>
  <si>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</si>
  <si>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</si>
  <si>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</si>
  <si>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</si>
  <si>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</si>
  <si>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</si>
  <si>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</si>
  <si>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</si>
  <si>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</si>
  <si>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</si>
  <si>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</si>
  <si>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</si>
  <si>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</si>
  <si>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</si>
  <si>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</si>
  <si>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</si>
  <si>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</si>
  <si>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</si>
  <si>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</si>
  <si>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</si>
  <si>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</si>
  <si>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</si>
  <si>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</si>
  <si>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</si>
  <si>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</si>
  <si>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</si>
  <si>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</si>
  <si>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</si>
  <si>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</si>
  <si>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</si>
  <si>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</si>
  <si>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</si>
  <si>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</si>
  <si>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</si>
  <si>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</si>
  <si>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</si>
  <si>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</si>
  <si>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</si>
  <si>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</si>
  <si>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</si>
  <si>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</si>
  <si>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</si>
  <si>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</si>
  <si>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</si>
  <si>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</si>
  <si>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</si>
  <si>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</si>
  <si>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</si>
  <si>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</si>
  <si>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</si>
  <si>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</si>
  <si>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</si>
  <si>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</si>
  <si>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</si>
  <si>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</si>
  <si>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</si>
  <si>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</si>
  <si>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</si>
  <si>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</si>
  <si>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</si>
  <si>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</si>
  <si>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</si>
  <si>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</si>
  <si>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</si>
  <si>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</si>
  <si>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</si>
  <si>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</si>
  <si>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</si>
  <si>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</si>
  <si>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</si>
  <si>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</si>
  <si>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</si>
  <si>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</si>
  <si>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</si>
  <si>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</si>
  <si>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</si>
  <si>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</si>
  <si>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</si>
  <si>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</si>
  <si>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</si>
  <si>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</si>
  <si>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</si>
  <si>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</si>
  <si>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</si>
  <si>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</si>
  <si>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</si>
  <si>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</si>
  <si>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</si>
  <si>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</si>
  <si>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</si>
  <si>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</si>
  <si>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</si>
  <si>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</si>
  <si>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</si>
  <si>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</si>
  <si>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</si>
  <si>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</si>
  <si>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</si>
  <si>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</si>
  <si>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</si>
  <si>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</si>
  <si>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</si>
  <si>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</si>
  <si>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</si>
  <si>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</si>
  <si>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</si>
  <si>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</si>
  <si>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</si>
  <si>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</si>
  <si>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</si>
  <si>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</si>
  <si>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</si>
  <si>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</si>
  <si>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</si>
  <si>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</si>
  <si>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</si>
  <si>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</si>
  <si>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</si>
  <si>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</si>
  <si>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</si>
  <si>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</si>
  <si>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</si>
  <si>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</si>
  <si>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</si>
  <si>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</si>
  <si>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</si>
  <si>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</si>
  <si>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</si>
  <si>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</si>
  <si>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</si>
  <si>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</si>
  <si>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</si>
  <si>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</si>
  <si>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</si>
  <si>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</si>
  <si>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</si>
  <si>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</si>
  <si>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</si>
  <si>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</si>
  <si>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</si>
  <si>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</si>
  <si>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</si>
  <si>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</si>
  <si>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</si>
  <si>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</si>
  <si>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</si>
  <si>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</si>
  <si>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</si>
  <si>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</si>
  <si>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</si>
  <si>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</si>
  <si>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</si>
  <si>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</si>
  <si>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</si>
  <si>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</si>
  <si>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</si>
  <si>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</si>
  <si>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</si>
  <si>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</si>
  <si>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</si>
  <si>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</si>
  <si>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</si>
  <si>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</si>
  <si>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</si>
  <si>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</si>
  <si>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</si>
  <si>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</si>
  <si>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</si>
  <si>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</si>
  <si>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</si>
  <si>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</si>
  <si>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</si>
  <si>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</si>
  <si>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</si>
  <si>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</si>
  <si>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</si>
  <si>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</si>
  <si>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</si>
  <si>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</si>
  <si>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</si>
  <si>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</si>
  <si>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</si>
  <si>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</si>
  <si>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</si>
  <si>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</si>
  <si>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</si>
  <si>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</si>
  <si>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</si>
  <si>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</si>
  <si>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</si>
  <si>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</si>
  <si>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</si>
  <si>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</si>
  <si>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</si>
  <si>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</si>
  <si>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</si>
  <si>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</si>
  <si>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</si>
  <si>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</si>
  <si>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</si>
  <si>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</si>
  <si>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</si>
  <si>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</si>
  <si>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</si>
  <si>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</si>
  <si>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</si>
  <si>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</si>
  <si>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</si>
  <si>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</si>
  <si>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</si>
  <si>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</si>
  <si>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</si>
  <si>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</si>
  <si>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</si>
  <si>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</si>
  <si>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</si>
  <si>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</si>
  <si>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</si>
  <si>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</si>
  <si>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</si>
  <si>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</si>
  <si>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</si>
  <si>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</si>
  <si>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</si>
  <si>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</si>
  <si>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</si>
  <si>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</si>
  <si>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</si>
  <si>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</si>
  <si>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</si>
  <si>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</si>
  <si>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</si>
  <si>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</si>
  <si>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</si>
  <si>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</si>
  <si>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</si>
  <si>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</si>
  <si>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</si>
  <si>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</si>
  <si>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</si>
  <si>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</si>
  <si>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</si>
  <si>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</si>
  <si>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</si>
  <si>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</si>
  <si>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</si>
  <si>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</si>
  <si>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</si>
  <si>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</si>
  <si>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</si>
  <si>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</si>
  <si>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</si>
  <si>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</si>
  <si>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</si>
  <si>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</si>
  <si>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</si>
  <si>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</si>
  <si>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</si>
  <si>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</si>
  <si>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</si>
  <si>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</si>
  <si>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</si>
  <si>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</si>
  <si>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</si>
  <si>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</si>
  <si>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</si>
  <si>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</si>
  <si>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</si>
  <si>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</si>
  <si>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</si>
  <si>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</si>
  <si>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</si>
  <si>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</si>
  <si>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</si>
  <si>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</si>
  <si>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</si>
  <si>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</si>
  <si>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</si>
  <si>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</si>
  <si>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</si>
  <si>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</si>
  <si>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</si>
  <si>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</si>
  <si>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</si>
  <si>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</si>
  <si>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</si>
  <si>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</si>
  <si>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</si>
  <si>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</si>
  <si>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</si>
  <si>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</si>
  <si>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</si>
  <si>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</si>
  <si>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</si>
  <si>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</si>
  <si>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</si>
  <si>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</si>
  <si>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</si>
  <si>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</si>
  <si>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</si>
  <si>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</si>
  <si>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</si>
  <si>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</si>
  <si>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</si>
  <si>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</si>
  <si>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</si>
  <si>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</si>
  <si>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</si>
  <si>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</si>
  <si>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</si>
  <si>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</si>
  <si>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</si>
  <si>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</si>
  <si>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</si>
  <si>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</si>
  <si>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</si>
  <si>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</si>
  <si>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</si>
  <si>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</si>
  <si>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</si>
  <si>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</si>
  <si>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</si>
  <si>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</si>
  <si>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</si>
  <si>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</si>
  <si>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</si>
  <si>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</si>
  <si>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</si>
  <si>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</si>
  <si>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</si>
  <si>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</si>
  <si>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</si>
  <si>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</si>
  <si>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</si>
  <si>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</si>
  <si>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</si>
  <si>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</si>
  <si>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</si>
  <si>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</si>
  <si>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</si>
  <si>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</si>
  <si>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</si>
  <si>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</si>
  <si>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</si>
  <si>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</si>
  <si>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</si>
  <si>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</si>
  <si>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</si>
  <si>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</si>
  <si>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</si>
  <si>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</si>
  <si>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</si>
  <si>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</si>
  <si>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</si>
  <si>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</si>
  <si>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</si>
  <si>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</si>
  <si>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</si>
  <si>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</si>
  <si>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</si>
  <si>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</si>
  <si>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</si>
  <si>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</si>
  <si>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</si>
  <si>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</si>
  <si>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</si>
  <si>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</si>
  <si>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</si>
  <si>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</si>
  <si>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</si>
  <si>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</si>
  <si>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</si>
  <si>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</si>
  <si>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</si>
  <si>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</si>
  <si>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</si>
  <si>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</si>
  <si>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</si>
  <si>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</si>
  <si>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</si>
  <si>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</si>
  <si>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</si>
  <si>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</si>
  <si>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</si>
  <si>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</si>
  <si>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</si>
  <si>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</si>
  <si>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</si>
  <si>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</si>
  <si>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</si>
  <si>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</si>
  <si>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</si>
  <si>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</si>
  <si>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</si>
  <si>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</si>
  <si>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</si>
  <si>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</si>
  <si>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</si>
  <si>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</si>
  <si>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</si>
  <si>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</si>
  <si>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</si>
  <si>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</si>
  <si>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</si>
  <si>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</si>
  <si>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</si>
  <si>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</si>
  <si>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</si>
  <si>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</si>
  <si>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</si>
  <si>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</si>
  <si>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</si>
  <si>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</si>
  <si>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</si>
  <si>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</si>
  <si>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</si>
  <si>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</si>
  <si>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</si>
  <si>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</si>
  <si>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</si>
  <si>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</si>
  <si>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</si>
  <si>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</si>
  <si>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</si>
  <si>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</si>
  <si>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</si>
  <si>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</si>
  <si>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</si>
  <si>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</si>
  <si>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</si>
  <si>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</si>
  <si>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</si>
  <si>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</si>
  <si>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</si>
  <si>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</si>
  <si>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</si>
  <si>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</si>
  <si>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</si>
  <si>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</si>
  <si>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</si>
  <si>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</si>
  <si>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</si>
  <si>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</si>
  <si>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</si>
  <si>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</si>
  <si>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</si>
  <si>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</si>
  <si>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</si>
  <si>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</si>
  <si>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</si>
  <si>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</si>
  <si>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</si>
  <si>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</si>
  <si>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</si>
  <si>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</si>
  <si>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</si>
  <si>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</si>
  <si>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</si>
  <si>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</si>
  <si>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</si>
  <si>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</si>
  <si>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</si>
  <si>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</si>
  <si>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</si>
  <si>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</si>
  <si>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</si>
  <si>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</si>
  <si>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</si>
  <si>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</si>
  <si>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</si>
  <si>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</si>
  <si>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</si>
  <si>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</si>
  <si>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</si>
  <si>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</si>
  <si>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</si>
  <si>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</si>
  <si>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</si>
  <si>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</si>
  <si>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</si>
  <si>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</si>
  <si>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</si>
  <si>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</si>
  <si>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</si>
  <si>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</si>
  <si>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</si>
  <si>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</si>
  <si>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</si>
  <si>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</si>
  <si>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</si>
  <si>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</si>
  <si>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</si>
  <si>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</si>
  <si>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</si>
  <si>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</si>
  <si>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</si>
  <si>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</si>
  <si>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</si>
  <si>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</si>
  <si>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</si>
  <si>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</si>
  <si>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</si>
  <si>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</si>
  <si>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</si>
  <si>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</si>
  <si>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</si>
  <si>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</si>
  <si>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</si>
  <si>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</si>
  <si>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</si>
  <si>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</si>
  <si>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</si>
  <si>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</si>
  <si>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</si>
  <si>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</si>
  <si>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</si>
  <si>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</si>
  <si>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</si>
  <si>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</si>
  <si>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</si>
  <si>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</si>
  <si>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</si>
  <si>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</si>
  <si>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</si>
  <si>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</si>
  <si>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</si>
  <si>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</si>
  <si>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</si>
  <si>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</si>
  <si>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</si>
  <si>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</si>
  <si>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</si>
  <si>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</si>
  <si>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</si>
  <si>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</si>
  <si>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</si>
  <si>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</si>
  <si>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</si>
  <si>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</si>
  <si>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</si>
  <si>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</si>
  <si>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</si>
  <si>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</si>
  <si>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</si>
  <si>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</si>
  <si>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</si>
  <si>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</si>
  <si>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</si>
  <si>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</si>
  <si>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</si>
  <si>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</si>
  <si>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</si>
  <si>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</si>
  <si>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</si>
  <si>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</si>
  <si>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</si>
  <si>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</si>
  <si>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</si>
  <si>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</si>
  <si>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</si>
  <si>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</si>
  <si>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</si>
  <si>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</si>
  <si>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</si>
  <si>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</si>
  <si>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</si>
  <si>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</si>
  <si>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</si>
  <si>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</si>
  <si>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</si>
  <si>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</si>
  <si>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</si>
  <si>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</si>
  <si>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</si>
  <si>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</si>
  <si>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</si>
  <si>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</si>
  <si>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</si>
  <si>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</si>
  <si>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</si>
  <si>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</si>
  <si>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</si>
  <si>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</si>
  <si>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</si>
  <si>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</si>
  <si>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</si>
  <si>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</si>
  <si>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</si>
  <si>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</si>
  <si>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</si>
  <si>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</si>
  <si>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</si>
  <si>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</si>
  <si>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</si>
  <si>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</si>
  <si>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</si>
  <si>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</si>
  <si>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</si>
  <si>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</si>
  <si>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</si>
  <si>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</si>
  <si>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</si>
  <si>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</si>
  <si>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</si>
  <si>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</si>
  <si>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</si>
  <si>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</si>
  <si>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</si>
  <si>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</si>
  <si>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</si>
  <si>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</si>
  <si>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</si>
  <si>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</si>
  <si>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</si>
  <si>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</si>
  <si>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</si>
  <si>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</si>
  <si>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</si>
  <si>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</si>
  <si>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</si>
  <si>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</si>
  <si>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</si>
  <si>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</si>
  <si>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</si>
  <si>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</si>
  <si>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</si>
  <si>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</si>
  <si>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</si>
  <si>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</si>
  <si>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</si>
  <si>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</si>
  <si>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</si>
  <si>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</si>
  <si>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</si>
  <si>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</si>
  <si>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</si>
  <si>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</si>
  <si>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</si>
  <si>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</si>
  <si>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</si>
  <si>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</si>
  <si>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</si>
  <si>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</si>
  <si>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</si>
  <si>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</si>
  <si>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</si>
  <si>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</si>
  <si>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</si>
  <si>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</si>
  <si>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</si>
  <si>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</si>
  <si>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</si>
  <si>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</si>
  <si>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</si>
  <si>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</si>
  <si>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</si>
  <si>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</si>
  <si>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</si>
  <si>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</si>
  <si>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</si>
  <si>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</si>
  <si>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</si>
  <si>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</si>
  <si>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</si>
  <si>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</si>
  <si>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</si>
  <si>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</si>
  <si>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</si>
  <si>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</si>
  <si>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</si>
  <si>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</si>
  <si>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</si>
  <si>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</si>
  <si>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</si>
  <si>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</si>
  <si>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</si>
  <si>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</si>
  <si>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</si>
  <si>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</si>
  <si>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</si>
  <si>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</si>
  <si>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</si>
  <si>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</si>
  <si>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</si>
  <si>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</si>
  <si>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</si>
  <si>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</si>
  <si>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</si>
  <si>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</si>
  <si>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</si>
  <si>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</si>
  <si>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</si>
  <si>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</si>
  <si>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</si>
  <si>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</si>
  <si>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</si>
  <si>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</si>
  <si>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</si>
  <si>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</si>
  <si>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</si>
  <si>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</si>
  <si>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</si>
  <si>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</si>
  <si>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</si>
  <si>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</si>
  <si>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</si>
  <si>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</si>
  <si>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</si>
  <si>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</si>
  <si>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</si>
  <si>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</si>
  <si>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</si>
  <si>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</si>
  <si>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</si>
  <si>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</si>
  <si>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</si>
  <si>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</si>
  <si>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</si>
  <si>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</si>
  <si>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</si>
  <si>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</si>
  <si>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</si>
  <si>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</si>
  <si>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</si>
  <si>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</si>
  <si>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</si>
  <si>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</si>
  <si>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</si>
  <si>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</si>
  <si>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</si>
  <si>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</si>
  <si>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</si>
  <si>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</si>
  <si>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</si>
  <si>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</si>
  <si>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</si>
  <si>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</si>
  <si>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</si>
  <si>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</si>
  <si>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</si>
  <si>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</si>
  <si>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</si>
  <si>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</si>
  <si>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</si>
  <si>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</si>
  <si>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</si>
  <si>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</si>
  <si>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</si>
  <si>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</si>
  <si>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</si>
  <si>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</si>
  <si>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</si>
  <si>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</si>
  <si>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</si>
  <si>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</si>
  <si>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</si>
  <si>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</si>
  <si>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</si>
  <si>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</si>
  <si>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</si>
  <si>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</si>
  <si>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</si>
  <si>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</si>
  <si>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</si>
  <si>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</si>
  <si>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</si>
  <si>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</si>
  <si>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</si>
  <si>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</si>
  <si>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</si>
  <si>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</si>
  <si>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</si>
  <si>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</si>
  <si>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</si>
  <si>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</si>
  <si>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</si>
  <si>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</si>
  <si>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</si>
  <si>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</si>
  <si>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</si>
  <si>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</si>
  <si>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</si>
  <si>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</si>
  <si>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</si>
  <si>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</si>
  <si>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</si>
  <si>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</si>
  <si>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</si>
  <si>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</si>
  <si>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</si>
  <si>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</si>
  <si>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</si>
  <si>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</si>
  <si>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</si>
  <si>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</si>
  <si>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</si>
  <si>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</si>
  <si>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</si>
  <si>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</si>
  <si>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</si>
  <si>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</si>
  <si>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</si>
  <si>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</si>
  <si>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</si>
  <si>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</si>
  <si>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</si>
  <si>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</si>
  <si>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</si>
  <si>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</si>
  <si>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</si>
  <si>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</si>
  <si>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</si>
  <si>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</si>
  <si>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</si>
  <si>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</si>
  <si>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</si>
  <si>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</si>
  <si>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</si>
  <si>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</si>
  <si>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</si>
  <si>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</si>
  <si>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</si>
  <si>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</si>
  <si>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</si>
  <si>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</si>
  <si>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</si>
  <si>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</si>
  <si>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</si>
  <si>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</si>
  <si>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</si>
  <si>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</si>
  <si>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</si>
  <si>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</si>
  <si>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</si>
  <si>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</si>
  <si>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</si>
  <si>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</si>
  <si>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</si>
  <si>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</si>
  <si>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</si>
  <si>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</si>
  <si>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</si>
  <si>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</si>
  <si>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</si>
  <si>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</si>
  <si>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</si>
  <si>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</si>
  <si>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</si>
  <si>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</si>
  <si>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</si>
  <si>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</si>
  <si>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</si>
  <si>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</si>
  <si>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</si>
  <si>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</si>
  <si>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</si>
  <si>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</si>
  <si>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</si>
  <si>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</si>
  <si>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</si>
  <si>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</si>
  <si>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</si>
  <si>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</si>
  <si>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</si>
  <si>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</si>
  <si>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</si>
  <si>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</si>
  <si>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</si>
  <si>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</si>
  <si>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</si>
  <si>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</si>
  <si>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</si>
  <si>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</si>
  <si>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</si>
  <si>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</si>
  <si>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</si>
  <si>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</si>
  <si>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</si>
  <si>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</si>
  <si>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</si>
  <si>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</si>
  <si>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</si>
  <si>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</si>
  <si>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</si>
  <si>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</si>
  <si>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</si>
  <si>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</si>
  <si>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</si>
  <si>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</si>
  <si>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</si>
  <si>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</si>
  <si>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</si>
  <si>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</si>
  <si>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</si>
  <si>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</si>
  <si>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</si>
  <si>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</si>
  <si>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</si>
  <si>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</si>
  <si>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</si>
  <si>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</si>
  <si>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</si>
  <si>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</si>
  <si>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</si>
  <si>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</si>
  <si>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</si>
  <si>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</si>
  <si>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</si>
  <si>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</si>
  <si>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</si>
  <si>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</si>
  <si>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</si>
  <si>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</si>
  <si>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</si>
  <si>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</si>
  <si>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</si>
  <si>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</si>
  <si>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</si>
  <si>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</si>
  <si>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</si>
  <si>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</si>
  <si>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</si>
  <si>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</si>
  <si>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</si>
  <si>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</si>
  <si>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</si>
  <si>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</si>
  <si>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</si>
  <si>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</si>
  <si>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</si>
  <si>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</si>
  <si>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</si>
  <si>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</si>
  <si>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</si>
  <si>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</si>
  <si>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</si>
  <si>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</si>
  <si>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</si>
  <si>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</si>
  <si>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</si>
  <si>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</si>
  <si>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</si>
  <si>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</si>
  <si>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</si>
  <si>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</si>
  <si>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</si>
  <si>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</si>
  <si>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</si>
  <si>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</si>
  <si>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</si>
  <si>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</si>
  <si>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</si>
  <si>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</si>
  <si>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</si>
  <si>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</si>
  <si>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</si>
  <si>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</si>
  <si>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</si>
  <si>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</si>
  <si>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</si>
  <si>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</si>
  <si>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</si>
  <si>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</si>
  <si>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</si>
  <si>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</si>
  <si>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</si>
  <si>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</si>
  <si>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</si>
  <si>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</si>
  <si>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</si>
  <si>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</si>
  <si>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</si>
  <si>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</si>
  <si>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</si>
  <si>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</si>
  <si>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</si>
  <si>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</si>
  <si>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</si>
  <si>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</si>
  <si>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</si>
  <si>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</si>
  <si>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</si>
  <si>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</si>
  <si>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</si>
  <si>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</si>
  <si>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</si>
  <si>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</si>
  <si>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</si>
  <si>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</si>
  <si>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</si>
  <si>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</si>
  <si>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</si>
  <si>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</si>
  <si>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</si>
  <si>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</si>
  <si>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</si>
  <si>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</si>
  <si>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</si>
  <si>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</si>
  <si>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</si>
  <si>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</si>
  <si>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</si>
  <si>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</si>
  <si>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</si>
  <si>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</si>
  <si>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</si>
  <si>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</si>
  <si>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</si>
  <si>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</si>
  <si>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</si>
  <si>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</si>
  <si>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</si>
  <si>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</si>
  <si>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</si>
  <si>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</si>
  <si>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</si>
  <si>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</si>
  <si>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</si>
  <si>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</si>
  <si>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</si>
  <si>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</si>
  <si>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</si>
  <si>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</si>
  <si>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</si>
  <si>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</si>
  <si>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</si>
  <si>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</si>
  <si>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</si>
  <si>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</si>
  <si>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</si>
  <si>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</si>
  <si>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</si>
  <si>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</si>
  <si>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</si>
  <si>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</si>
  <si>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</si>
  <si>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</si>
  <si>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</si>
  <si>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</si>
  <si>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</si>
  <si>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</si>
  <si>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</si>
  <si>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</si>
  <si>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</si>
  <si>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</si>
  <si>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</si>
  <si>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</si>
  <si>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</si>
  <si>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</si>
  <si>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</si>
  <si>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</si>
  <si>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</si>
  <si>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</si>
  <si>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</si>
  <si>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</si>
  <si>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</si>
  <si>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</si>
  <si>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</si>
  <si>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</si>
  <si>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</si>
  <si>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</si>
  <si>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</si>
  <si>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</si>
  <si>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</si>
  <si>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</si>
  <si>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</si>
  <si>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</si>
  <si>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</si>
  <si>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</si>
  <si>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</si>
  <si>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</si>
  <si>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</si>
  <si>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</si>
  <si>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</si>
  <si>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</si>
  <si>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</si>
  <si>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</si>
  <si>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</si>
  <si>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</si>
  <si>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</si>
  <si>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</si>
  <si>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</si>
  <si>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</si>
  <si>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</si>
  <si>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</si>
  <si>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</si>
  <si>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</si>
  <si>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</si>
  <si>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</si>
  <si>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</si>
  <si>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</si>
  <si>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</si>
  <si>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</si>
  <si>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</si>
  <si>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</si>
  <si>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</si>
  <si>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</si>
  <si>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</si>
  <si>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</si>
  <si>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</si>
  <si>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</si>
  <si>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</si>
  <si>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</si>
  <si>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</si>
  <si>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</si>
  <si>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</si>
  <si>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</si>
  <si>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</si>
  <si>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</si>
  <si>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</si>
  <si>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</si>
  <si>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</si>
  <si>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</si>
  <si>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</si>
  <si>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</si>
  <si>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</si>
  <si>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</si>
  <si>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</si>
  <si>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</si>
  <si>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</si>
  <si>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</si>
  <si>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</si>
  <si>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</si>
  <si>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</si>
  <si>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</si>
  <si>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</si>
  <si>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</si>
  <si>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</si>
  <si>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</si>
  <si>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</si>
  <si>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</si>
  <si>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</si>
  <si>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</si>
  <si>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</si>
  <si>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</si>
  <si>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</si>
  <si>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</si>
  <si>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</si>
  <si>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</si>
  <si>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</si>
  <si>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</si>
  <si>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</si>
  <si>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</si>
  <si>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</si>
  <si>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</si>
  <si>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</si>
  <si>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</si>
  <si>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</si>
  <si>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</si>
  <si>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</si>
  <si>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</si>
  <si>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</si>
  <si>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</si>
  <si>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</si>
  <si>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</si>
  <si>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</si>
  <si>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</si>
  <si>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</si>
  <si>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</si>
  <si>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</si>
  <si>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</si>
  <si>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</si>
  <si>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</si>
  <si>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</si>
  <si>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</si>
  <si>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</si>
  <si>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</si>
  <si>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</si>
  <si>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</si>
  <si>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</si>
  <si>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</si>
  <si>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</si>
  <si>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</si>
  <si>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</si>
  <si>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</si>
  <si>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</si>
  <si>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</si>
  <si>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</si>
  <si>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</si>
  <si>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</si>
  <si>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</si>
  <si>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</si>
  <si>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</si>
  <si>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</si>
  <si>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</si>
  <si>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</si>
  <si>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</si>
  <si>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</si>
  <si>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</si>
  <si>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</si>
  <si>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</si>
  <si>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</si>
  <si>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</si>
  <si>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</si>
  <si>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</si>
  <si>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</si>
  <si>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</si>
  <si>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</si>
  <si>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</si>
  <si>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</si>
  <si>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</si>
  <si>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</si>
  <si>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</si>
  <si>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</si>
  <si>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</si>
  <si>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</si>
  <si>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</si>
  <si>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</si>
  <si>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</si>
  <si>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</si>
  <si>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</si>
  <si>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</si>
  <si>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</si>
  <si>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</si>
  <si>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</si>
  <si>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</si>
  <si>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</si>
  <si>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</si>
  <si>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</si>
  <si>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</si>
  <si>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</si>
  <si>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</si>
  <si>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</si>
  <si>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</si>
  <si>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</si>
  <si>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</si>
  <si>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</si>
  <si>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</si>
  <si>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</si>
  <si>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</si>
  <si>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</si>
  <si>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</si>
  <si>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</si>
  <si>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</si>
  <si>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</si>
  <si>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</si>
  <si>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</si>
  <si>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</si>
  <si>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</si>
  <si>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</si>
  <si>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</si>
  <si>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</si>
  <si>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</si>
  <si>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</si>
  <si>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</si>
  <si>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</si>
  <si>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</si>
  <si>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</si>
  <si>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</si>
  <si>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</si>
  <si>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</si>
  <si>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</si>
  <si>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</si>
  <si>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</si>
  <si>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</si>
  <si>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</si>
  <si>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</si>
  <si>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</si>
  <si>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</si>
  <si>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</si>
  <si>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</si>
  <si>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</si>
  <si>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</si>
  <si>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</si>
  <si>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</si>
  <si>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</si>
  <si>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</si>
  <si>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</si>
  <si>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</si>
  <si>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</si>
  <si>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</si>
  <si>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</si>
  <si>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</si>
  <si>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</si>
  <si>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</si>
  <si>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</si>
  <si>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</si>
  <si>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</si>
  <si>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</si>
  <si>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</si>
  <si>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</si>
  <si>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</si>
  <si>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</si>
  <si>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</si>
  <si>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</si>
  <si>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</si>
  <si>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</si>
  <si>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</si>
  <si>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</si>
  <si>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</si>
  <si>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</si>
  <si>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</si>
  <si>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</si>
  <si>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</si>
  <si>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</si>
  <si>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</si>
  <si>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</si>
  <si>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</si>
  <si>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</si>
  <si>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</si>
  <si>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</si>
  <si>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</si>
  <si>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</si>
  <si>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</si>
  <si>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</si>
  <si>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</si>
  <si>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</si>
  <si>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</si>
  <si>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</si>
  <si>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</si>
  <si>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</si>
  <si>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</si>
  <si>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</si>
  <si>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</si>
  <si>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</si>
  <si>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</si>
  <si>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</si>
  <si>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</si>
  <si>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</si>
  <si>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</si>
  <si>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</si>
  <si>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</si>
  <si>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</si>
  <si>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</si>
  <si>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</si>
  <si>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</si>
  <si>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</si>
  <si>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</si>
  <si>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</si>
  <si>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</si>
  <si>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</si>
  <si>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</si>
  <si>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</si>
  <si>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</si>
  <si>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</si>
  <si>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</si>
  <si>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</si>
  <si>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</si>
  <si>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</si>
  <si>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</si>
  <si>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</si>
  <si>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</si>
  <si>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</si>
  <si>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</si>
  <si>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</si>
  <si>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</si>
  <si>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</si>
  <si>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</si>
  <si>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</si>
  <si>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</si>
  <si>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</si>
  <si>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</si>
  <si>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</si>
  <si>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</si>
  <si>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</si>
  <si>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</si>
  <si>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</si>
  <si>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</si>
  <si>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</si>
  <si>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</si>
  <si>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</si>
  <si>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</si>
  <si>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</si>
  <si>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</si>
  <si>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</si>
  <si>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</si>
  <si>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</si>
  <si>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</si>
  <si>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</si>
  <si>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</si>
  <si>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</si>
  <si>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</si>
  <si>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</si>
  <si>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</si>
  <si>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</si>
  <si>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</si>
  <si>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</si>
  <si>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</si>
  <si>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</si>
  <si>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</si>
  <si>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</si>
  <si>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</si>
  <si>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</si>
  <si>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</si>
  <si>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</si>
  <si>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</si>
  <si>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</si>
  <si>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</si>
  <si>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</si>
  <si>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</si>
  <si>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</si>
  <si>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</si>
  <si>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</si>
  <si>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</si>
  <si>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</si>
  <si>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</si>
  <si>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</si>
  <si>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</si>
  <si>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</si>
  <si>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</si>
  <si>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</si>
  <si>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</si>
  <si>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</si>
  <si>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</si>
  <si>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</si>
  <si>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</si>
  <si>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</si>
  <si>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</si>
  <si>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</si>
  <si>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</si>
  <si>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</si>
  <si>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</si>
  <si>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</si>
  <si>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</si>
  <si>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</si>
  <si>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</si>
  <si>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</si>
  <si>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</si>
  <si>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</si>
  <si>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</si>
  <si>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</si>
  <si>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</si>
  <si>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</si>
  <si>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</si>
  <si>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</si>
  <si>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</si>
  <si>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</si>
  <si>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</si>
  <si>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</si>
  <si>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</si>
  <si>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</si>
  <si>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</si>
  <si>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</si>
  <si>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</si>
  <si>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</si>
  <si>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</si>
  <si>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</si>
  <si>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</si>
  <si>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</si>
  <si>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</si>
  <si>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</si>
  <si>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</si>
  <si>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</si>
  <si>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</si>
  <si>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</si>
  <si>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</si>
  <si>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</si>
  <si>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</si>
  <si>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</si>
  <si>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</si>
  <si>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</si>
  <si>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</si>
  <si>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</si>
  <si>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</si>
  <si>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</si>
  <si>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</si>
  <si>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</si>
  <si>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</si>
  <si>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</si>
  <si>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</si>
  <si>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</si>
  <si>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</si>
  <si>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</si>
  <si>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</si>
  <si>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</si>
  <si>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</si>
  <si>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</si>
  <si>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</si>
  <si>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</si>
  <si>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</si>
  <si>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</si>
  <si>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</si>
  <si>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</si>
  <si>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</si>
  <si>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</si>
  <si>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</si>
  <si>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</si>
  <si>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</si>
  <si>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</si>
  <si>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</si>
  <si>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</si>
  <si>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</si>
  <si>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</si>
  <si>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</si>
  <si>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</si>
  <si>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</si>
  <si>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</si>
  <si>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</si>
  <si>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</si>
  <si>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</si>
  <si>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</si>
  <si>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</si>
  <si>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</si>
  <si>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</si>
  <si>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</si>
  <si>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</si>
  <si>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</si>
  <si>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</si>
  <si>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</si>
  <si>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</si>
  <si>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</si>
  <si>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</si>
  <si>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</si>
  <si>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</si>
  <si>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</si>
  <si>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</si>
  <si>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</si>
  <si>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</si>
  <si>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</si>
  <si>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</si>
  <si>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</si>
  <si>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</si>
  <si>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</si>
  <si>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</si>
  <si>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</si>
  <si>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</si>
  <si>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</si>
  <si>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</si>
  <si>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</si>
  <si>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</si>
  <si>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</si>
  <si>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</si>
  <si>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</si>
  <si>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</si>
  <si>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</si>
  <si>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</si>
  <si>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</si>
  <si>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</si>
  <si>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</si>
  <si>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</si>
  <si>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</si>
  <si>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</si>
  <si>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</si>
  <si>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</si>
  <si>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</si>
  <si>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</si>
  <si>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</si>
  <si>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</si>
  <si>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</si>
  <si>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</si>
  <si>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</si>
  <si>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</si>
  <si>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</si>
  <si>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</si>
  <si>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</si>
  <si>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</si>
  <si>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</si>
  <si>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</si>
  <si>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</si>
  <si>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</si>
  <si>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</si>
  <si>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</si>
  <si>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</si>
  <si>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</si>
  <si>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</si>
  <si>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</si>
  <si>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</si>
  <si>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</si>
  <si>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</si>
  <si>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</si>
  <si>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</si>
  <si>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</si>
  <si>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</si>
  <si>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</si>
  <si>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</si>
  <si>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</si>
  <si>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</si>
  <si>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</si>
  <si>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</si>
  <si>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</si>
  <si>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</si>
  <si>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</si>
  <si>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</si>
  <si>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</si>
  <si>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</si>
  <si>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</si>
  <si>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</si>
  <si>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</si>
  <si>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</si>
  <si>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</si>
  <si>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</si>
  <si>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</si>
  <si>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</si>
  <si>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</si>
  <si>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</si>
  <si>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</si>
  <si>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</si>
  <si>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</si>
  <si>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</si>
  <si>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</si>
  <si>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</si>
  <si>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</si>
  <si>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</si>
  <si>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</si>
  <si>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</si>
  <si>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</si>
  <si>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</si>
  <si>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</si>
  <si>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</si>
  <si>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</si>
  <si>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</si>
  <si>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</si>
  <si>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</si>
  <si>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</si>
  <si>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</si>
  <si>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</si>
  <si>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</si>
  <si>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</si>
  <si>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</si>
  <si>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</si>
  <si>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</si>
  <si>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</si>
  <si>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</si>
  <si>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</si>
  <si>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</si>
  <si>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</si>
  <si>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</si>
  <si>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</si>
  <si>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</si>
  <si>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</si>
  <si>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</si>
  <si>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</si>
  <si>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</si>
  <si>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</si>
  <si>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</si>
  <si>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</si>
  <si>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</si>
  <si>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</si>
  <si>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</si>
  <si>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</si>
  <si>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</si>
  <si>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</si>
  <si>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</si>
  <si>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</si>
  <si>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</si>
  <si>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</si>
  <si>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</si>
  <si>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</si>
  <si>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</si>
  <si>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</si>
  <si>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</si>
  <si>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</si>
  <si>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</si>
  <si>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</si>
  <si>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</si>
  <si>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</si>
  <si>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</si>
  <si>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</si>
  <si>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</si>
  <si>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</si>
  <si>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</si>
  <si>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</si>
  <si>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</si>
  <si>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</si>
  <si>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</si>
  <si>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</si>
  <si>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</si>
  <si>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</si>
  <si>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</si>
  <si>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</si>
  <si>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</si>
  <si>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</si>
  <si>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</si>
  <si>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</si>
  <si>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</si>
  <si>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</si>
  <si>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</si>
  <si>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</si>
  <si>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</si>
  <si>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</si>
  <si>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</si>
  <si>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</si>
  <si>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</si>
  <si>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</si>
  <si>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</si>
  <si>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</si>
  <si>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</si>
  <si>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</si>
  <si>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</si>
  <si>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</si>
  <si>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</si>
  <si>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</si>
  <si>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</si>
  <si>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</si>
  <si>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</si>
  <si>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</si>
  <si>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</si>
  <si>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</si>
  <si>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</si>
  <si>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</si>
  <si>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</si>
  <si>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</si>
  <si>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</si>
  <si>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</si>
  <si>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</si>
  <si>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</si>
  <si>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</si>
  <si>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</si>
  <si>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</si>
  <si>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</si>
  <si>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</si>
  <si>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</si>
  <si>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</si>
  <si>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</si>
  <si>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</si>
  <si>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</si>
  <si>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</si>
  <si>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</si>
  <si>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</si>
  <si>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</si>
  <si>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</si>
  <si>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</si>
  <si>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</si>
  <si>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</si>
  <si>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</si>
  <si>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</si>
  <si>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</si>
  <si>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</si>
  <si>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</si>
  <si>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</si>
  <si>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</si>
  <si>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</si>
  <si>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</si>
  <si>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</si>
  <si>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</si>
  <si>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</si>
  <si>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</si>
  <si>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</si>
  <si>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</si>
  <si>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</si>
  <si>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</si>
  <si>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</si>
  <si>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</si>
  <si>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</si>
  <si>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</si>
  <si>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</si>
  <si>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</si>
  <si>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</si>
  <si>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</si>
  <si>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</si>
  <si>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</si>
  <si>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</si>
  <si>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</si>
  <si>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</si>
  <si>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</si>
  <si>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</si>
  <si>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</si>
  <si>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</si>
  <si>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</si>
  <si>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</si>
  <si>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</si>
  <si>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</si>
  <si>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</si>
  <si>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</si>
  <si>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</si>
  <si>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</si>
  <si>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</si>
  <si>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</si>
  <si>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</si>
  <si>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</si>
  <si>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</si>
  <si>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</si>
  <si>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</si>
  <si>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</si>
  <si>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</si>
  <si>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</si>
  <si>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</si>
  <si>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</si>
  <si>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</si>
  <si>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</si>
  <si>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</si>
  <si>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</si>
  <si>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</si>
  <si>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</si>
  <si>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</si>
  <si>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</si>
  <si>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</si>
  <si>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</si>
  <si>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</si>
  <si>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</si>
  <si>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</si>
  <si>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</si>
  <si>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</si>
  <si>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</si>
  <si>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</si>
  <si>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</si>
  <si>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</si>
  <si>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</si>
  <si>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</si>
  <si>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</si>
  <si>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</si>
  <si>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</si>
  <si>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</si>
  <si>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</si>
  <si>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</si>
  <si>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</si>
  <si>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</si>
  <si>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</si>
  <si>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</si>
  <si>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</si>
  <si>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</si>
  <si>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</si>
  <si>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</si>
  <si>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</si>
  <si>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</si>
  <si>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</si>
  <si>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</si>
  <si>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</si>
  <si>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</si>
  <si>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</si>
  <si>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</si>
  <si>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</si>
  <si>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</si>
  <si>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</si>
  <si>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</si>
  <si>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</si>
  <si>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</si>
  <si>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</si>
  <si>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</si>
  <si>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</si>
  <si>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</si>
  <si>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</si>
  <si>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</si>
  <si>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</si>
  <si>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</si>
  <si>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</si>
  <si>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</si>
  <si>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</si>
  <si>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</si>
  <si>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</si>
  <si>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</si>
  <si>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</si>
  <si>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</si>
  <si>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</si>
  <si>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</si>
  <si>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</si>
  <si>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</si>
  <si>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</si>
  <si>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</si>
  <si>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</si>
  <si>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</si>
  <si>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</si>
  <si>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</si>
  <si>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</si>
  <si>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</si>
  <si>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</si>
  <si>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</si>
  <si>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</si>
  <si>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</si>
  <si>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</si>
  <si>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</si>
  <si>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</si>
  <si>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</si>
  <si>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</si>
  <si>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</si>
  <si>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</si>
  <si>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</si>
  <si>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</si>
  <si>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</si>
  <si>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</si>
  <si>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</si>
  <si>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</si>
  <si>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</si>
  <si>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</si>
  <si>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</si>
  <si>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</si>
  <si>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</si>
  <si>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</si>
  <si>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</si>
  <si>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</si>
  <si>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</si>
  <si>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</si>
  <si>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</si>
  <si>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</si>
  <si>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</si>
  <si>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</si>
  <si>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</si>
  <si>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</si>
  <si>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</si>
  <si>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</si>
  <si>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</si>
  <si>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</si>
  <si>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</si>
  <si>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</si>
  <si>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</si>
  <si>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</si>
  <si>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</si>
  <si>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</si>
  <si>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</si>
  <si>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</si>
  <si>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</si>
  <si>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</si>
  <si>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</si>
  <si>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</si>
  <si>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</si>
  <si>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</si>
  <si>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</si>
  <si>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</si>
  <si>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</si>
  <si>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</si>
  <si>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</si>
  <si>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</si>
  <si>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</si>
  <si>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</si>
  <si>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</si>
  <si>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</si>
  <si>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</si>
  <si>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</si>
  <si>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</si>
  <si>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</si>
  <si>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</si>
  <si>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</si>
  <si>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</si>
  <si>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</si>
  <si>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</si>
  <si>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</si>
  <si>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</si>
  <si>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</si>
  <si>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</si>
  <si>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</si>
  <si>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</si>
  <si>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</si>
  <si>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</si>
  <si>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</si>
  <si>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</si>
  <si>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</si>
  <si>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</si>
  <si>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</si>
  <si>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</si>
  <si>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</si>
  <si>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</si>
  <si>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</si>
  <si>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</si>
  <si>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</si>
  <si>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</si>
  <si>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</si>
  <si>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</si>
  <si>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</si>
  <si>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</si>
  <si>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</si>
  <si>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</si>
  <si>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</si>
  <si>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</si>
  <si>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</si>
  <si>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</si>
  <si>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</si>
  <si>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</si>
  <si>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</si>
  <si>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</si>
  <si>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</si>
  <si>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</si>
  <si>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</si>
  <si>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</si>
  <si>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</si>
  <si>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</si>
  <si>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</si>
  <si>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</si>
  <si>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</si>
  <si>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</si>
  <si>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</si>
  <si>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</si>
  <si>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</si>
  <si>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</si>
  <si>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</si>
  <si>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</si>
  <si>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</si>
  <si>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</si>
  <si>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</si>
  <si>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</si>
  <si>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</si>
  <si>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</si>
  <si>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</si>
  <si>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</si>
  <si>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</si>
  <si>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</si>
  <si>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</si>
  <si>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</si>
  <si>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</si>
  <si>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</si>
  <si>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</si>
  <si>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</si>
  <si>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</si>
  <si>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</si>
  <si>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</si>
  <si>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</si>
  <si>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</si>
  <si>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</si>
  <si>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</si>
  <si>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</si>
  <si>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</si>
  <si>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</si>
  <si>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</si>
  <si>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</si>
  <si>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</si>
  <si>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</si>
  <si>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</si>
  <si>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</si>
  <si>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</si>
  <si>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</si>
  <si>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</si>
  <si>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</si>
  <si>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</si>
  <si>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</si>
  <si>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</si>
  <si>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</si>
  <si>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</si>
  <si>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</si>
  <si>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</si>
  <si>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</si>
  <si>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</si>
  <si>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</si>
  <si>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</si>
  <si>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</si>
  <si>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</si>
  <si>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</si>
  <si>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</si>
  <si>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</si>
  <si>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</si>
  <si>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</si>
  <si>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</si>
  <si>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</si>
  <si>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</si>
  <si>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</si>
  <si>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</si>
  <si>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</si>
  <si>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</si>
  <si>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</si>
  <si>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</si>
  <si>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</si>
  <si>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</si>
  <si>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</si>
  <si>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</si>
  <si>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</si>
  <si>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</si>
  <si>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</si>
  <si>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</si>
  <si>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</si>
  <si>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</si>
  <si>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</si>
  <si>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</si>
  <si>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</si>
  <si>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</si>
  <si>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</si>
  <si>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</si>
  <si>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</si>
  <si>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</si>
  <si>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</si>
  <si>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</si>
  <si>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</si>
  <si>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</si>
  <si>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</si>
  <si>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</si>
  <si>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</si>
  <si>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</si>
  <si>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</si>
  <si>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</si>
  <si>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</si>
  <si>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</si>
  <si>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</si>
  <si>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</si>
  <si>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</si>
  <si>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</si>
  <si>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</si>
  <si>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</si>
  <si>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</si>
  <si>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</si>
  <si>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</si>
  <si>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</si>
  <si>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</si>
  <si>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</si>
  <si>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</si>
  <si>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</si>
  <si>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</si>
  <si>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</si>
  <si>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</si>
  <si>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</si>
  <si>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</si>
  <si>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</si>
  <si>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</si>
  <si>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</si>
  <si>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</si>
  <si>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</si>
  <si>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</si>
  <si>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</si>
  <si>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</si>
  <si>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</si>
  <si>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</si>
  <si>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</si>
  <si>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</si>
  <si>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</si>
  <si>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</si>
  <si>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</si>
  <si>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</si>
  <si>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</si>
  <si>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</si>
  <si>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</si>
  <si>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</si>
  <si>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</si>
  <si>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</si>
  <si>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</si>
  <si>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</si>
  <si>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</si>
  <si>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</si>
  <si>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</si>
  <si>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</si>
  <si>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</si>
  <si>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</si>
  <si>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</si>
  <si>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</si>
  <si>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</si>
  <si>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</si>
  <si>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</si>
  <si>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</si>
  <si>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</si>
  <si>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</si>
  <si>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</si>
  <si>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</si>
  <si>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</si>
  <si>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</si>
  <si>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</si>
  <si>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</si>
  <si>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</si>
  <si>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</si>
  <si>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</si>
  <si>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</si>
  <si>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</si>
  <si>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</si>
  <si>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</si>
  <si>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</si>
  <si>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</si>
  <si>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</si>
  <si>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</si>
  <si>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</si>
  <si>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</si>
  <si>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</si>
  <si>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</si>
  <si>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</si>
  <si>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</si>
  <si>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</si>
  <si>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</si>
  <si>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</si>
  <si>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</si>
  <si>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</si>
  <si>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</si>
  <si>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</si>
  <si>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</si>
  <si>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</si>
  <si>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</si>
  <si>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</si>
  <si>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</si>
  <si>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</si>
  <si>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</si>
  <si>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</si>
  <si>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</si>
  <si>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</si>
  <si>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</si>
  <si>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</si>
  <si>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</si>
  <si>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</si>
  <si>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</si>
  <si>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</si>
  <si>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</si>
  <si>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</si>
  <si>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</si>
  <si>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</si>
  <si>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</si>
  <si>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</si>
  <si>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</si>
  <si>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</si>
  <si>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</si>
  <si>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</si>
  <si>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</si>
  <si>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</si>
  <si>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</si>
  <si>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</si>
  <si>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</si>
  <si>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</si>
  <si>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</si>
  <si>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</si>
  <si>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</si>
  <si>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</si>
  <si>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</si>
  <si>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</si>
  <si>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</si>
  <si>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</si>
  <si>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</si>
  <si>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</si>
  <si>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</si>
  <si>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</si>
  <si>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</si>
  <si>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</si>
  <si>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</si>
  <si>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</si>
  <si>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</si>
  <si>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</si>
  <si>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</si>
  <si>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</si>
  <si>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</si>
  <si>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</si>
  <si>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</si>
  <si>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</si>
  <si>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</si>
  <si>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</si>
  <si>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</si>
  <si>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</si>
  <si>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</si>
  <si>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</si>
  <si>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</si>
  <si>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</si>
  <si>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</si>
  <si>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</si>
  <si>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</si>
  <si>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</si>
  <si>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</si>
  <si>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</si>
  <si>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</si>
  <si>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</si>
  <si>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</si>
  <si>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</si>
  <si>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</si>
  <si>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</si>
  <si>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</si>
  <si>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</si>
  <si>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</si>
  <si>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</si>
  <si>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</si>
  <si>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</si>
  <si>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</si>
  <si>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</si>
  <si>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</si>
  <si>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</si>
  <si>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</si>
  <si>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</si>
  <si>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</si>
  <si>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</si>
  <si>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</si>
  <si>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</si>
  <si>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</si>
  <si>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</si>
  <si>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</si>
  <si>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</si>
  <si>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</si>
  <si>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</si>
  <si>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</si>
  <si>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</si>
  <si>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</si>
  <si>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</si>
  <si>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</si>
  <si>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</si>
  <si>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</si>
  <si>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</si>
  <si>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</si>
  <si>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</si>
  <si>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</si>
  <si>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</si>
  <si>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</si>
  <si>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</si>
  <si>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</si>
  <si>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</si>
  <si>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</si>
  <si>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</si>
  <si>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</si>
  <si>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</si>
  <si>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</si>
  <si>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</si>
  <si>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</si>
  <si>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</si>
  <si>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</si>
  <si>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</si>
  <si>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</si>
  <si>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</si>
  <si>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</si>
  <si>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</si>
  <si>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</si>
  <si>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</si>
  <si>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</si>
  <si>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</si>
  <si>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</si>
  <si>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</si>
  <si>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</si>
  <si>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</si>
  <si>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</si>
  <si>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</si>
  <si>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</si>
  <si>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</si>
  <si>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t>地上</t>
  </si>
  <si>
    <t>是</t>
  </si>
  <si>
    <t>抵押</t>
  </si>
  <si>
    <t>房地产抵押价值</t>
  </si>
  <si>
    <t>北京市</t>
  </si>
  <si>
    <t>企业</t>
  </si>
  <si>
    <t>北京海华建筑工程有限公司</t>
    <phoneticPr fontId="8" type="noConversion"/>
  </si>
  <si>
    <r>
      <rPr>
        <sz val="10"/>
        <color theme="9" tint="-0.249977111117893"/>
        <rFont val="宋体"/>
        <family val="3"/>
        <charset val="134"/>
      </rPr>
      <t>密云区新南路</t>
    </r>
    <r>
      <rPr>
        <sz val="10"/>
        <color theme="9" tint="-0.249977111117893"/>
        <rFont val="Arial"/>
        <family val="2"/>
      </rPr>
      <t>60</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01</t>
    </r>
    <phoneticPr fontId="8" type="noConversion"/>
  </si>
  <si>
    <t>现房</t>
  </si>
  <si>
    <t>居住项目</t>
  </si>
  <si>
    <t>总价</t>
    <phoneticPr fontId="136" type="noConversion"/>
  </si>
  <si>
    <t>单价</t>
    <phoneticPr fontId="136" type="noConversion"/>
  </si>
  <si>
    <t>国盛2025正评</t>
    <phoneticPr fontId="136" type="noConversion"/>
  </si>
  <si>
    <t>国盛2024正评</t>
    <phoneticPr fontId="136" type="noConversion"/>
  </si>
  <si>
    <r>
      <rPr>
        <sz val="11"/>
        <color theme="1"/>
        <rFont val="宋体"/>
        <family val="2"/>
        <scheme val="minor"/>
      </rPr>
      <t>康正</t>
    </r>
    <r>
      <rPr>
        <sz val="11"/>
        <color theme="1"/>
        <rFont val="宋体"/>
        <family val="2"/>
        <scheme val="minor"/>
      </rPr>
      <t>2</t>
    </r>
    <r>
      <rPr>
        <sz val="11"/>
        <color theme="1"/>
        <rFont val="宋体"/>
        <family val="2"/>
        <scheme val="minor"/>
      </rPr>
      <t>024年复估单</t>
    </r>
    <phoneticPr fontId="136" type="noConversion"/>
  </si>
  <si>
    <t>康正2025年复估单</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</si>
</sst>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cellStyleXfs>
  <cellXfs count="350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3"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0" fontId="79" fillId="7" borderId="54" xfId="0" applyFont="1" applyFill="1" applyBorder="1" applyAlignment="1" applyProtection="1">
      <alignment vertical="center" wrapText="1"/>
      <protection locked="0"/>
    </xf>
    <xf numFmtId="49" fontId="274" fillId="12" borderId="4" xfId="0" applyNumberFormat="1" applyFont="1" applyFill="1" applyBorder="1" applyAlignment="1" applyProtection="1">
      <alignment horizontal="left" vertical="center"/>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62" fillId="5" borderId="0" xfId="12" applyFont="1" applyFill="1" applyAlignment="1" applyProtection="1">
      <alignment horizontal="left" vertical="center" wrapText="1"/>
      <protection locked="0"/>
    </xf>
    <xf numFmtId="0" fontId="1" fillId="5" borderId="0" xfId="12" applyFont="1" applyFill="1" applyAlignment="1" applyProtection="1">
      <alignment horizontal="left"/>
      <protection locked="0"/>
    </xf>
    <xf numFmtId="0" fontId="161" fillId="5" borderId="0" xfId="12" applyFill="1" applyAlignment="1" applyProtection="1">
      <alignment horizontal="left"/>
      <protection locked="0"/>
    </xf>
    <xf numFmtId="0" fontId="2" fillId="5"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284952</xdr:colOff>
      <xdr:row>33</xdr:row>
      <xdr:rowOff>22103</xdr:rowOff>
    </xdr:to>
    <xdr:pic>
      <xdr:nvPicPr>
        <xdr:cNvPr id="2" name="图片 1">
          <a:extLst>
            <a:ext uri="{FF2B5EF4-FFF2-40B4-BE49-F238E27FC236}">
              <a16:creationId xmlns:a16="http://schemas.microsoft.com/office/drawing/2014/main" id="{C4DC9B16-A2B7-2A00-ECD6-1B0D0DD5AC76}"/>
            </a:ext>
          </a:extLst>
        </xdr:cNvPr>
        <xdr:cNvPicPr>
          <a:picLocks noChangeAspect="1"/>
        </xdr:cNvPicPr>
      </xdr:nvPicPr>
      <xdr:blipFill>
        <a:blip xmlns:r="http://schemas.openxmlformats.org/officeDocument/2006/relationships" r:embed="rId1"/>
        <a:stretch>
          <a:fillRect/>
        </a:stretch>
      </xdr:blipFill>
      <xdr:spPr>
        <a:xfrm>
          <a:off x="0" y="0"/>
          <a:ext cx="6380952" cy="6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北京市密云区新南路60号1幢1至2层01房地产抵押价值预评估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受贵公司委托，我公司对北京市密云区新南路60号1幢1至2层01房地产抵押价值进行了预评估。</v>
      </c>
    </row>
    <row r="7" spans="1:2">
      <c r="A7" s="1119" t="s">
        <v>566</v>
      </c>
      <c r="B7" s="1120" t="str">
        <f>'预评函-1'!A7</f>
        <v>估价对象为北京市密云区新南路60号1幢1至2层01房地产，为北京海华建筑工程有限公司所有。根据《国有土地使用证》[]，估价对象（分摊）出让国有建设用地使用权面积为0平方米，建筑面积为497.23平方米。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区新南路60号1幢1至2层01房地产,属北京海华建筑工程有限公司开发建设的居住项目，该项目尚在开发建设中。根据《国有土地使用证》[]，估价对象（分摊）出让国有建设用地使用权面积为0平方米，规划建筑面积为497.23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密云区新南路60号1幢1至2层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2025年5月26日（评估专业人员实地查勘之日）</v>
      </c>
    </row>
    <row r="13" spans="1:2">
      <c r="A13" s="1119" t="s">
        <v>529</v>
      </c>
      <c r="B13" s="1120"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北京市密云区新南路60号1幢1至2层01房地产</v>
      </c>
    </row>
    <row r="42" spans="1:2" ht="31.2">
      <c r="A42" s="1119" t="s">
        <v>590</v>
      </c>
      <c r="B42" s="1120" t="str">
        <f>'预评函-3'!B2</f>
        <v>建筑面积</v>
      </c>
    </row>
    <row r="43" spans="1:2">
      <c r="A43" s="1119" t="s">
        <v>591</v>
      </c>
      <c r="B43" s="1120">
        <f>'预评函-3'!B4</f>
        <v>497.23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新南路60号1幢1至2层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4" t="s">
        <v>2580</v>
      </c>
      <c r="J2" s="3204"/>
      <c r="K2" s="3204"/>
      <c r="L2" s="3204"/>
      <c r="M2" s="3204"/>
      <c r="N2" s="3204"/>
      <c r="O2" s="3204"/>
      <c r="P2" s="3204"/>
      <c r="Q2" s="3204"/>
      <c r="R2" s="3204"/>
    </row>
    <row r="3" spans="1:18">
      <c r="A3" s="2761" t="s">
        <v>2501</v>
      </c>
      <c r="B3" s="2762">
        <f>项目基本情况!D3</f>
        <v>45803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1.56</v>
      </c>
      <c r="D5" s="2766">
        <f>IF(ISERROR(ROUND(POWER(1+E5,A5-C5)*(POWER(1+E5,C5)-1)/(POWER(1+E5,A5)-1),3)),0,ROUND(POWER(1+E5,A5-C5)*(POWER(1+E5,C5)-1)/(POWER(1+E5,A5)-1),4))</f>
        <v>7.4999999999999997E-2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11.57</v>
      </c>
      <c r="D6" s="2766">
        <f>IF(ISERROR(ROUND(POWER(1+E6,A6-C6)*(POWER(1+E6,C6)-1)/(POWER(1+E6,A6)-1),3)),0,ROUND(POWER(1+E6,A6-C6)*(POWER(1+E6,C6)-1)/(POWER(1+E6,A6)-1),4))</f>
        <v>0.42449999999999999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31.58</v>
      </c>
      <c r="D7" s="2766">
        <f>IF(ISERROR(ROUND(POWER(1+E7,A7-C7)*(POWER(1+E7,C7)-1)/(POWER(1+E7,A7)-1),3)),0,ROUND(POWER(1+E7,A7-C7)*(POWER(1+E7,C7)-1)/(POWER(1+E7,A7)-1),4))</f>
        <v>0.75890000000000002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F28" sqref="F2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2" t="str">
        <f>IF(B10="北京市","北京市",C10)&amp;F10&amp;IF(结果表!G1="在建","出让国有建设用地使用权及在建建筑物",IF(结果表!G1="土地","出让国有建设用地使用权",))&amp;B9&amp;"预评估"</f>
        <v>北京市密云区新南路60号1幢1至2层01房地产抵押价值预评估</v>
      </c>
      <c r="C1" s="3213"/>
      <c r="D1" s="3213"/>
      <c r="E1" s="3213"/>
      <c r="F1" s="3213"/>
      <c r="G1" s="3213"/>
      <c r="H1" s="3213"/>
      <c r="I1" s="321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北京市密云区新南路60号1幢1至2层01房地产抵押价值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北京市密云区新南路60号1幢1至2层01房地产</v>
      </c>
      <c r="T2" s="1618"/>
      <c r="U2" s="1618"/>
      <c r="V2" s="1618"/>
      <c r="W2" s="1618"/>
      <c r="X2" s="1618"/>
      <c r="Y2" s="1618"/>
      <c r="Z2" s="1618"/>
      <c r="AA2" s="1618"/>
      <c r="AB2" s="1618"/>
    </row>
    <row r="3" spans="1:30">
      <c r="A3" s="294" t="s">
        <v>2170</v>
      </c>
      <c r="B3" s="2185">
        <v>45803</v>
      </c>
      <c r="C3" s="2186" t="s">
        <v>2171</v>
      </c>
      <c r="D3" s="2185">
        <f>B3</f>
        <v>45803</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3414</v>
      </c>
      <c r="C8" s="2201"/>
      <c r="D8" s="3215" t="s">
        <v>2177</v>
      </c>
      <c r="E8" s="2202" t="s">
        <v>3415</v>
      </c>
      <c r="F8" s="2203"/>
      <c r="G8" s="2441"/>
      <c r="H8" s="2441"/>
      <c r="I8" s="2441"/>
      <c r="J8" s="2244"/>
      <c r="K8" s="2399"/>
      <c r="L8" s="2398"/>
      <c r="M8" s="2398"/>
      <c r="N8" s="2244"/>
      <c r="O8" s="1670"/>
      <c r="P8" s="2244"/>
      <c r="Q8" s="2244"/>
      <c r="R8" s="2244"/>
    </row>
    <row r="9" spans="1:30" ht="13.8" thickBot="1">
      <c r="A9" s="2204" t="s">
        <v>2178</v>
      </c>
      <c r="B9" s="2205" t="s">
        <v>3415</v>
      </c>
      <c r="C9" s="2206"/>
      <c r="D9" s="3216"/>
      <c r="E9" s="2205" t="s">
        <v>43</v>
      </c>
      <c r="F9" s="2207"/>
      <c r="G9" s="2442"/>
      <c r="H9" s="2442"/>
      <c r="I9" s="2442"/>
      <c r="J9" s="2244"/>
      <c r="K9" s="2401"/>
      <c r="L9" s="2398"/>
      <c r="M9" s="2398"/>
      <c r="N9" s="2244"/>
      <c r="O9" s="1670"/>
      <c r="P9" s="2244"/>
      <c r="Q9" s="2244"/>
      <c r="R9" s="2244"/>
    </row>
    <row r="10" spans="1:30" ht="13.8" thickTop="1">
      <c r="A10" s="2208" t="s">
        <v>2179</v>
      </c>
      <c r="B10" s="2209" t="s">
        <v>3416</v>
      </c>
      <c r="C10" s="2210"/>
      <c r="D10" s="2193"/>
      <c r="E10" s="2211" t="s">
        <v>2180</v>
      </c>
      <c r="F10" s="3162" t="s">
        <v>3419</v>
      </c>
      <c r="G10" s="2443"/>
      <c r="H10" s="2444"/>
      <c r="I10" s="2445"/>
      <c r="J10" s="2244"/>
      <c r="K10" s="2401"/>
      <c r="L10" s="2398"/>
      <c r="M10" s="2398"/>
      <c r="N10" s="2244"/>
      <c r="O10" s="1670"/>
      <c r="P10" s="2244"/>
      <c r="Q10" s="2244"/>
      <c r="R10" s="2244"/>
    </row>
    <row r="11" spans="1:30" ht="36">
      <c r="A11" s="2212" t="s">
        <v>2181</v>
      </c>
      <c r="B11" s="2213" t="s">
        <v>3417</v>
      </c>
      <c r="C11" s="3161" t="s">
        <v>3418</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2"/>
      <c r="C16" s="3223"/>
      <c r="D16" s="3224"/>
      <c r="E16" s="2221" t="s">
        <v>2194</v>
      </c>
      <c r="F16" s="3225"/>
      <c r="G16" s="3226"/>
      <c r="H16" s="3226"/>
      <c r="I16" s="3227"/>
      <c r="J16" s="2244"/>
      <c r="K16" s="2402"/>
      <c r="L16" s="1670"/>
      <c r="M16" s="1670"/>
      <c r="N16" s="2244"/>
      <c r="O16" s="1670"/>
      <c r="P16" s="2244"/>
      <c r="Q16" s="2244"/>
      <c r="R16" s="2244"/>
    </row>
    <row r="17" spans="1:28">
      <c r="A17" s="305" t="s">
        <v>2195</v>
      </c>
      <c r="B17" s="294" t="s">
        <v>2196</v>
      </c>
      <c r="C17" s="8">
        <f>'数据-汇总表'!E3</f>
        <v>497.23</v>
      </c>
      <c r="D17" s="1256" t="s">
        <v>2197</v>
      </c>
      <c r="E17" s="3228" t="s">
        <v>2198</v>
      </c>
      <c r="F17" s="3229"/>
      <c r="G17" s="3229"/>
      <c r="H17" s="3229"/>
      <c r="I17" s="3230"/>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1" t="s">
        <v>2202</v>
      </c>
      <c r="F18" s="3232"/>
      <c r="G18" s="3232"/>
      <c r="H18" s="3232"/>
      <c r="I18" s="3233"/>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8" t="s">
        <v>2206</v>
      </c>
      <c r="C20" s="3219"/>
      <c r="D20" s="3220" t="s">
        <v>2207</v>
      </c>
      <c r="E20" s="3221"/>
      <c r="F20" s="2429" t="s">
        <v>1056</v>
      </c>
      <c r="G20" s="2441"/>
      <c r="H20" s="2441"/>
      <c r="I20" s="2441"/>
      <c r="J20" s="2244"/>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6" t="s">
        <v>2214</v>
      </c>
      <c r="B27" s="312" t="s">
        <v>2215</v>
      </c>
      <c r="C27" s="2224" t="s">
        <v>3421</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6"/>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6"/>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7"/>
      <c r="B30" s="294" t="s">
        <v>2218</v>
      </c>
      <c r="C30" s="3208"/>
      <c r="D30" s="3209"/>
      <c r="E30" s="2441"/>
      <c r="F30" s="2441"/>
      <c r="G30" s="2441"/>
      <c r="H30" s="2441"/>
      <c r="I30" s="2441"/>
      <c r="J30" s="2244"/>
      <c r="K30" s="2401"/>
      <c r="L30" s="2398"/>
      <c r="M30" s="2398"/>
      <c r="N30" s="2244"/>
      <c r="O30" s="1670"/>
      <c r="P30" s="2244"/>
      <c r="Q30" s="2244"/>
      <c r="R30" s="2244"/>
      <c r="S30" s="2244"/>
      <c r="T30" s="2244"/>
      <c r="U30" s="2244"/>
      <c r="V30" s="2244"/>
    </row>
    <row r="31" spans="1:28">
      <c r="A31" s="3210" t="s">
        <v>2219</v>
      </c>
      <c r="B31" s="2230" t="s">
        <v>3420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5" t="s">
        <v>2228</v>
      </c>
      <c r="T34" s="315" t="str">
        <f>NUMBERSTRING(7-K34,1)&amp;"通"</f>
        <v>七通</v>
      </c>
      <c r="U34" s="2244"/>
      <c r="V34" s="2244"/>
    </row>
    <row r="35" spans="1:30">
      <c r="A35" s="2235"/>
      <c r="B35" s="3205" t="s">
        <v>2229</v>
      </c>
      <c r="C35" s="3205"/>
      <c r="D35" s="3205"/>
      <c r="E35" s="320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497.23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497.23</v>
      </c>
      <c r="H5" s="13">
        <f t="shared" ref="H5:AT5" si="0">SUM(H13:H656)</f>
        <v>497.23</v>
      </c>
      <c r="I5" s="13">
        <f t="shared" si="0"/>
        <v>497.23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497.23</v>
      </c>
      <c r="BA5" s="15">
        <f t="shared" si="1"/>
        <v>497.23</v>
      </c>
      <c r="BB5" s="15">
        <f t="shared" si="1"/>
        <v>497.23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3413</v>
      </c>
      <c r="E13" s="13">
        <f>IF($C$3="是",ROUND($A$3*G13/$B$3,2),ROUND($A$3*(G13-AT13)/$B$3,2))</f>
        <v>0</v>
      </c>
      <c r="F13" s="29"/>
      <c r="G13" s="30">
        <f>H13+AC13+AT13</f>
        <v>497.23</v>
      </c>
      <c r="H13" s="17">
        <f>SUMIF(I$12:AB$12,"总值",I13:AB13)</f>
        <v>497.23</v>
      </c>
      <c r="I13" s="1514">
        <v>497.23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497.23</v>
      </c>
      <c r="BA13" s="13">
        <f>SUM(BB13:BK13)</f>
        <v>497.23</v>
      </c>
      <c r="BB13" s="13">
        <f>IF($D13="是",I13-J13,0)</f>
        <v>497.23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3" t="s">
        <v>1131</v>
      </c>
      <c r="B2" s="3243"/>
      <c r="C2" s="3243"/>
      <c r="D2" s="748" t="s">
        <v>1107</v>
      </c>
      <c r="E2" s="1523" t="s">
        <v>1108</v>
      </c>
      <c r="F2" s="2438"/>
      <c r="G2" s="2431"/>
      <c r="H2" s="2432"/>
      <c r="I2" s="2146" t="s">
        <v>1132</v>
      </c>
      <c r="J2" s="2438"/>
      <c r="K2" s="2438"/>
      <c r="L2" s="2438"/>
      <c r="M2" s="2438"/>
      <c r="N2" s="2439"/>
      <c r="O2" s="2438"/>
      <c r="P2" s="2438"/>
    </row>
    <row r="3" spans="1:16" ht="15" thickBot="1">
      <c r="A3" s="3244" t="s">
        <v>1105</v>
      </c>
      <c r="B3" s="3244"/>
      <c r="C3" s="3244"/>
      <c r="D3" s="41">
        <f>'数据-基础表'!AY6</f>
        <v>0</v>
      </c>
      <c r="E3" s="41">
        <f>'数据-基础表'!AZ5</f>
        <v>497.23</v>
      </c>
      <c r="F3" s="2438"/>
      <c r="G3" s="42"/>
      <c r="H3" s="43" t="s">
        <v>1106</v>
      </c>
      <c r="I3" s="802" t="e">
        <f>ROUND('数据-基础表'!B3/'数据-基础表'!A3,2)</f>
        <v>#DIV/0!</v>
      </c>
      <c r="J3" s="2438"/>
      <c r="K3" s="2438"/>
      <c r="L3" s="2438"/>
      <c r="M3" s="2438"/>
      <c r="N3" s="2439"/>
      <c r="O3" s="2438"/>
      <c r="P3" s="2438"/>
    </row>
    <row r="4" spans="1:16" ht="14.4">
      <c r="A4" s="3245"/>
      <c r="B4" s="3246"/>
      <c r="C4" s="3247"/>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8" t="s">
        <v>1110</v>
      </c>
      <c r="C5" s="324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8" t="s">
        <v>1111</v>
      </c>
      <c r="C6" s="3248"/>
      <c r="D6" s="43">
        <f>ROUND($D$3*E6/$E$3,2)</f>
        <v>0</v>
      </c>
      <c r="E6" s="44">
        <f>E3-E5</f>
        <v>497.23</v>
      </c>
      <c r="F6" s="2438"/>
      <c r="G6" s="1529" t="s">
        <v>1112</v>
      </c>
      <c r="H6" s="45" t="s">
        <v>1113</v>
      </c>
      <c r="I6" s="2434" t="e">
        <f>ROUND(F31/D31,2)</f>
        <v>#DIV/0!</v>
      </c>
      <c r="J6" s="2438"/>
      <c r="K6" s="2438"/>
      <c r="L6" s="2438"/>
      <c r="M6" s="2438"/>
      <c r="N6" s="2438"/>
      <c r="O6" s="2438"/>
      <c r="P6" s="2438"/>
    </row>
    <row r="7" spans="1:16" ht="15" thickBot="1">
      <c r="A7" s="3240"/>
      <c r="B7" s="3241"/>
      <c r="C7" s="3242"/>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497.23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497.23</v>
      </c>
      <c r="F16" s="2438"/>
      <c r="G16" s="2438"/>
      <c r="H16" s="1531" t="s">
        <v>1135</v>
      </c>
      <c r="I16" s="1532"/>
      <c r="J16" s="1071"/>
      <c r="K16" s="3237" t="s">
        <v>1135</v>
      </c>
      <c r="L16" s="3238"/>
      <c r="M16" s="3238"/>
      <c r="N16" s="3238"/>
      <c r="O16" s="3238"/>
      <c r="P16" s="3239"/>
    </row>
    <row r="17" spans="1:19" ht="14.4">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c r="D19" s="43">
        <f>ROUND($D$3*E19/$E$3,2)</f>
        <v>0</v>
      </c>
      <c r="E19" s="51">
        <f t="shared" ref="E19:E26" si="1">SUM(F19:G19)</f>
        <v>497.23</v>
      </c>
      <c r="F19" s="2556">
        <f>'数据-基础表'!G13</f>
        <v>497.23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497.23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497.23</v>
      </c>
      <c r="F27" s="1072">
        <f>IF(SUM(F19:F26)=E8,SUM(F19:F26),"地上面积有误")</f>
        <v>497.23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497.23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497.23</v>
      </c>
      <c r="F31" s="644">
        <f>F27+F30</f>
        <v>497.23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8" sqref="H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497.23</v>
      </c>
      <c r="C1" s="2460"/>
      <c r="D1" s="2460"/>
      <c r="E1" s="3498" t="s">
        <v>3425</v>
      </c>
      <c r="F1" s="3498"/>
      <c r="G1" s="3499" t="s">
        <v>3426</v>
      </c>
      <c r="H1" s="3500"/>
      <c r="I1" s="2461"/>
      <c r="J1" s="2461"/>
      <c r="K1" s="2461"/>
    </row>
    <row r="2" spans="1:11" ht="16.2">
      <c r="A2" s="2299" t="s">
        <v>653</v>
      </c>
      <c r="B2" s="2299">
        <f>SUM(C14:C23)</f>
        <v>0</v>
      </c>
      <c r="C2" s="2460"/>
      <c r="D2" s="2460"/>
      <c r="E2" s="3498" t="s">
        <v>3422</v>
      </c>
      <c r="F2" s="3498">
        <v>1144.05</v>
      </c>
      <c r="G2" s="3501" t="s">
        <v>3422</v>
      </c>
      <c r="H2" s="3500">
        <v>1093</v>
      </c>
      <c r="I2" s="2461"/>
      <c r="J2" s="2461"/>
      <c r="K2" s="2461"/>
    </row>
    <row r="3" spans="1:11" ht="15.6">
      <c r="A3" s="2299" t="s">
        <v>662</v>
      </c>
      <c r="B3" s="2301">
        <f>项目基本情况!D3</f>
        <v>45803</v>
      </c>
      <c r="C3" s="2460"/>
      <c r="D3" s="2460"/>
      <c r="E3" s="3498" t="s">
        <v>3390</v>
      </c>
      <c r="F3" s="3498">
        <v>23008</v>
      </c>
      <c r="G3" s="3501" t="s">
        <v>3423</v>
      </c>
      <c r="H3" s="3500">
        <v>21976</v>
      </c>
      <c r="I3" s="2461"/>
      <c r="J3" s="2461"/>
      <c r="K3" s="2461"/>
    </row>
    <row r="4" spans="1:11" ht="31.2">
      <c r="A4" s="2299" t="s">
        <v>661</v>
      </c>
      <c r="B4" s="2299" t="s">
        <v>660</v>
      </c>
      <c r="C4" s="2299" t="s">
        <v>659</v>
      </c>
      <c r="D4" s="2299" t="s">
        <v>658</v>
      </c>
      <c r="E4" s="3498" t="s">
        <v>3424</v>
      </c>
      <c r="F4" s="3500"/>
      <c r="G4" s="3499" t="s">
        <v>3427</v>
      </c>
      <c r="H4" s="3500"/>
      <c r="K4" s="2461"/>
    </row>
    <row r="5" spans="1:11" ht="15.6">
      <c r="A5" s="2299" t="s">
        <v>657</v>
      </c>
      <c r="B5" s="2299">
        <f>SUM(D14:D23)</f>
        <v>994</v>
      </c>
      <c r="C5" s="2299">
        <f ca="1">IF(B5=D14,结果表!H102,ROUND(B5*10000/$B$1,0))</f>
        <v>0</v>
      </c>
      <c r="D5" s="2299" t="e">
        <f>ROUND(B5*10000/$B$2,0)</f>
        <v>#DIV/0!</v>
      </c>
      <c r="E5" s="3498" t="s">
        <v>3422</v>
      </c>
      <c r="F5" s="3500">
        <v>1043.8699999999999</v>
      </c>
      <c r="G5" s="3501" t="s">
        <v>3422</v>
      </c>
      <c r="H5" s="3500">
        <f>ROUND(B14*H6/10000,0)</f>
        <v>994</v>
      </c>
      <c r="K5" s="2461"/>
    </row>
    <row r="6" spans="1:11" ht="15.6">
      <c r="A6" s="2299" t="s">
        <v>656</v>
      </c>
      <c r="B6" s="2299">
        <f>SUM(G14:G23)</f>
        <v>994</v>
      </c>
      <c r="C6" s="2299">
        <f ca="1">IF(B6=G14,结果表!H108,ROUND(B6*10000/$B$1,0))</f>
        <v>0</v>
      </c>
      <c r="D6" s="2299" t="e">
        <f>ROUND(B6*10000/$B$2,0)</f>
        <v>#DIV/0!</v>
      </c>
      <c r="E6" s="3498" t="s">
        <v>3423</v>
      </c>
      <c r="F6" s="3500">
        <v>20994</v>
      </c>
      <c r="G6" s="3501" t="s">
        <v>3423</v>
      </c>
      <c r="H6" s="3500">
        <v>20000</v>
      </c>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497.23</v>
      </c>
      <c r="C14" s="2305"/>
      <c r="D14" s="2305">
        <f>H5</f>
        <v>994</v>
      </c>
      <c r="E14" s="2305">
        <f>H6</f>
        <v>20000</v>
      </c>
      <c r="F14" s="2305" t="e">
        <f>ROUND(D14*10000/C14,0)</f>
        <v>#DIV/0!</v>
      </c>
      <c r="G14" s="2305">
        <f>H5</f>
        <v>994</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C59A9-7336-4411-B9D0-4F4EADFC5A3E}">
  <dimension ref="A1"/>
  <sheetViews>
    <sheetView topLeftCell="A10" workbookViewId="0"/>
  </sheetViews>
  <sheetFormatPr defaultRowHeight="14.4"/>
  <sheetData/>
  <phoneticPr fontId="136"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45803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9" t="s">
        <v>2286</v>
      </c>
      <c r="B1" s="3250"/>
      <c r="C1" s="3250"/>
      <c r="D1" s="3250"/>
      <c r="E1" s="3250"/>
      <c r="F1" s="3250"/>
      <c r="G1" s="325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5" t="str">
        <f>项目基本情况!S2</f>
        <v>北京市密云区新南路60号1幢1至2层01房地产</v>
      </c>
      <c r="B2" s="3286"/>
      <c r="C2" s="3286"/>
      <c r="D2" s="3286"/>
      <c r="E2" s="3286"/>
      <c r="F2" s="3286"/>
      <c r="G2" s="3286"/>
      <c r="H2" s="3286"/>
      <c r="I2" s="3287"/>
    </row>
    <row r="3" spans="1:12" ht="13.2">
      <c r="A3" s="3289" t="s">
        <v>1264</v>
      </c>
      <c r="B3" s="3290"/>
      <c r="C3" s="3290"/>
      <c r="D3" s="3290"/>
      <c r="E3" s="3290"/>
      <c r="F3" s="3290"/>
      <c r="G3" s="3290"/>
      <c r="H3" s="3290"/>
      <c r="I3" s="3290"/>
    </row>
    <row r="4" spans="1:12" ht="14.4">
      <c r="A4" s="1624" t="s">
        <v>1265</v>
      </c>
      <c r="B4" s="1625" t="s">
        <v>1266</v>
      </c>
      <c r="C4" s="1626"/>
      <c r="D4" s="1626"/>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5" t="s">
        <v>1268</v>
      </c>
      <c r="B5" s="3252">
        <v>25</v>
      </c>
      <c r="C5" s="3268"/>
      <c r="D5" s="3288"/>
      <c r="E5" s="123" t="s">
        <v>1269</v>
      </c>
      <c r="F5" s="1627"/>
      <c r="G5" s="1627"/>
      <c r="H5" s="1627"/>
      <c r="I5" s="1281"/>
    </row>
    <row r="6" spans="1:12" ht="13.2">
      <c r="A6" s="3265"/>
      <c r="B6" s="3252"/>
      <c r="C6" s="3269"/>
      <c r="D6" s="3288"/>
      <c r="E6" s="123" t="s">
        <v>1270</v>
      </c>
      <c r="F6" s="1627"/>
      <c r="G6" s="1627"/>
      <c r="H6" s="1627"/>
      <c r="I6" s="1281"/>
    </row>
    <row r="7" spans="1:12" ht="13.2">
      <c r="A7" s="3265"/>
      <c r="B7" s="3252"/>
      <c r="C7" s="3270"/>
      <c r="D7" s="3288"/>
      <c r="E7" s="123" t="s">
        <v>1271</v>
      </c>
      <c r="F7" s="1627"/>
      <c r="G7" s="1627"/>
      <c r="H7" s="1627"/>
      <c r="I7" s="1281"/>
    </row>
    <row r="8" spans="1:12" ht="13.2">
      <c r="A8" s="3265" t="s">
        <v>1272</v>
      </c>
      <c r="B8" s="3252">
        <v>15</v>
      </c>
      <c r="C8" s="3268"/>
      <c r="D8" s="3288"/>
      <c r="E8" s="123" t="s">
        <v>1273</v>
      </c>
      <c r="F8" s="1627"/>
      <c r="G8" s="1627"/>
      <c r="H8" s="1627"/>
      <c r="I8" s="1281"/>
    </row>
    <row r="9" spans="1:12" ht="13.2">
      <c r="A9" s="3265"/>
      <c r="B9" s="3252"/>
      <c r="C9" s="3270"/>
      <c r="D9" s="3288"/>
      <c r="E9" s="123" t="s">
        <v>1274</v>
      </c>
      <c r="F9" s="1627"/>
      <c r="G9" s="1627"/>
      <c r="H9" s="1627"/>
      <c r="I9" s="1281"/>
    </row>
    <row r="10" spans="1:12" ht="13.2">
      <c r="A10" s="3265" t="s">
        <v>1275</v>
      </c>
      <c r="B10" s="3252">
        <v>15</v>
      </c>
      <c r="C10" s="3268"/>
      <c r="D10" s="3288"/>
      <c r="E10" s="123" t="s">
        <v>1276</v>
      </c>
      <c r="F10" s="1627"/>
      <c r="G10" s="1627"/>
      <c r="H10" s="1627"/>
      <c r="I10" s="1281"/>
    </row>
    <row r="11" spans="1:12" ht="13.2">
      <c r="A11" s="3265"/>
      <c r="B11" s="3252"/>
      <c r="C11" s="3270"/>
      <c r="D11" s="3288"/>
      <c r="E11" s="123" t="s">
        <v>1277</v>
      </c>
      <c r="F11" s="1627"/>
      <c r="G11" s="1627"/>
      <c r="H11" s="1627"/>
      <c r="I11" s="1281"/>
    </row>
    <row r="12" spans="1:12" ht="13.2">
      <c r="A12" s="3265" t="s">
        <v>1278</v>
      </c>
      <c r="B12" s="3252">
        <v>15</v>
      </c>
      <c r="C12" s="3268"/>
      <c r="D12" s="3288"/>
      <c r="E12" s="123" t="s">
        <v>1279</v>
      </c>
      <c r="F12" s="1627"/>
      <c r="G12" s="1627"/>
      <c r="H12" s="1627"/>
      <c r="I12" s="1281"/>
    </row>
    <row r="13" spans="1:12" ht="13.2">
      <c r="A13" s="3265"/>
      <c r="B13" s="3252"/>
      <c r="C13" s="3270"/>
      <c r="D13" s="3288"/>
      <c r="E13" s="123" t="s">
        <v>1280</v>
      </c>
      <c r="F13" s="1627"/>
      <c r="G13" s="1627"/>
      <c r="H13" s="1627"/>
      <c r="I13" s="1281"/>
    </row>
    <row r="14" spans="1:12" ht="13.2">
      <c r="A14" s="3265" t="s">
        <v>1281</v>
      </c>
      <c r="B14" s="3252">
        <v>30</v>
      </c>
      <c r="C14" s="3268"/>
      <c r="D14" s="3288"/>
      <c r="E14" s="123" t="s">
        <v>1282</v>
      </c>
      <c r="F14" s="1627"/>
      <c r="G14" s="1627"/>
      <c r="H14" s="1627"/>
      <c r="I14" s="1281"/>
    </row>
    <row r="15" spans="1:12" ht="13.2">
      <c r="A15" s="3265"/>
      <c r="B15" s="3252"/>
      <c r="C15" s="3269"/>
      <c r="D15" s="3288"/>
      <c r="E15" s="123" t="s">
        <v>1283</v>
      </c>
      <c r="F15" s="1627"/>
      <c r="G15" s="1627"/>
      <c r="H15" s="1627"/>
      <c r="I15" s="1281"/>
    </row>
    <row r="16" spans="1:12" ht="13.2">
      <c r="A16" s="3265"/>
      <c r="B16" s="3252"/>
      <c r="C16" s="3270"/>
      <c r="D16" s="3288"/>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75" t="s">
        <v>2131</v>
      </c>
      <c r="F18" s="3276"/>
      <c r="G18" s="3276"/>
      <c r="H18" s="3276"/>
      <c r="I18" s="3276"/>
      <c r="K18" s="294" t="s">
        <v>1289</v>
      </c>
      <c r="L18" s="294">
        <f>IF(C1="",'数据-汇总表'!E3,SUMIF(项目类型,C1,'数据-汇总表'!E17:E26)+SUMIF(项目类型,C1,'数据-汇总表'!I17:I26))</f>
        <v>497.23</v>
      </c>
      <c r="M18" s="294">
        <f>IF(C1="",'数据-汇总表'!E3,SUMIF(项目类型,C1,'数据-汇总表'!E17:E26))</f>
        <v>497.23</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59" t="s">
        <v>1299</v>
      </c>
      <c r="B24" s="1631" t="s">
        <v>1291</v>
      </c>
      <c r="C24" s="128">
        <f>IF(B30=0,0,D30)</f>
        <v>0</v>
      </c>
      <c r="D24" s="1637"/>
      <c r="E24" s="121"/>
      <c r="F24" s="121"/>
      <c r="G24" s="121"/>
      <c r="H24" s="121"/>
      <c r="I24" s="121"/>
    </row>
    <row r="25" spans="1:36" ht="14.4">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79" t="s">
        <v>1312</v>
      </c>
      <c r="B36" s="1652" t="s">
        <v>1313</v>
      </c>
      <c r="C36" s="137"/>
      <c r="D36" s="1653"/>
      <c r="E36" s="1567"/>
      <c r="F36" s="1654"/>
      <c r="G36" s="121"/>
      <c r="H36" s="121"/>
      <c r="I36" s="121"/>
    </row>
    <row r="37" spans="1:15" ht="15" thickBot="1">
      <c r="A37" s="3280"/>
      <c r="B37" s="1555" t="s">
        <v>1314</v>
      </c>
      <c r="C37" s="139"/>
      <c r="D37" s="1071"/>
      <c r="E37" s="1071"/>
      <c r="F37" s="1654"/>
      <c r="G37" s="121"/>
      <c r="H37" s="121"/>
      <c r="I37" s="121"/>
    </row>
    <row r="38" spans="1:15" ht="15" thickBot="1">
      <c r="A38" s="328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147" t="e">
        <f ca="1">ROUND(H101*F45,0)</f>
        <v>#REF!</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09">
        <v>1</v>
      </c>
      <c r="K46" s="3315" t="s">
        <v>1331</v>
      </c>
      <c r="L46" s="3315"/>
      <c r="M46" s="3335"/>
      <c r="N46" s="3335"/>
      <c r="O46" s="3335"/>
    </row>
    <row r="47" spans="1:15" ht="12" customHeight="1">
      <c r="A47" s="152" t="s">
        <v>1332</v>
      </c>
      <c r="B47" s="153"/>
      <c r="C47" s="154"/>
      <c r="D47" s="1024" t="s">
        <v>1333</v>
      </c>
      <c r="E47" s="294" t="s">
        <v>1334</v>
      </c>
      <c r="F47" s="155" t="s">
        <v>1335</v>
      </c>
      <c r="G47" s="2332" t="s">
        <v>1336</v>
      </c>
      <c r="H47" s="2333"/>
      <c r="I47" s="151"/>
      <c r="J47" s="2309">
        <v>2</v>
      </c>
      <c r="K47" s="3315" t="s">
        <v>1337</v>
      </c>
      <c r="L47" s="3315"/>
      <c r="M47" s="3336">
        <f>'数据-取费表'!B2</f>
        <v>45803</v>
      </c>
      <c r="N47" s="3336"/>
      <c r="O47" s="3336"/>
    </row>
    <row r="48" spans="1:15" ht="26.4">
      <c r="A48" s="3284" t="s">
        <v>1338</v>
      </c>
      <c r="B48" s="3267"/>
      <c r="C48" s="3267"/>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15" t="s">
        <v>1340</v>
      </c>
      <c r="L48" s="3315"/>
      <c r="M48" s="3337" t="e">
        <f ca="1">H101</f>
        <v>#REF!</v>
      </c>
      <c r="N48" s="3337"/>
      <c r="O48" s="3337"/>
    </row>
    <row r="49" spans="1:35" ht="25.5" customHeight="1">
      <c r="A49" s="2152" t="s">
        <v>1341</v>
      </c>
      <c r="B49" s="3251" t="s">
        <v>1342</v>
      </c>
      <c r="C49" s="3251"/>
      <c r="D49" s="1478">
        <v>0</v>
      </c>
      <c r="E49" s="316" t="s">
        <v>1343</v>
      </c>
      <c r="F49" s="2232" t="s">
        <v>28</v>
      </c>
      <c r="G49" s="3321"/>
      <c r="H49" s="2134" t="s">
        <v>2134</v>
      </c>
      <c r="I49" s="2135"/>
      <c r="J49" s="2309">
        <v>4</v>
      </c>
      <c r="K49" s="3315" t="str">
        <f>IF(项目基本情况!E8="房地产抵押价值","房地产抵押价值","抵押担保权已注销时的房地产抵押价值")</f>
        <v>房地产抵押价值</v>
      </c>
      <c r="L49" s="3315"/>
      <c r="M49" s="3337" t="str">
        <f ca="1">IF(项目基本情况!E8="房地产抵押价值",H107,H109)</f>
        <v>——</v>
      </c>
      <c r="N49" s="3337"/>
      <c r="O49" s="3337"/>
    </row>
    <row r="50" spans="1:35" ht="25.5" customHeight="1">
      <c r="A50" s="2337"/>
      <c r="B50" s="3251" t="s">
        <v>1344</v>
      </c>
      <c r="C50" s="3251"/>
      <c r="D50" s="2189"/>
      <c r="E50" s="323"/>
      <c r="F50" s="2232"/>
      <c r="G50" s="3322"/>
      <c r="H50" s="2136" t="s">
        <v>2135</v>
      </c>
      <c r="I50" s="2135"/>
      <c r="J50" s="3334" t="s">
        <v>1345</v>
      </c>
      <c r="K50" s="3334"/>
      <c r="L50" s="3334"/>
      <c r="M50" s="3334"/>
      <c r="N50" s="3334"/>
      <c r="O50" s="3334"/>
    </row>
    <row r="51" spans="1:35" ht="20.399999999999999" customHeight="1">
      <c r="A51" s="2338"/>
      <c r="B51" s="3251" t="s">
        <v>1346</v>
      </c>
      <c r="C51" s="3251"/>
      <c r="D51" s="1024"/>
      <c r="E51" s="319"/>
      <c r="F51" s="2232"/>
      <c r="G51" s="3323"/>
      <c r="H51" s="2136" t="s">
        <v>2136</v>
      </c>
      <c r="I51" s="2135"/>
      <c r="J51" s="2310" t="s">
        <v>1347</v>
      </c>
      <c r="K51" s="3315" t="s">
        <v>1348</v>
      </c>
      <c r="L51" s="3315"/>
      <c r="M51" s="2310" t="s">
        <v>1349</v>
      </c>
      <c r="N51" s="2310" t="s">
        <v>1350</v>
      </c>
      <c r="O51" s="2310" t="s">
        <v>1351</v>
      </c>
    </row>
    <row r="52" spans="1:35" ht="24" customHeight="1">
      <c r="A52" s="2153" t="s">
        <v>1352</v>
      </c>
      <c r="B52" s="3251" t="s">
        <v>1353</v>
      </c>
      <c r="C52" s="3251"/>
      <c r="D52" s="1024" t="e">
        <f ca="1">ROUND(D45*'数据-取费表'!B41/(1+'数据-取费表'!C42),0)</f>
        <v>#REF!</v>
      </c>
      <c r="E52" s="1256" t="s">
        <v>1354</v>
      </c>
      <c r="F52" s="2339">
        <f>'数据-取费表'!B41</f>
        <v>0</v>
      </c>
      <c r="G52" s="2340"/>
      <c r="H52" s="2330"/>
      <c r="I52" s="1669"/>
      <c r="J52" s="2309">
        <v>1</v>
      </c>
      <c r="K52" s="3316" t="s">
        <v>1355</v>
      </c>
      <c r="L52" s="3316"/>
      <c r="M52" s="2311" t="b">
        <f>D48</f>
        <v>0</v>
      </c>
      <c r="N52" s="2309" t="str">
        <f>E48</f>
        <v>销售额×税（费）率</v>
      </c>
      <c r="O52" s="2312">
        <f>F48</f>
        <v>0</v>
      </c>
    </row>
    <row r="53" spans="1:35" ht="12" customHeight="1">
      <c r="A53" s="2153" t="s">
        <v>1356</v>
      </c>
      <c r="B53" s="3277" t="s">
        <v>2291</v>
      </c>
      <c r="C53" s="3278"/>
      <c r="D53" s="1024" t="e">
        <f ca="1">ROUND(D45*'数据-取费表'!B41/(1+'数据-取费表'!C42),0)</f>
        <v>#REF!</v>
      </c>
      <c r="E53" s="1256" t="s">
        <v>1354</v>
      </c>
      <c r="F53" s="2339">
        <f>'数据-取费表'!B41</f>
        <v>0</v>
      </c>
      <c r="G53" s="2340"/>
      <c r="H53" s="2330"/>
      <c r="I53" s="1669"/>
      <c r="J53" s="2309">
        <v>2</v>
      </c>
      <c r="K53" s="3316" t="s">
        <v>1357</v>
      </c>
      <c r="L53" s="3316"/>
      <c r="M53" s="2311" t="e">
        <f t="shared" ref="M53:O54" ca="1" si="0">D55</f>
        <v>#REF!</v>
      </c>
      <c r="N53" s="2309" t="str">
        <f t="shared" si="0"/>
        <v>销售额×税（费）率</v>
      </c>
      <c r="O53" s="2312" t="str">
        <f t="shared" si="0"/>
        <v>免征</v>
      </c>
    </row>
    <row r="54" spans="1:35" ht="12" customHeight="1">
      <c r="A54" s="2153" t="s">
        <v>1358</v>
      </c>
      <c r="B54" s="3277" t="s">
        <v>2292</v>
      </c>
      <c r="C54" s="3278"/>
      <c r="D54" s="1024" t="e">
        <f ca="1">C68</f>
        <v>#REF!</v>
      </c>
      <c r="E54" s="319" t="s">
        <v>1359</v>
      </c>
      <c r="F54" s="2339">
        <f>'数据-取费表'!B41</f>
        <v>0</v>
      </c>
      <c r="G54" s="2340"/>
      <c r="H54" s="2341"/>
      <c r="I54" s="1669"/>
      <c r="J54" s="2309">
        <v>3</v>
      </c>
      <c r="K54" s="3316" t="s">
        <v>1360</v>
      </c>
      <c r="L54" s="3316"/>
      <c r="M54" s="2311" t="e">
        <f t="shared" ca="1" si="0"/>
        <v>#REF!</v>
      </c>
      <c r="N54" s="2309" t="str">
        <f t="shared" si="0"/>
        <v>增值额×税（费）率</v>
      </c>
      <c r="O54" s="2313" t="str">
        <f t="shared" si="0"/>
        <v>免征</v>
      </c>
    </row>
    <row r="55" spans="1:35" ht="24" customHeight="1">
      <c r="A55" s="3266" t="s">
        <v>1361</v>
      </c>
      <c r="B55" s="3267"/>
      <c r="C55" s="3267"/>
      <c r="D55" s="12" t="e">
        <f ca="1">IF(H55="个人住宅",0,ROUND(D45*I55,0))</f>
        <v>#REF!</v>
      </c>
      <c r="E55" s="1256" t="s">
        <v>1362</v>
      </c>
      <c r="F55" s="2339" t="str">
        <f>IF(H55="正常",I55,"免征")</f>
        <v>免征</v>
      </c>
      <c r="G55" s="2340"/>
      <c r="H55" s="2336"/>
      <c r="I55" s="157">
        <f>'数据-取费表'!B49</f>
        <v>0</v>
      </c>
      <c r="J55" s="2309">
        <f>IF(H59="非个人房产","",4)</f>
        <v>4</v>
      </c>
      <c r="K55" s="3316" t="str">
        <f>IF(H59="非个人房产","——","个人所得税")</f>
        <v>个人所得税</v>
      </c>
      <c r="L55" s="3316"/>
      <c r="M55" s="2314" t="e">
        <f ca="1">D59</f>
        <v>#REF!</v>
      </c>
      <c r="N55" s="1883" t="str">
        <f>E59</f>
        <v>差额计税</v>
      </c>
      <c r="O55" s="2315">
        <f>F59</f>
        <v>0.01</v>
      </c>
    </row>
    <row r="56" spans="1:35" ht="25.2">
      <c r="A56" s="3266" t="s">
        <v>1363</v>
      </c>
      <c r="B56" s="3267"/>
      <c r="C56" s="3267"/>
      <c r="D56" s="12" t="e">
        <f ca="1">IF(H56="个人住宅",D57,D58)</f>
        <v>#REF!</v>
      </c>
      <c r="E56" s="1256" t="s">
        <v>1364</v>
      </c>
      <c r="F56" s="2339" t="str">
        <f>IF(H56="正常",F58,"免征")</f>
        <v>免征</v>
      </c>
      <c r="G56" s="2342" t="s">
        <v>1365</v>
      </c>
      <c r="H56" s="2343"/>
      <c r="I56" s="1670"/>
      <c r="J56" s="2309" t="str">
        <f>IF(项目基本情况!K6="上海银行",IF(J55="",4,J55+1),"")</f>
        <v/>
      </c>
      <c r="K56" s="3339" t="str">
        <f>IF(项目基本情况!K6="上海银行","其他处置费用","")</f>
        <v/>
      </c>
      <c r="L56" s="3340"/>
      <c r="M56" s="2311" t="str">
        <f>IF(项目基本情况!K6="上海银行",M69,"")</f>
        <v/>
      </c>
      <c r="N56" s="3339" t="str">
        <f>IF(项目基本情况!K6="上海银行","包含处置中涉及的律师、诉讼、拍卖、评估等费用","")</f>
        <v/>
      </c>
      <c r="O56" s="3342"/>
    </row>
    <row r="57" spans="1:35" ht="13.2">
      <c r="A57" s="2153" t="s">
        <v>1341</v>
      </c>
      <c r="B57" s="3277" t="s">
        <v>1366</v>
      </c>
      <c r="C57" s="3278"/>
      <c r="D57" s="1478">
        <v>0</v>
      </c>
      <c r="E57" s="316" t="s">
        <v>1343</v>
      </c>
      <c r="F57" s="294"/>
      <c r="G57" s="2340"/>
      <c r="H57" s="2344"/>
      <c r="I57" s="1670"/>
      <c r="J57" s="3316">
        <f>IF(AND(J55="",J56=""),4,IF(项目基本情况!K6="上海银行",结果表!J56+1,结果表!J55+1))</f>
        <v>5</v>
      </c>
      <c r="K57" s="3316" t="s">
        <v>1367</v>
      </c>
      <c r="L57" s="2316" t="s">
        <v>1368</v>
      </c>
      <c r="M57" s="2317"/>
      <c r="N57" s="2318">
        <f ca="1">SUMIF(M52:M56,"&lt;9e307")</f>
        <v>0</v>
      </c>
      <c r="O57" s="2319"/>
      <c r="P57" s="2463" t="e">
        <f ca="1">N57/M49</f>
        <v>#VALUE!</v>
      </c>
    </row>
    <row r="58" spans="1:35" ht="25.2">
      <c r="A58" s="2153" t="s">
        <v>1352</v>
      </c>
      <c r="B58" s="3277" t="s">
        <v>1369</v>
      </c>
      <c r="C58" s="3251"/>
      <c r="D58" s="12" t="e">
        <f ca="1">IF(H58="转让取得",C81,C97)</f>
        <v>#REF!</v>
      </c>
      <c r="E58" s="1256" t="s">
        <v>1364</v>
      </c>
      <c r="F58" s="294" t="s">
        <v>28</v>
      </c>
      <c r="G58" s="2340"/>
      <c r="H58" s="2343"/>
      <c r="I58" s="1670"/>
      <c r="J58" s="3316"/>
      <c r="K58" s="3316"/>
      <c r="L58" s="2316" t="s">
        <v>1370</v>
      </c>
      <c r="M58" s="2320"/>
      <c r="N58" s="2321" t="str">
        <f ca="1">NUMBERSTRING(INT(N57*10000),2)&amp;"元整"</f>
        <v>零元整</v>
      </c>
      <c r="O58" s="2322"/>
    </row>
    <row r="59" spans="1:35" ht="24.6" thickBot="1">
      <c r="A59" s="3319" t="s">
        <v>1371</v>
      </c>
      <c r="B59" s="3320"/>
      <c r="C59" s="3320"/>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7">
        <f>J57+1</f>
        <v>6</v>
      </c>
      <c r="K59" s="3316" t="s">
        <v>1372</v>
      </c>
      <c r="L59" s="2309" t="s">
        <v>1368</v>
      </c>
      <c r="M59" s="2323"/>
      <c r="N59" s="2324" t="e">
        <f ca="1">M49-N57</f>
        <v>#VALUE!</v>
      </c>
      <c r="O59" s="2325"/>
    </row>
    <row r="60" spans="1:35" ht="12" customHeight="1">
      <c r="A60" s="1671"/>
      <c r="B60" s="646"/>
      <c r="C60" s="646"/>
      <c r="D60" s="646"/>
      <c r="E60" s="1466"/>
      <c r="F60" s="1670"/>
      <c r="G60" s="1670"/>
      <c r="H60" s="151"/>
      <c r="I60" s="121"/>
      <c r="J60" s="3318"/>
      <c r="K60" s="3316"/>
      <c r="L60" s="2316" t="s">
        <v>1370</v>
      </c>
      <c r="M60" s="2320"/>
      <c r="N60" s="2321" t="e">
        <f ca="1">NUMBERSTRING(INT(N59*10000),2)&amp;"元整"</f>
        <v>#VALUE!</v>
      </c>
      <c r="O60" s="2322"/>
    </row>
    <row r="61" spans="1:35" ht="13.8" thickBot="1">
      <c r="A61" s="3264" t="s">
        <v>1373</v>
      </c>
      <c r="B61" s="3264"/>
      <c r="C61" s="3264"/>
      <c r="D61" s="3264"/>
      <c r="E61" s="3264"/>
      <c r="F61" s="1670"/>
      <c r="G61" s="1670"/>
      <c r="H61" s="151"/>
      <c r="I61" s="121"/>
      <c r="J61" s="2309">
        <f>J59+1</f>
        <v>7</v>
      </c>
      <c r="K61" s="3316" t="s">
        <v>1374</v>
      </c>
      <c r="L61" s="3316"/>
      <c r="M61" s="2326"/>
      <c r="N61" s="2327" t="e">
        <f ca="1">ROUND(N59*10000/'数据-汇总表'!E3,0)</f>
        <v>#VALUE!</v>
      </c>
      <c r="O61" s="2328"/>
    </row>
    <row r="62" spans="1:35" ht="13.2">
      <c r="A62" s="3282" t="s">
        <v>1375</v>
      </c>
      <c r="B62" s="3283"/>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1"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4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41"/>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41"/>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41"/>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41"/>
      <c r="K69" s="1245" t="s">
        <v>1393</v>
      </c>
      <c r="L69" s="1245"/>
      <c r="M69" s="294" t="e">
        <f ca="1">ROUND(SUM(M63:M68),0)</f>
        <v>#VALUE!</v>
      </c>
      <c r="N69" s="2331" t="e">
        <f ca="1">M69/M49</f>
        <v>#VALUE!</v>
      </c>
      <c r="Z69" s="1623"/>
      <c r="AI69" s="1561"/>
    </row>
    <row r="70" spans="1:35" s="642" customFormat="1" ht="14.4"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3" t="s">
        <v>2129</v>
      </c>
      <c r="H90" s="3344"/>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1" t="s">
        <v>1419</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1" t="s">
        <v>1422</v>
      </c>
      <c r="F92" s="3262"/>
      <c r="G92" s="3262"/>
      <c r="H92" s="327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0">
        <f>C4</f>
        <v>0</v>
      </c>
      <c r="D101" s="2371">
        <f>D4</f>
        <v>0</v>
      </c>
      <c r="E101" s="3338" t="s">
        <v>1431</v>
      </c>
      <c r="F101" s="3295"/>
      <c r="G101" s="1687" t="s">
        <v>1432</v>
      </c>
      <c r="H101" s="2380" t="e">
        <f ca="1">H118</f>
        <v>#REF!</v>
      </c>
      <c r="I101" s="121"/>
    </row>
    <row r="102" spans="1:35" ht="18.75" customHeight="1">
      <c r="A102" s="3297" t="s">
        <v>1433</v>
      </c>
      <c r="B102" s="2369" t="s">
        <v>1432</v>
      </c>
      <c r="C102" s="2370" t="e">
        <f ca="1">IF(D32="楼面单价",ROUND(C19,0),C19)</f>
        <v>#REF!</v>
      </c>
      <c r="D102" s="2371" t="e">
        <f ca="1">IF(D32="楼面单价",ROUND(D19,0),D19)</f>
        <v>#REF!</v>
      </c>
      <c r="E102" s="3338"/>
      <c r="F102" s="3295"/>
      <c r="G102" s="1687" t="s">
        <v>1434</v>
      </c>
      <c r="H102" s="2340" t="e">
        <f ca="1">I118</f>
        <v>#REF!</v>
      </c>
      <c r="I102" s="121"/>
    </row>
    <row r="103" spans="1:35" ht="42.75" customHeight="1">
      <c r="A103" s="3297"/>
      <c r="B103" s="2369" t="s">
        <v>1434</v>
      </c>
      <c r="C103" s="2372" t="e">
        <f ca="1">C20</f>
        <v>#REF!</v>
      </c>
      <c r="D103" s="2373" t="e">
        <f ca="1">D20</f>
        <v>#REF!</v>
      </c>
      <c r="E103" s="3332" t="s">
        <v>1435</v>
      </c>
      <c r="F103" s="3333"/>
      <c r="G103" s="1688" t="s">
        <v>1436</v>
      </c>
      <c r="H103" s="2380">
        <f>IF(D36="正常操作",H104+H105+H106,H105+H106)</f>
        <v>0</v>
      </c>
      <c r="I103" s="121"/>
    </row>
    <row r="104" spans="1:35" ht="18.75" customHeight="1">
      <c r="A104" s="3297"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98"/>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4" t="str">
        <f>IF(项目基本情况!E8="已注销","——","3.房地产抵押价值")</f>
        <v>3.房地产抵押价值</v>
      </c>
      <c r="F107" s="3295"/>
      <c r="G107" s="1687" t="s">
        <v>1432</v>
      </c>
      <c r="H107" s="2380" t="e">
        <f ca="1">IF(E107="——","——",H101-H103)</f>
        <v>#REF!</v>
      </c>
      <c r="I107" s="121"/>
    </row>
    <row r="108" spans="1:35" ht="18.75" customHeight="1">
      <c r="A108" s="121"/>
      <c r="B108" s="121"/>
      <c r="C108" s="121"/>
      <c r="D108" s="121"/>
      <c r="E108" s="3294"/>
      <c r="F108" s="3295"/>
      <c r="G108" s="1687" t="s">
        <v>1434</v>
      </c>
      <c r="H108" s="2340">
        <f ca="1">IF(H107=H101,H102,ROUND(H107*10000/'数据-汇总表'!E3,0))</f>
        <v>0</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3" t="str">
        <f>IF(E109="——","——",H101-H105-H106)</f>
        <v>——</v>
      </c>
      <c r="I109" s="121"/>
    </row>
    <row r="110" spans="1:35" ht="18.75" customHeight="1">
      <c r="A110" s="121"/>
      <c r="B110" s="121"/>
      <c r="C110" s="121"/>
      <c r="D110" s="121"/>
      <c r="E110" s="3294"/>
      <c r="F110" s="3295"/>
      <c r="G110" s="1687" t="s">
        <v>1434</v>
      </c>
      <c r="H110" s="2340"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80" t="str">
        <f>IF(E111="——","——",N59)</f>
        <v>——</v>
      </c>
      <c r="I111" s="121"/>
    </row>
    <row r="112" spans="1:35" ht="18.75" customHeight="1" thickBot="1">
      <c r="A112" s="121"/>
      <c r="B112" s="121"/>
      <c r="C112" s="121"/>
      <c r="D112" s="121"/>
      <c r="E112" s="3327"/>
      <c r="F112" s="3328"/>
      <c r="G112" s="1690" t="s">
        <v>1434</v>
      </c>
      <c r="H112" s="2384"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50" t="s">
        <v>1449</v>
      </c>
      <c r="E117" s="2150" t="s">
        <v>1450</v>
      </c>
      <c r="F117" s="2150" t="s">
        <v>1449</v>
      </c>
      <c r="G117" s="2150" t="s">
        <v>1451</v>
      </c>
      <c r="H117" s="2150" t="s">
        <v>1449</v>
      </c>
      <c r="I117" s="2150" t="s">
        <v>1451</v>
      </c>
    </row>
    <row r="118" spans="1:27" ht="24.75" customHeight="1">
      <c r="A118" s="2385" t="str">
        <f>项目基本情况!S2</f>
        <v>北京市密云区新南路60号1幢1至2层01房地产</v>
      </c>
      <c r="B118" s="2150">
        <f>M18</f>
        <v>497.23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5" t="s">
        <v>1452</v>
      </c>
      <c r="B119" s="3265"/>
      <c r="C119" s="3265"/>
      <c r="D119" s="3305" t="e">
        <f ca="1">NUMBERSTRING(INT(D118*10000),2)&amp;"元整"</f>
        <v>#REF!</v>
      </c>
      <c r="E119" s="3307"/>
      <c r="F119" s="3305" t="e">
        <f ca="1">NUMBERSTRING(INT(F118*10000),2)&amp;"元整"</f>
        <v>#REF!</v>
      </c>
      <c r="G119" s="3307"/>
      <c r="H119" s="3305" t="e">
        <f ca="1">NUMBERSTRING(INT(H118*10000),2)&amp;"元整"</f>
        <v>#REF!</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t="e">
        <f ca="1">H107</f>
        <v>#REF!</v>
      </c>
      <c r="E122" s="3330"/>
      <c r="F122" s="3330"/>
      <c r="G122" s="3330"/>
      <c r="H122" s="3330"/>
      <c r="I122" s="3331"/>
      <c r="AA122" s="684"/>
    </row>
    <row r="123" spans="1:27" ht="18.75" customHeight="1">
      <c r="A123" s="3265" t="s">
        <v>1452</v>
      </c>
      <c r="B123" s="3265"/>
      <c r="C123" s="3265"/>
      <c r="D123" s="3305" t="e">
        <f ca="1">NUMBERSTRING(INT(D122*10000),2)&amp;"元整"</f>
        <v>#REF!</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北京市密云区新南路60号1幢1至2层01房地产抵押价值预评估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497.23</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497.23</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497.23</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497.23</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497.23</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497.23</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497.23</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497.23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497.23</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2109</v>
      </c>
      <c r="E6" s="294" t="s">
        <v>696</v>
      </c>
      <c r="F6" s="295">
        <f ca="1">INDIRECT("'数据-取费表'!u"&amp;$G$1)</f>
        <v>0</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9" t="s">
        <v>2317</v>
      </c>
      <c r="K2" s="3360"/>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1" t="s">
        <v>2327</v>
      </c>
      <c r="K3" s="3362"/>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1" t="s">
        <v>2329</v>
      </c>
      <c r="K4" s="3362"/>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7" t="s">
        <v>2333</v>
      </c>
      <c r="B6" s="3368"/>
      <c r="C6" s="3369"/>
      <c r="D6" s="2620"/>
      <c r="E6" s="2621"/>
      <c r="F6" s="2622"/>
      <c r="G6" s="2623"/>
      <c r="H6" s="2598"/>
      <c r="I6" s="2599"/>
      <c r="J6" s="3353">
        <v>1</v>
      </c>
      <c r="K6" s="3354"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3"/>
      <c r="K7" s="3355"/>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0" t="s">
        <v>2347</v>
      </c>
      <c r="C8" s="3371"/>
      <c r="D8" s="2639" t="s">
        <v>2348</v>
      </c>
      <c r="E8" s="2640" t="s">
        <v>2349</v>
      </c>
      <c r="F8" s="2641" t="s">
        <v>2350</v>
      </c>
      <c r="G8" s="2642"/>
      <c r="H8" s="2598"/>
      <c r="I8" s="2599"/>
      <c r="J8" s="3353"/>
      <c r="K8" s="3355"/>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0" t="s">
        <v>2353</v>
      </c>
      <c r="C9" s="3371"/>
      <c r="D9" s="2639">
        <f>ROUND(D6*E9,0)</f>
        <v>0</v>
      </c>
      <c r="E9" s="2643"/>
      <c r="F9" s="2644" t="s">
        <v>2354</v>
      </c>
      <c r="G9" s="2623"/>
      <c r="H9" s="2598"/>
      <c r="I9" s="2599"/>
      <c r="J9" s="3353"/>
      <c r="K9" s="3355"/>
      <c r="L9" s="2633" t="s">
        <v>2355</v>
      </c>
      <c r="M9" s="2634"/>
      <c r="N9" s="2610"/>
      <c r="O9" s="2635"/>
      <c r="P9" s="2635"/>
      <c r="Q9" s="2636">
        <v>365</v>
      </c>
      <c r="R9" s="2637">
        <f t="shared" si="0"/>
        <v>0</v>
      </c>
      <c r="S9" s="2591"/>
      <c r="T9" s="2591"/>
      <c r="U9" s="2591"/>
      <c r="V9" s="2599"/>
    </row>
    <row r="10" spans="1:22" s="2603" customFormat="1" ht="13.2" customHeight="1">
      <c r="A10" s="2638">
        <v>2</v>
      </c>
      <c r="B10" s="3370" t="s">
        <v>2356</v>
      </c>
      <c r="C10" s="3371"/>
      <c r="D10" s="2639">
        <f>ROUND(D6*E10,0)</f>
        <v>0</v>
      </c>
      <c r="E10" s="2643"/>
      <c r="F10" s="2644" t="s">
        <v>2357</v>
      </c>
      <c r="G10" s="2623"/>
      <c r="H10" s="2598"/>
      <c r="I10" s="2599"/>
      <c r="J10" s="3353"/>
      <c r="K10" s="3355"/>
      <c r="L10" s="2633" t="s">
        <v>2358</v>
      </c>
      <c r="M10" s="2634"/>
      <c r="N10" s="2610"/>
      <c r="O10" s="2635"/>
      <c r="P10" s="2635"/>
      <c r="Q10" s="2636">
        <v>365</v>
      </c>
      <c r="R10" s="2637">
        <f t="shared" si="0"/>
        <v>0</v>
      </c>
      <c r="S10" s="2591"/>
      <c r="T10" s="2591"/>
      <c r="U10" s="2591"/>
      <c r="V10" s="2599"/>
    </row>
    <row r="11" spans="1:22" s="2603" customFormat="1" ht="13.2" customHeight="1">
      <c r="A11" s="2638">
        <v>3</v>
      </c>
      <c r="B11" s="3370" t="s">
        <v>2359</v>
      </c>
      <c r="C11" s="3371"/>
      <c r="D11" s="2639">
        <f>D12+D14+D15+D16</f>
        <v>0</v>
      </c>
      <c r="E11" s="2645" t="e">
        <f>D11/D6</f>
        <v>#DIV/0!</v>
      </c>
      <c r="F11" s="2641"/>
      <c r="G11" s="2642"/>
      <c r="H11" s="2598"/>
      <c r="I11" s="2599"/>
      <c r="J11" s="3353"/>
      <c r="K11" s="3355"/>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3" t="s">
        <v>2362</v>
      </c>
      <c r="C12" s="3364"/>
      <c r="D12" s="2647">
        <f>ROUND(D13*1.2%*(1-30%),0)</f>
        <v>0</v>
      </c>
      <c r="E12" s="2648">
        <v>1.2E-2</v>
      </c>
      <c r="F12" s="2641" t="s">
        <v>2363</v>
      </c>
      <c r="G12" s="2642"/>
      <c r="H12" s="2598"/>
      <c r="I12" s="2599"/>
      <c r="J12" s="3353"/>
      <c r="K12" s="3355"/>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3"/>
      <c r="K13" s="3355"/>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3" t="s">
        <v>2368</v>
      </c>
      <c r="C14" s="3364"/>
      <c r="D14" s="2647">
        <f>ROUND(E14*B5/10000,0)</f>
        <v>0</v>
      </c>
      <c r="E14" s="2636"/>
      <c r="F14" s="2641" t="s">
        <v>2369</v>
      </c>
      <c r="G14" s="2642"/>
      <c r="H14" s="2598"/>
      <c r="I14" s="2599"/>
      <c r="J14" s="3353"/>
      <c r="K14" s="3356"/>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3" t="s">
        <v>2372</v>
      </c>
      <c r="C15" s="3364"/>
      <c r="D15" s="2647">
        <f>ROUND(D6*E15,0)</f>
        <v>0</v>
      </c>
      <c r="E15" s="2648">
        <v>5.5E-2</v>
      </c>
      <c r="F15" s="2641" t="s">
        <v>2373</v>
      </c>
      <c r="G15" s="2623"/>
      <c r="H15" s="2598"/>
      <c r="I15" s="2599"/>
      <c r="J15" s="3353">
        <v>2</v>
      </c>
      <c r="K15" s="3354"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3" t="s">
        <v>2381</v>
      </c>
      <c r="C16" s="3364"/>
      <c r="D16" s="2658">
        <f>D6*E16</f>
        <v>0</v>
      </c>
      <c r="E16" s="2659"/>
      <c r="F16" s="2644" t="s">
        <v>2382</v>
      </c>
      <c r="G16" s="2623"/>
      <c r="H16" s="2598"/>
      <c r="I16" s="2599"/>
      <c r="J16" s="3353"/>
      <c r="K16" s="3355"/>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5" t="s">
        <v>2384</v>
      </c>
      <c r="C17" s="3366"/>
      <c r="D17" s="2661">
        <f>ROUND(D6*E17,0)</f>
        <v>0</v>
      </c>
      <c r="E17" s="2662"/>
      <c r="F17" s="2663" t="s">
        <v>2385</v>
      </c>
      <c r="G17" s="2623"/>
      <c r="H17" s="2598"/>
      <c r="I17" s="2599"/>
      <c r="J17" s="3353"/>
      <c r="K17" s="3355"/>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3"/>
      <c r="K18" s="3355"/>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3"/>
      <c r="K19" s="3356"/>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3">
        <v>3</v>
      </c>
      <c r="K20" s="3354"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3"/>
      <c r="K21" s="3355"/>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3"/>
      <c r="K22" s="3355"/>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3"/>
      <c r="K23" s="3355"/>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3"/>
      <c r="K24" s="3356"/>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5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9" t="s">
        <v>2317</v>
      </c>
      <c r="K32" s="3360"/>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1" t="s">
        <v>2327</v>
      </c>
      <c r="K33" s="3362"/>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1" t="s">
        <v>2329</v>
      </c>
      <c r="K34" s="336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3">
        <v>1</v>
      </c>
      <c r="K36" s="3354"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3"/>
      <c r="K37" s="3355"/>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3"/>
      <c r="K38" s="3355"/>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3"/>
      <c r="K39" s="3355"/>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3"/>
      <c r="K40" s="3356"/>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7">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5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2" t="s">
        <v>1654</v>
      </c>
      <c r="C5" s="3373"/>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497.23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2" t="s">
        <v>1667</v>
      </c>
      <c r="D4" s="3393"/>
      <c r="E4" s="3394" t="s">
        <v>1668</v>
      </c>
      <c r="F4" s="3395"/>
      <c r="G4" s="3392" t="s">
        <v>1669</v>
      </c>
      <c r="H4" s="3393"/>
      <c r="I4" s="3392" t="s">
        <v>1670</v>
      </c>
      <c r="J4" s="3393"/>
      <c r="K4" s="1744" t="s">
        <v>1671</v>
      </c>
      <c r="L4" s="2485"/>
      <c r="M4" s="2486"/>
      <c r="N4" s="2486"/>
      <c r="O4" s="2486"/>
      <c r="P4" s="3396" t="s">
        <v>1672</v>
      </c>
      <c r="Q4" s="3397"/>
      <c r="R4" s="3402" t="s">
        <v>1668</v>
      </c>
      <c r="S4" s="3403"/>
      <c r="T4" s="3402" t="s">
        <v>1669</v>
      </c>
      <c r="U4" s="3403"/>
      <c r="V4" s="3378" t="s">
        <v>1670</v>
      </c>
      <c r="W4" s="3378"/>
      <c r="X4" s="1265"/>
      <c r="Y4" s="3402" t="s">
        <v>1672</v>
      </c>
      <c r="Z4" s="3403"/>
      <c r="AA4" s="3389" t="s">
        <v>1668</v>
      </c>
      <c r="AB4" s="3389" t="s">
        <v>1669</v>
      </c>
      <c r="AC4" s="3389" t="s">
        <v>1670</v>
      </c>
    </row>
    <row r="5" spans="1:29">
      <c r="A5" s="348"/>
      <c r="B5" s="349"/>
      <c r="C5" s="3410" t="s">
        <v>1673</v>
      </c>
      <c r="D5" s="3411"/>
      <c r="E5" s="3417" t="s">
        <v>1674</v>
      </c>
      <c r="F5" s="3418"/>
      <c r="G5" s="3410" t="s">
        <v>1675</v>
      </c>
      <c r="H5" s="3411"/>
      <c r="I5" s="3410" t="s">
        <v>1676</v>
      </c>
      <c r="J5" s="3411"/>
      <c r="K5" s="1745"/>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1745"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2" t="s">
        <v>1680</v>
      </c>
      <c r="Q7" s="3414"/>
      <c r="R7" s="664" t="s">
        <v>20</v>
      </c>
      <c r="S7" s="665">
        <f t="shared" ref="S7:S15" si="0">F7</f>
        <v>0</v>
      </c>
      <c r="T7" s="664" t="s">
        <v>20</v>
      </c>
      <c r="U7" s="665">
        <f t="shared" ref="U7:U15" si="1">H7</f>
        <v>0</v>
      </c>
      <c r="V7" s="664" t="s">
        <v>20</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8"/>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8"/>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8"/>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8"/>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6"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7"/>
      <c r="Q16" s="1263"/>
      <c r="R16" s="667"/>
      <c r="S16" s="668"/>
      <c r="T16" s="667"/>
      <c r="U16" s="668"/>
      <c r="V16" s="667"/>
      <c r="W16" s="668"/>
      <c r="X16" s="1265"/>
      <c r="Y16" s="338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7"/>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7"/>
      <c r="Q18" s="1263"/>
      <c r="R18" s="667"/>
      <c r="S18" s="668"/>
      <c r="T18" s="667"/>
      <c r="U18" s="668"/>
      <c r="V18" s="667"/>
      <c r="W18" s="668"/>
      <c r="X18" s="1265"/>
      <c r="Y18" s="338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7"/>
      <c r="Q20" s="1263"/>
      <c r="R20" s="667"/>
      <c r="S20" s="668"/>
      <c r="T20" s="667"/>
      <c r="U20" s="668"/>
      <c r="V20" s="667"/>
      <c r="W20" s="668"/>
      <c r="X20" s="1265"/>
      <c r="Y20" s="338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7"/>
      <c r="Q22" s="1263"/>
      <c r="R22" s="667"/>
      <c r="S22" s="668"/>
      <c r="T22" s="667"/>
      <c r="U22" s="668"/>
      <c r="V22" s="667"/>
      <c r="W22" s="668"/>
      <c r="X22" s="1265"/>
      <c r="Y22" s="338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7"/>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7"/>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7"/>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1" t="s">
        <v>1696</v>
      </c>
      <c r="Q32" s="1263" t="str">
        <f t="shared" si="11"/>
        <v>建筑类型</v>
      </c>
      <c r="R32" s="667" t="s">
        <v>18</v>
      </c>
      <c r="S32" s="668">
        <f t="shared" si="12"/>
        <v>100</v>
      </c>
      <c r="T32" s="667" t="s">
        <v>18</v>
      </c>
      <c r="U32" s="668">
        <f t="shared" si="13"/>
        <v>100</v>
      </c>
      <c r="V32" s="667" t="s">
        <v>18</v>
      </c>
      <c r="W32" s="668">
        <f t="shared" si="14"/>
        <v>100</v>
      </c>
      <c r="X32" s="1265"/>
      <c r="Y32" s="33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2"/>
      <c r="Q33" s="531" t="str">
        <f t="shared" si="11"/>
        <v>项目建筑规模</v>
      </c>
      <c r="R33" s="669" t="s">
        <v>18</v>
      </c>
      <c r="S33" s="670" t="e">
        <f t="shared" si="12"/>
        <v>#N/A</v>
      </c>
      <c r="T33" s="669" t="s">
        <v>18</v>
      </c>
      <c r="U33" s="670" t="e">
        <f t="shared" si="13"/>
        <v>#N/A</v>
      </c>
      <c r="V33" s="669" t="s">
        <v>18</v>
      </c>
      <c r="W33" s="670" t="e">
        <f t="shared" si="14"/>
        <v>#N/A</v>
      </c>
      <c r="X33" s="671"/>
      <c r="Y33" s="33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2"/>
      <c r="Q37" s="530" t="str">
        <f t="shared" si="11"/>
        <v>成新度</v>
      </c>
      <c r="R37" s="664" t="s">
        <v>18</v>
      </c>
      <c r="S37" s="665" t="e">
        <f t="shared" si="12"/>
        <v>#N/A</v>
      </c>
      <c r="T37" s="664" t="s">
        <v>18</v>
      </c>
      <c r="U37" s="665" t="e">
        <f t="shared" si="13"/>
        <v>#N/A</v>
      </c>
      <c r="V37" s="664" t="s">
        <v>18</v>
      </c>
      <c r="W37" s="665" t="e">
        <f t="shared" si="14"/>
        <v>#N/A</v>
      </c>
      <c r="X37" s="666"/>
      <c r="Y37" s="33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497.23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78"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78"/>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78"/>
      <c r="AC6" s="3391"/>
    </row>
    <row r="7" spans="1:29" s="102" customFormat="1" ht="1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8"/>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6"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7"/>
      <c r="Q16" s="1263"/>
      <c r="R16" s="667"/>
      <c r="S16" s="668"/>
      <c r="T16" s="667"/>
      <c r="U16" s="668"/>
      <c r="V16" s="667"/>
      <c r="W16" s="668"/>
      <c r="X16" s="1265"/>
      <c r="Y16" s="338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7"/>
      <c r="Q18" s="1263"/>
      <c r="R18" s="667"/>
      <c r="S18" s="668"/>
      <c r="T18" s="667"/>
      <c r="U18" s="668"/>
      <c r="V18" s="667"/>
      <c r="W18" s="668"/>
      <c r="X18" s="1265"/>
      <c r="Y18" s="338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7"/>
      <c r="Q20" s="1263"/>
      <c r="R20" s="667"/>
      <c r="S20" s="668"/>
      <c r="T20" s="667"/>
      <c r="U20" s="668"/>
      <c r="V20" s="667"/>
      <c r="W20" s="668"/>
      <c r="X20" s="1265"/>
      <c r="Y20" s="338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7"/>
      <c r="Q22" s="1263"/>
      <c r="R22" s="667"/>
      <c r="S22" s="668"/>
      <c r="T22" s="667"/>
      <c r="U22" s="668"/>
      <c r="V22" s="667"/>
      <c r="W22" s="668"/>
      <c r="X22" s="1265"/>
      <c r="Y22" s="338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7"/>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497.23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425" t="s">
        <v>1775</v>
      </c>
      <c r="Q4" s="3426"/>
      <c r="R4" s="3429" t="s">
        <v>1771</v>
      </c>
      <c r="S4" s="3430"/>
      <c r="T4" s="3429" t="s">
        <v>1772</v>
      </c>
      <c r="U4" s="3430"/>
      <c r="V4" s="3431" t="s">
        <v>1773</v>
      </c>
      <c r="W4" s="3431"/>
      <c r="X4" s="1809"/>
      <c r="Y4" s="3429" t="s">
        <v>1775</v>
      </c>
      <c r="Z4" s="3430"/>
      <c r="AA4" s="3433" t="s">
        <v>1771</v>
      </c>
      <c r="AB4" s="3433" t="s">
        <v>1772</v>
      </c>
      <c r="AC4" s="3422" t="s">
        <v>1773</v>
      </c>
    </row>
    <row r="5" spans="1:29">
      <c r="A5" s="348"/>
      <c r="B5" s="349"/>
      <c r="C5" s="3410" t="s">
        <v>1673</v>
      </c>
      <c r="D5" s="3411"/>
      <c r="E5" s="3417" t="s">
        <v>1674</v>
      </c>
      <c r="F5" s="3418"/>
      <c r="G5" s="3410" t="s">
        <v>1675</v>
      </c>
      <c r="H5" s="3411"/>
      <c r="I5" s="3410" t="s">
        <v>1676</v>
      </c>
      <c r="J5" s="3411"/>
      <c r="K5" s="537"/>
      <c r="L5" s="2485"/>
      <c r="M5" s="2486"/>
      <c r="N5" s="2486"/>
      <c r="O5" s="2486"/>
      <c r="P5" s="3427"/>
      <c r="Q5" s="3399"/>
      <c r="R5" s="3404"/>
      <c r="S5" s="3405"/>
      <c r="T5" s="3404"/>
      <c r="U5" s="3405"/>
      <c r="V5" s="3378"/>
      <c r="W5" s="3378"/>
      <c r="X5" s="1265"/>
      <c r="Y5" s="3404"/>
      <c r="Z5" s="3405"/>
      <c r="AA5" s="3390"/>
      <c r="AB5" s="3390"/>
      <c r="AC5" s="3423"/>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28"/>
      <c r="Q6" s="3401"/>
      <c r="R6" s="3404"/>
      <c r="S6" s="3405"/>
      <c r="T6" s="3406"/>
      <c r="U6" s="3407"/>
      <c r="V6" s="3378"/>
      <c r="W6" s="3378"/>
      <c r="X6" s="1265"/>
      <c r="Y6" s="3406"/>
      <c r="Z6" s="3407"/>
      <c r="AA6" s="3391"/>
      <c r="AB6" s="3391"/>
      <c r="AC6" s="3424"/>
    </row>
    <row r="7" spans="1:29" s="102" customFormat="1" ht="1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2"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6"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7"/>
      <c r="Q16" s="1263"/>
      <c r="R16" s="667"/>
      <c r="S16" s="668"/>
      <c r="T16" s="667"/>
      <c r="U16" s="668"/>
      <c r="V16" s="667"/>
      <c r="W16" s="668"/>
      <c r="X16" s="1265"/>
      <c r="Y16" s="338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7"/>
      <c r="Q18" s="1263"/>
      <c r="R18" s="667"/>
      <c r="S18" s="668"/>
      <c r="T18" s="667"/>
      <c r="U18" s="668"/>
      <c r="V18" s="667"/>
      <c r="W18" s="668"/>
      <c r="X18" s="1265"/>
      <c r="Y18" s="338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7"/>
      <c r="Q20" s="1263"/>
      <c r="R20" s="667"/>
      <c r="S20" s="668"/>
      <c r="T20" s="667"/>
      <c r="U20" s="668"/>
      <c r="V20" s="667"/>
      <c r="W20" s="668"/>
      <c r="X20" s="1265"/>
      <c r="Y20" s="338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7"/>
      <c r="Q22" s="1263"/>
      <c r="R22" s="667"/>
      <c r="S22" s="668"/>
      <c r="T22" s="667"/>
      <c r="U22" s="668"/>
      <c r="V22" s="667"/>
      <c r="W22" s="668"/>
      <c r="X22" s="1265"/>
      <c r="Y22" s="338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7"/>
      <c r="Q24" s="1263"/>
      <c r="R24" s="667"/>
      <c r="S24" s="668"/>
      <c r="T24" s="667"/>
      <c r="U24" s="668"/>
      <c r="V24" s="667"/>
      <c r="W24" s="668"/>
      <c r="X24" s="1265"/>
      <c r="Y24" s="338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7"/>
      <c r="Q26" s="1263"/>
      <c r="R26" s="667"/>
      <c r="S26" s="668"/>
      <c r="T26" s="667"/>
      <c r="U26" s="668"/>
      <c r="V26" s="667"/>
      <c r="W26" s="668"/>
      <c r="X26" s="1265"/>
      <c r="Y26" s="33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受贵公司委托，我公司对北京市密云区新南路60号1幢1至2层01房地产抵押价值进行了预评估。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估价对象为北京市密云区新南路60号1幢1至2层01房地产，为北京海华建筑工程有限公司所有。根据《国有土地使用证》[]，估价对象（分摊）出让国有建设用地使用权面积为0平方米，建筑面积为497.23平方米。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新南路60号1幢1至2层01房地产,属北京海华建筑工程有限公司开发建设的居住项目，该项目尚在开发建设中。根据《国有土地使用证》[]，估价对象（分摊）出让国有建设用地使用权面积为0平方米，规划建筑面积为497.23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密云区新南路60号1幢1至2层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497.23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860"/>
      <c r="M5" s="861"/>
      <c r="N5" s="861"/>
      <c r="O5" s="861"/>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860"/>
      <c r="M6" s="861"/>
      <c r="N6" s="861"/>
      <c r="O6" s="861"/>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45803</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0"/>
      <c r="Q15" s="1263"/>
      <c r="R15" s="667"/>
      <c r="S15" s="668"/>
      <c r="T15" s="667"/>
      <c r="U15" s="668"/>
      <c r="V15" s="667"/>
      <c r="W15" s="668"/>
      <c r="X15" s="1265"/>
      <c r="Y15" s="338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0"/>
      <c r="Q17" s="1263"/>
      <c r="R17" s="667"/>
      <c r="S17" s="668"/>
      <c r="T17" s="667"/>
      <c r="U17" s="668"/>
      <c r="V17" s="667"/>
      <c r="W17" s="668"/>
      <c r="X17" s="1265"/>
      <c r="Y17" s="338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0"/>
      <c r="Q19" s="1263"/>
      <c r="R19" s="667"/>
      <c r="S19" s="668"/>
      <c r="T19" s="667"/>
      <c r="U19" s="668"/>
      <c r="V19" s="667"/>
      <c r="W19" s="668"/>
      <c r="X19" s="1265"/>
      <c r="Y19" s="338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77" t="str">
        <f>A37</f>
        <v>成交单价</v>
      </c>
      <c r="Q37" s="3377"/>
      <c r="R37" s="3378">
        <f>E37</f>
        <v>0</v>
      </c>
      <c r="S37" s="3378"/>
      <c r="T37" s="3378">
        <f>G37</f>
        <v>0</v>
      </c>
      <c r="U37" s="3378"/>
      <c r="V37" s="3378">
        <f>I37</f>
        <v>0</v>
      </c>
      <c r="W37" s="337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4" t="str">
        <f>A39</f>
        <v>估价对象XX用房的比较价值（楼面单价，元/平方米）</v>
      </c>
      <c r="Q39" s="3375"/>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45803</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0"/>
      <c r="Q15" s="1263"/>
      <c r="R15" s="667"/>
      <c r="S15" s="668"/>
      <c r="T15" s="667"/>
      <c r="U15" s="668"/>
      <c r="V15" s="667"/>
      <c r="W15" s="668"/>
      <c r="X15" s="1265"/>
      <c r="Y15" s="338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0"/>
      <c r="Q17" s="1263"/>
      <c r="R17" s="667"/>
      <c r="S17" s="668"/>
      <c r="T17" s="667"/>
      <c r="U17" s="668"/>
      <c r="V17" s="667"/>
      <c r="W17" s="668"/>
      <c r="X17" s="1265"/>
      <c r="Y17" s="338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0"/>
      <c r="Q19" s="1263"/>
      <c r="R19" s="667"/>
      <c r="S19" s="668"/>
      <c r="T19" s="667"/>
      <c r="U19" s="668"/>
      <c r="V19" s="667"/>
      <c r="W19" s="668"/>
      <c r="X19" s="1265"/>
      <c r="Y19" s="338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45803</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7"/>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0"/>
      <c r="Q16" s="1263"/>
      <c r="R16" s="667"/>
      <c r="S16" s="668"/>
      <c r="T16" s="667"/>
      <c r="U16" s="668"/>
      <c r="V16" s="667"/>
      <c r="W16" s="668"/>
      <c r="X16" s="1265"/>
      <c r="Y16" s="338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0"/>
      <c r="Q18" s="1263"/>
      <c r="R18" s="667"/>
      <c r="S18" s="668"/>
      <c r="T18" s="667"/>
      <c r="U18" s="668"/>
      <c r="V18" s="667"/>
      <c r="W18" s="668"/>
      <c r="X18" s="1265"/>
      <c r="Y18" s="338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0"/>
      <c r="Q20" s="1263"/>
      <c r="R20" s="667"/>
      <c r="S20" s="668"/>
      <c r="T20" s="667"/>
      <c r="U20" s="668"/>
      <c r="V20" s="667"/>
      <c r="W20" s="668"/>
      <c r="X20" s="1265"/>
      <c r="Y20" s="338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0"/>
      <c r="Q22" s="1263"/>
      <c r="R22" s="667"/>
      <c r="S22" s="668"/>
      <c r="T22" s="667"/>
      <c r="U22" s="668"/>
      <c r="V22" s="667"/>
      <c r="W22" s="668"/>
      <c r="X22" s="1265"/>
      <c r="Y22" s="338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0"/>
      <c r="Q24" s="1263"/>
      <c r="R24" s="667"/>
      <c r="S24" s="668"/>
      <c r="T24" s="667"/>
      <c r="U24" s="668"/>
      <c r="V24" s="667"/>
      <c r="W24" s="668"/>
      <c r="X24" s="1265"/>
      <c r="Y24" s="338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0"/>
      <c r="Q26" s="1263"/>
      <c r="R26" s="667"/>
      <c r="S26" s="668"/>
      <c r="T26" s="667"/>
      <c r="U26" s="668"/>
      <c r="V26" s="667"/>
      <c r="W26" s="668"/>
      <c r="X26" s="1265"/>
      <c r="Y26" s="338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0"/>
      <c r="Q28" s="530"/>
      <c r="R28" s="664"/>
      <c r="S28" s="665"/>
      <c r="T28" s="664"/>
      <c r="U28" s="665"/>
      <c r="V28" s="664"/>
      <c r="W28" s="665"/>
      <c r="X28" s="666"/>
      <c r="Y28" s="338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4"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7" t="str">
        <f>A46</f>
        <v>成交单价</v>
      </c>
      <c r="Q46" s="3377"/>
      <c r="R46" s="3378">
        <f>E46</f>
        <v>0</v>
      </c>
      <c r="S46" s="3378"/>
      <c r="T46" s="3378">
        <f>G46</f>
        <v>0</v>
      </c>
      <c r="U46" s="3378"/>
      <c r="V46" s="3378">
        <f>I46</f>
        <v>0</v>
      </c>
      <c r="W46" s="337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7" t="str">
        <f>A47</f>
        <v>比较价值（元/平方米）</v>
      </c>
      <c r="Q47" s="337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4" t="str">
        <f>A48</f>
        <v>估价对象XX用房的比较价值（楼面单价，元/平方米）</v>
      </c>
      <c r="Q48" s="3375"/>
      <c r="R48" s="3437" t="e">
        <f>ROUND(IF(D47="简单平均",AVERAGE(R47:W47),R47*F47+T47*H47+V47*J47),0)</f>
        <v>#DIV/0!</v>
      </c>
      <c r="S48" s="3437"/>
      <c r="T48" s="3437"/>
      <c r="U48" s="3437"/>
      <c r="V48" s="3437"/>
      <c r="W48" s="343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497.23</v>
      </c>
      <c r="F56" s="833" t="e">
        <f t="shared" ref="F56:F64" si="15">ROUND(B56*E56/10000,0)</f>
        <v>#DIV/0!</v>
      </c>
      <c r="G56" s="3388"/>
      <c r="H56" s="337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497.23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5"/>
      <c r="M5" s="2486"/>
      <c r="N5" s="2486"/>
      <c r="O5" s="2486"/>
      <c r="P5" s="3398"/>
      <c r="Q5" s="3399"/>
      <c r="R5" s="3404"/>
      <c r="S5" s="3405"/>
      <c r="T5" s="3404"/>
      <c r="U5" s="3405"/>
      <c r="V5" s="3378"/>
      <c r="W5" s="3378"/>
      <c r="X5" s="1265"/>
      <c r="Y5" s="3404"/>
      <c r="Z5" s="3405"/>
      <c r="AA5" s="3390"/>
      <c r="AB5" s="3390"/>
      <c r="AC5" s="3390"/>
    </row>
    <row r="6" spans="1:29" ht="15" thickBot="1">
      <c r="A6" s="350"/>
      <c r="B6" s="351"/>
      <c r="C6" s="3439" t="s">
        <v>1919</v>
      </c>
      <c r="D6" s="3440"/>
      <c r="E6" s="3441" t="s">
        <v>1919</v>
      </c>
      <c r="F6" s="3442"/>
      <c r="G6" s="3439" t="s">
        <v>1919</v>
      </c>
      <c r="H6" s="3440"/>
      <c r="I6" s="3439" t="s">
        <v>1919</v>
      </c>
      <c r="J6" s="3440"/>
      <c r="K6" s="537" t="s">
        <v>1678</v>
      </c>
      <c r="L6" s="2485"/>
      <c r="M6" s="2486"/>
      <c r="N6" s="2486"/>
      <c r="O6" s="2486"/>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45803</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0"/>
      <c r="Q16" s="1263"/>
      <c r="R16" s="667"/>
      <c r="S16" s="668"/>
      <c r="T16" s="667"/>
      <c r="U16" s="668"/>
      <c r="V16" s="667"/>
      <c r="W16" s="668"/>
      <c r="X16" s="1265"/>
      <c r="Y16" s="338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0"/>
      <c r="Q18" s="1263"/>
      <c r="R18" s="667"/>
      <c r="S18" s="668"/>
      <c r="T18" s="667"/>
      <c r="U18" s="668"/>
      <c r="V18" s="667"/>
      <c r="W18" s="668"/>
      <c r="X18" s="1265"/>
      <c r="Y18" s="338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0"/>
      <c r="Q20" s="1263"/>
      <c r="R20" s="667"/>
      <c r="S20" s="668"/>
      <c r="T20" s="667"/>
      <c r="U20" s="668"/>
      <c r="V20" s="667"/>
      <c r="W20" s="668"/>
      <c r="X20" s="1265"/>
      <c r="Y20" s="338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0"/>
      <c r="Q22" s="1263"/>
      <c r="R22" s="667"/>
      <c r="S22" s="668"/>
      <c r="T22" s="667"/>
      <c r="U22" s="668"/>
      <c r="V22" s="667"/>
      <c r="W22" s="668"/>
      <c r="X22" s="1265"/>
      <c r="Y22" s="338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0"/>
      <c r="Q24" s="530"/>
      <c r="R24" s="664"/>
      <c r="S24" s="665"/>
      <c r="T24" s="664"/>
      <c r="U24" s="665"/>
      <c r="V24" s="664"/>
      <c r="W24" s="665"/>
      <c r="X24" s="666"/>
      <c r="Y24" s="338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4"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7" t="str">
        <f>A41</f>
        <v>成交单价</v>
      </c>
      <c r="Q41" s="3377"/>
      <c r="R41" s="3378">
        <f>E41</f>
        <v>0</v>
      </c>
      <c r="S41" s="3378"/>
      <c r="T41" s="3378">
        <f>G41</f>
        <v>0</v>
      </c>
      <c r="U41" s="3378"/>
      <c r="V41" s="3378">
        <f>I41</f>
        <v>0</v>
      </c>
      <c r="W41" s="337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7" t="str">
        <f>A42</f>
        <v>比较价值（元/平方米）</v>
      </c>
      <c r="Q42" s="337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4" t="str">
        <f>A43</f>
        <v>估价对象XX用房的比较价值（楼面单价，元/平方米）</v>
      </c>
      <c r="Q43" s="3375"/>
      <c r="R43" s="3437" t="e">
        <f>ROUND(IF(D42="简单平均",AVERAGE(R42:W42),R42*F42+T42*H42+V42*J42),0)</f>
        <v>#DIV/0!</v>
      </c>
      <c r="S43" s="3437"/>
      <c r="T43" s="3437"/>
      <c r="U43" s="3437"/>
      <c r="V43" s="3437"/>
      <c r="W43" s="343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497.23</v>
      </c>
      <c r="F51" s="611" t="e">
        <f t="shared" ref="F51:F60" si="15">ROUND(B51*E51/10000,0)</f>
        <v>#DIV/0!</v>
      </c>
      <c r="G51" s="3388"/>
      <c r="H51" s="337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0" t="s">
        <v>3254</v>
      </c>
      <c r="B20" s="159" t="s">
        <v>1994</v>
      </c>
      <c r="C20" s="3030" t="e">
        <f>ROUND(IF(F21="与级别开发程度一致",0,(G21-E21)/C21),0)</f>
        <v>#DIV/0!</v>
      </c>
      <c r="D20" s="3045" t="s">
        <v>1998</v>
      </c>
      <c r="E20" s="3046"/>
      <c r="F20" s="3466" t="s">
        <v>1995</v>
      </c>
      <c r="G20" s="346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45803</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2" t="s">
        <v>3294</v>
      </c>
      <c r="B103" s="3462"/>
      <c r="C103" s="3462"/>
      <c r="D103" s="3462"/>
      <c r="E103" s="3462"/>
      <c r="F103" s="3462"/>
      <c r="G103" s="3462"/>
      <c r="H103" s="3462"/>
      <c r="I103" s="3462"/>
      <c r="J103" s="3462"/>
      <c r="K103" s="1667"/>
      <c r="L103" s="1667"/>
      <c r="M103" s="1667"/>
      <c r="N103" s="1667"/>
    </row>
    <row r="104" spans="1:14">
      <c r="A104" s="3463" t="s">
        <v>3295</v>
      </c>
      <c r="B104" s="3463" t="s">
        <v>3296</v>
      </c>
      <c r="C104" s="3089" t="s">
        <v>3297</v>
      </c>
      <c r="D104" s="3090"/>
      <c r="E104" s="3090"/>
      <c r="F104" s="3090"/>
      <c r="G104" s="3090"/>
      <c r="H104" s="3090"/>
      <c r="I104" s="3090"/>
      <c r="J104" s="3091"/>
      <c r="K104" s="3092"/>
      <c r="L104" s="3092"/>
      <c r="M104" s="3092"/>
      <c r="N104" s="3092"/>
    </row>
    <row r="105" spans="1:14">
      <c r="A105" s="3463"/>
      <c r="B105" s="3463"/>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0"/>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2" t="s">
        <v>3311</v>
      </c>
      <c r="B113" s="3452"/>
      <c r="C113" s="3452"/>
      <c r="D113" s="3452"/>
      <c r="E113" s="3452"/>
      <c r="F113" s="3452"/>
      <c r="G113" s="3452"/>
      <c r="H113" s="3452"/>
      <c r="I113" s="3452"/>
      <c r="J113" s="345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7" t="s">
        <v>2607</v>
      </c>
      <c r="B20" s="3472" t="s">
        <v>2628</v>
      </c>
      <c r="C20" s="2841" t="s">
        <v>2439</v>
      </c>
      <c r="D20" s="2842"/>
      <c r="E20" s="2843">
        <v>1</v>
      </c>
      <c r="F20" s="2844" t="s">
        <v>2440</v>
      </c>
      <c r="G20" s="2844"/>
    </row>
    <row r="21" spans="1:13" ht="19.5" customHeight="1">
      <c r="A21" s="3478"/>
      <c r="B21" s="3471"/>
      <c r="C21" s="2845" t="s">
        <v>2441</v>
      </c>
      <c r="D21" s="2846"/>
      <c r="E21" s="2847">
        <v>1</v>
      </c>
      <c r="F21" s="2844" t="s">
        <v>2442</v>
      </c>
      <c r="G21" s="2844"/>
    </row>
    <row r="22" spans="1:13" ht="19.5" customHeight="1">
      <c r="A22" s="3478"/>
      <c r="B22" s="3471"/>
      <c r="C22" s="2845" t="s">
        <v>2443</v>
      </c>
      <c r="D22" s="2846"/>
      <c r="E22" s="2847">
        <v>0.9</v>
      </c>
      <c r="F22" s="2844" t="s">
        <v>2444</v>
      </c>
      <c r="G22" s="2844"/>
    </row>
    <row r="23" spans="1:13" ht="19.5" customHeight="1">
      <c r="A23" s="3478"/>
      <c r="B23" s="3471"/>
      <c r="C23" s="2845" t="s">
        <v>2445</v>
      </c>
      <c r="D23" s="2846"/>
      <c r="E23" s="2847">
        <v>0.9</v>
      </c>
      <c r="F23" s="2844" t="s">
        <v>2446</v>
      </c>
      <c r="G23" s="2844"/>
    </row>
    <row r="24" spans="1:13" ht="19.5" customHeight="1">
      <c r="A24" s="3478"/>
      <c r="B24" s="3471"/>
      <c r="C24" s="2845" t="s">
        <v>2447</v>
      </c>
      <c r="D24" s="2846"/>
      <c r="E24" s="2847">
        <v>0.8</v>
      </c>
      <c r="F24" s="2844" t="s">
        <v>2448</v>
      </c>
      <c r="G24" s="2844"/>
    </row>
    <row r="25" spans="1:13" ht="19.5" customHeight="1" thickBot="1">
      <c r="A25" s="3479"/>
      <c r="B25" s="347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4" t="s">
        <v>2631</v>
      </c>
      <c r="B27" s="3472" t="s">
        <v>2612</v>
      </c>
      <c r="C27" s="2841" t="s">
        <v>2452</v>
      </c>
      <c r="D27" s="2842"/>
      <c r="E27" s="2843">
        <v>1</v>
      </c>
      <c r="F27" s="2844" t="s">
        <v>2453</v>
      </c>
      <c r="G27" s="2844"/>
    </row>
    <row r="28" spans="1:13" ht="19.5" customHeight="1">
      <c r="A28" s="3475"/>
      <c r="B28" s="3471"/>
      <c r="C28" s="2845" t="s">
        <v>2454</v>
      </c>
      <c r="D28" s="2846"/>
      <c r="E28" s="2847">
        <v>1</v>
      </c>
      <c r="F28" s="2844" t="s">
        <v>2455</v>
      </c>
      <c r="G28" s="2844"/>
    </row>
    <row r="29" spans="1:13" ht="19.5" customHeight="1">
      <c r="A29" s="3475"/>
      <c r="B29" s="3471"/>
      <c r="C29" s="2845" t="s">
        <v>2456</v>
      </c>
      <c r="D29" s="2846"/>
      <c r="E29" s="2847">
        <v>0.8</v>
      </c>
      <c r="F29" s="2844" t="s">
        <v>2457</v>
      </c>
      <c r="G29" s="2844"/>
    </row>
    <row r="30" spans="1:13" ht="19.5" customHeight="1">
      <c r="A30" s="3475"/>
      <c r="B30" s="3471"/>
      <c r="C30" s="2845" t="s">
        <v>2458</v>
      </c>
      <c r="D30" s="2846"/>
      <c r="E30" s="2847">
        <v>0.8</v>
      </c>
      <c r="F30" s="2844" t="s">
        <v>2459</v>
      </c>
      <c r="G30" s="2844"/>
    </row>
    <row r="31" spans="1:13" ht="19.5" customHeight="1">
      <c r="A31" s="3475"/>
      <c r="B31" s="3471"/>
      <c r="C31" s="2845" t="s">
        <v>2460</v>
      </c>
      <c r="D31" s="2846"/>
      <c r="E31" s="2847">
        <v>0.8</v>
      </c>
      <c r="F31" s="2844" t="s">
        <v>2461</v>
      </c>
      <c r="G31" s="2844"/>
    </row>
    <row r="32" spans="1:13" ht="19.5" customHeight="1">
      <c r="A32" s="3475"/>
      <c r="B32" s="3471"/>
      <c r="C32" s="2845" t="s">
        <v>2462</v>
      </c>
      <c r="D32" s="2846"/>
      <c r="E32" s="2847">
        <v>0.7</v>
      </c>
      <c r="F32" s="2844" t="s">
        <v>2463</v>
      </c>
      <c r="G32" s="2844"/>
    </row>
    <row r="33" spans="1:7" ht="19.5" customHeight="1">
      <c r="A33" s="3475"/>
      <c r="B33" s="3471"/>
      <c r="C33" s="2845" t="s">
        <v>2464</v>
      </c>
      <c r="D33" s="2846"/>
      <c r="E33" s="2847">
        <v>0.8</v>
      </c>
      <c r="F33" s="2844" t="s">
        <v>2465</v>
      </c>
      <c r="G33" s="2844"/>
    </row>
    <row r="34" spans="1:7" ht="19.5" customHeight="1">
      <c r="A34" s="3475"/>
      <c r="B34" s="3471"/>
      <c r="C34" s="2845" t="s">
        <v>2466</v>
      </c>
      <c r="D34" s="2846"/>
      <c r="E34" s="2847">
        <v>0.6</v>
      </c>
      <c r="F34" s="2844" t="s">
        <v>2467</v>
      </c>
      <c r="G34" s="2844"/>
    </row>
    <row r="35" spans="1:7" ht="19.5" customHeight="1">
      <c r="A35" s="3475"/>
      <c r="B35" s="3471"/>
      <c r="C35" s="2845" t="s">
        <v>2468</v>
      </c>
      <c r="D35" s="2846"/>
      <c r="E35" s="2847">
        <v>0.2</v>
      </c>
      <c r="F35" s="2844" t="s">
        <v>2469</v>
      </c>
      <c r="G35" s="2844"/>
    </row>
    <row r="36" spans="1:7" ht="19.5" customHeight="1">
      <c r="A36" s="3475"/>
      <c r="B36" s="3471"/>
      <c r="C36" s="2845" t="s">
        <v>2470</v>
      </c>
      <c r="D36" s="2846"/>
      <c r="E36" s="2847">
        <v>0.2</v>
      </c>
      <c r="F36" s="2844" t="s">
        <v>2471</v>
      </c>
      <c r="G36" s="2844"/>
    </row>
    <row r="37" spans="1:7" ht="19.5" customHeight="1">
      <c r="A37" s="3475"/>
      <c r="B37" s="3469" t="s">
        <v>2632</v>
      </c>
      <c r="C37" s="2845" t="s">
        <v>2472</v>
      </c>
      <c r="D37" s="2846"/>
      <c r="E37" s="2847">
        <v>0.6</v>
      </c>
      <c r="F37" s="2844" t="s">
        <v>2473</v>
      </c>
      <c r="G37" s="2844"/>
    </row>
    <row r="38" spans="1:7" ht="19.5" customHeight="1">
      <c r="A38" s="3475"/>
      <c r="B38" s="3471"/>
      <c r="C38" s="2845" t="s">
        <v>2474</v>
      </c>
      <c r="D38" s="2846"/>
      <c r="E38" s="2847">
        <v>0.6</v>
      </c>
      <c r="F38" s="2844" t="s">
        <v>2475</v>
      </c>
      <c r="G38" s="2844"/>
    </row>
    <row r="39" spans="1:7" ht="19.5" customHeight="1" thickBot="1">
      <c r="A39" s="3476"/>
      <c r="B39" s="347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7" t="s">
        <v>2610</v>
      </c>
      <c r="B41" s="3472" t="s">
        <v>2634</v>
      </c>
      <c r="C41" s="2841" t="s">
        <v>2479</v>
      </c>
      <c r="D41" s="2842"/>
      <c r="E41" s="2843">
        <v>1</v>
      </c>
      <c r="F41" s="2844" t="s">
        <v>2480</v>
      </c>
      <c r="G41" s="2844"/>
    </row>
    <row r="42" spans="1:7" ht="19.5" customHeight="1">
      <c r="A42" s="3478"/>
      <c r="B42" s="3471"/>
      <c r="C42" s="2845" t="s">
        <v>2481</v>
      </c>
      <c r="D42" s="2846"/>
      <c r="E42" s="2847">
        <v>1</v>
      </c>
      <c r="F42" s="2844" t="s">
        <v>2482</v>
      </c>
      <c r="G42" s="2844"/>
    </row>
    <row r="43" spans="1:7" ht="19.5" customHeight="1">
      <c r="A43" s="3478"/>
      <c r="B43" s="3470"/>
      <c r="C43" s="2845" t="s">
        <v>2483</v>
      </c>
      <c r="D43" s="2846"/>
      <c r="E43" s="2847">
        <v>1.5</v>
      </c>
      <c r="F43" s="2844" t="s">
        <v>2484</v>
      </c>
      <c r="G43" s="2844"/>
    </row>
    <row r="44" spans="1:7" ht="19.5" customHeight="1">
      <c r="A44" s="3478"/>
      <c r="B44" s="2856" t="s">
        <v>2635</v>
      </c>
      <c r="C44" s="2845" t="s">
        <v>2636</v>
      </c>
      <c r="D44" s="2846"/>
      <c r="E44" s="2847">
        <v>2</v>
      </c>
      <c r="F44" s="2844" t="s">
        <v>2485</v>
      </c>
      <c r="G44" s="2844"/>
    </row>
    <row r="45" spans="1:7" ht="19.5" customHeight="1">
      <c r="A45" s="3478"/>
      <c r="B45" s="3469" t="s">
        <v>2637</v>
      </c>
      <c r="C45" s="2845" t="s">
        <v>2486</v>
      </c>
      <c r="D45" s="2846"/>
      <c r="E45" s="2847">
        <v>1</v>
      </c>
      <c r="F45" s="2844" t="s">
        <v>2487</v>
      </c>
      <c r="G45" s="2844"/>
    </row>
    <row r="46" spans="1:7" ht="19.5" customHeight="1">
      <c r="A46" s="3478"/>
      <c r="B46" s="3471"/>
      <c r="C46" s="2845" t="s">
        <v>2488</v>
      </c>
      <c r="D46" s="2846"/>
      <c r="E46" s="2847">
        <v>1</v>
      </c>
      <c r="F46" s="2844" t="s">
        <v>2489</v>
      </c>
      <c r="G46" s="2844"/>
    </row>
    <row r="47" spans="1:7" ht="19.5" customHeight="1">
      <c r="A47" s="3478"/>
      <c r="B47" s="3471"/>
      <c r="C47" s="2845" t="s">
        <v>2490</v>
      </c>
      <c r="D47" s="2846"/>
      <c r="E47" s="2847">
        <v>1</v>
      </c>
      <c r="F47" s="2844" t="s">
        <v>2491</v>
      </c>
      <c r="G47" s="2844"/>
    </row>
    <row r="48" spans="1:7" ht="19.5" customHeight="1">
      <c r="A48" s="3478"/>
      <c r="B48" s="3471"/>
      <c r="C48" s="2845" t="s">
        <v>2492</v>
      </c>
      <c r="D48" s="2846"/>
      <c r="E48" s="2847">
        <v>1</v>
      </c>
      <c r="F48" s="2844" t="s">
        <v>2493</v>
      </c>
      <c r="G48" s="2844"/>
    </row>
    <row r="49" spans="1:7" ht="19.5" customHeight="1">
      <c r="A49" s="3478"/>
      <c r="B49" s="3471"/>
      <c r="C49" s="2845" t="s">
        <v>2494</v>
      </c>
      <c r="D49" s="2846"/>
      <c r="E49" s="2847">
        <v>1</v>
      </c>
      <c r="F49" s="2844" t="s">
        <v>2495</v>
      </c>
      <c r="G49" s="2844"/>
    </row>
    <row r="50" spans="1:7" ht="19.5" customHeight="1">
      <c r="A50" s="3478"/>
      <c r="B50" s="3471"/>
      <c r="C50" s="2845" t="s">
        <v>2496</v>
      </c>
      <c r="D50" s="2846"/>
      <c r="E50" s="2847">
        <v>1</v>
      </c>
      <c r="F50" s="2844" t="s">
        <v>2497</v>
      </c>
      <c r="G50" s="2844"/>
    </row>
    <row r="51" spans="1:7" ht="19.5" customHeight="1" thickBot="1">
      <c r="A51" s="3479"/>
      <c r="B51" s="347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9" t="s">
        <v>2651</v>
      </c>
      <c r="C73" s="2830" t="s">
        <v>2652</v>
      </c>
      <c r="D73" s="2830" t="s">
        <v>2653</v>
      </c>
      <c r="E73" s="2856">
        <v>0.2</v>
      </c>
      <c r="F73" s="2856">
        <v>25</v>
      </c>
    </row>
    <row r="74" spans="1:7" ht="24">
      <c r="A74" s="2856">
        <v>2</v>
      </c>
      <c r="B74" s="3471"/>
      <c r="C74" s="2830" t="s">
        <v>2654</v>
      </c>
      <c r="D74" s="2830" t="s">
        <v>2655</v>
      </c>
      <c r="E74" s="2856">
        <v>0.2</v>
      </c>
      <c r="F74" s="2856">
        <v>25</v>
      </c>
    </row>
    <row r="75" spans="1:7" ht="24">
      <c r="A75" s="2856">
        <v>3</v>
      </c>
      <c r="B75" s="3471"/>
      <c r="C75" s="2830" t="s">
        <v>2656</v>
      </c>
      <c r="D75" s="2830" t="s">
        <v>2657</v>
      </c>
      <c r="E75" s="2856">
        <v>0.2</v>
      </c>
      <c r="F75" s="2856">
        <v>25</v>
      </c>
    </row>
    <row r="76" spans="1:7" ht="14.4">
      <c r="A76" s="2856">
        <v>4</v>
      </c>
      <c r="B76" s="3471"/>
      <c r="C76" s="2830" t="s">
        <v>2658</v>
      </c>
      <c r="D76" s="2830" t="s">
        <v>2659</v>
      </c>
      <c r="E76" s="2856">
        <v>0.15</v>
      </c>
      <c r="F76" s="2856">
        <v>20</v>
      </c>
    </row>
    <row r="77" spans="1:7" ht="24">
      <c r="A77" s="2856">
        <v>5</v>
      </c>
      <c r="B77" s="3471"/>
      <c r="C77" s="2830" t="s">
        <v>2660</v>
      </c>
      <c r="D77" s="2830" t="s">
        <v>2661</v>
      </c>
      <c r="E77" s="2856">
        <v>0.15</v>
      </c>
      <c r="F77" s="2856">
        <v>20</v>
      </c>
    </row>
    <row r="78" spans="1:7" ht="24">
      <c r="A78" s="2856">
        <v>6</v>
      </c>
      <c r="B78" s="3471"/>
      <c r="C78" s="2830" t="s">
        <v>2662</v>
      </c>
      <c r="D78" s="2830" t="s">
        <v>2663</v>
      </c>
      <c r="E78" s="2856">
        <v>0.15</v>
      </c>
      <c r="F78" s="2856">
        <v>20</v>
      </c>
    </row>
    <row r="79" spans="1:7" ht="24">
      <c r="A79" s="2856">
        <v>7</v>
      </c>
      <c r="B79" s="3471"/>
      <c r="C79" s="2830" t="s">
        <v>2664</v>
      </c>
      <c r="D79" s="2830" t="s">
        <v>2665</v>
      </c>
      <c r="E79" s="2856">
        <v>0.15</v>
      </c>
      <c r="F79" s="2856">
        <v>20</v>
      </c>
    </row>
    <row r="80" spans="1:7" ht="24">
      <c r="A80" s="2856">
        <v>8</v>
      </c>
      <c r="B80" s="3471"/>
      <c r="C80" s="2830" t="s">
        <v>2666</v>
      </c>
      <c r="D80" s="2830" t="s">
        <v>2667</v>
      </c>
      <c r="E80" s="2856">
        <v>0.1</v>
      </c>
      <c r="F80" s="2856">
        <v>15</v>
      </c>
    </row>
    <row r="81" spans="1:6" ht="24">
      <c r="A81" s="2856">
        <v>9</v>
      </c>
      <c r="B81" s="3471"/>
      <c r="C81" s="2830" t="s">
        <v>2668</v>
      </c>
      <c r="D81" s="2830" t="s">
        <v>2669</v>
      </c>
      <c r="E81" s="2856">
        <v>0.1</v>
      </c>
      <c r="F81" s="2856">
        <v>15</v>
      </c>
    </row>
    <row r="82" spans="1:6" ht="24">
      <c r="A82" s="2856">
        <v>10</v>
      </c>
      <c r="B82" s="3471"/>
      <c r="C82" s="2830" t="s">
        <v>2670</v>
      </c>
      <c r="D82" s="2830" t="s">
        <v>2671</v>
      </c>
      <c r="E82" s="2856">
        <v>0.1</v>
      </c>
      <c r="F82" s="2856">
        <v>15</v>
      </c>
    </row>
    <row r="83" spans="1:6" ht="24">
      <c r="A83" s="2856">
        <v>11</v>
      </c>
      <c r="B83" s="3471"/>
      <c r="C83" s="2830" t="s">
        <v>2672</v>
      </c>
      <c r="D83" s="2830" t="s">
        <v>2673</v>
      </c>
      <c r="E83" s="2856">
        <v>0.1</v>
      </c>
      <c r="F83" s="2856">
        <v>15</v>
      </c>
    </row>
    <row r="84" spans="1:6" ht="24">
      <c r="A84" s="2856">
        <v>12</v>
      </c>
      <c r="B84" s="3471"/>
      <c r="C84" s="2830" t="s">
        <v>2674</v>
      </c>
      <c r="D84" s="2830" t="s">
        <v>2675</v>
      </c>
      <c r="E84" s="2856">
        <v>0.1</v>
      </c>
      <c r="F84" s="2856">
        <v>15</v>
      </c>
    </row>
    <row r="85" spans="1:6" ht="24">
      <c r="A85" s="2856">
        <v>13</v>
      </c>
      <c r="B85" s="3471"/>
      <c r="C85" s="2830" t="s">
        <v>2676</v>
      </c>
      <c r="D85" s="2830" t="s">
        <v>2677</v>
      </c>
      <c r="E85" s="2856">
        <v>0.1</v>
      </c>
      <c r="F85" s="2856">
        <v>15</v>
      </c>
    </row>
    <row r="86" spans="1:6" ht="24">
      <c r="A86" s="2856">
        <v>14</v>
      </c>
      <c r="B86" s="3471"/>
      <c r="C86" s="2830" t="s">
        <v>2678</v>
      </c>
      <c r="D86" s="2830" t="s">
        <v>2679</v>
      </c>
      <c r="E86" s="2856">
        <v>0.1</v>
      </c>
      <c r="F86" s="2856">
        <v>15</v>
      </c>
    </row>
    <row r="87" spans="1:6" ht="24">
      <c r="A87" s="2856">
        <v>15</v>
      </c>
      <c r="B87" s="3471"/>
      <c r="C87" s="2830" t="s">
        <v>2680</v>
      </c>
      <c r="D87" s="2830" t="s">
        <v>2681</v>
      </c>
      <c r="E87" s="2856">
        <v>0.1</v>
      </c>
      <c r="F87" s="2856">
        <v>15</v>
      </c>
    </row>
    <row r="88" spans="1:6" ht="24">
      <c r="A88" s="2856">
        <v>16</v>
      </c>
      <c r="B88" s="3471"/>
      <c r="C88" s="2830" t="s">
        <v>2682</v>
      </c>
      <c r="D88" s="2830" t="s">
        <v>2683</v>
      </c>
      <c r="E88" s="2856">
        <v>0.1</v>
      </c>
      <c r="F88" s="2856">
        <v>15</v>
      </c>
    </row>
    <row r="89" spans="1:6" ht="24">
      <c r="A89" s="2856">
        <v>17</v>
      </c>
      <c r="B89" s="3470"/>
      <c r="C89" s="2830" t="s">
        <v>2684</v>
      </c>
      <c r="D89" s="2830" t="s">
        <v>2685</v>
      </c>
      <c r="E89" s="2856">
        <v>0.1</v>
      </c>
      <c r="F89" s="2856">
        <v>15</v>
      </c>
    </row>
    <row r="90" spans="1:6" ht="14.4">
      <c r="A90" s="2856">
        <v>18</v>
      </c>
      <c r="B90" s="3469" t="s">
        <v>2686</v>
      </c>
      <c r="C90" s="2830" t="s">
        <v>2687</v>
      </c>
      <c r="D90" s="2830" t="s">
        <v>2688</v>
      </c>
      <c r="E90" s="2856">
        <v>0.2</v>
      </c>
      <c r="F90" s="2856">
        <v>25</v>
      </c>
    </row>
    <row r="91" spans="1:6" ht="24">
      <c r="A91" s="2856">
        <v>19</v>
      </c>
      <c r="B91" s="3471"/>
      <c r="C91" s="2830" t="s">
        <v>2689</v>
      </c>
      <c r="D91" s="2830" t="s">
        <v>2690</v>
      </c>
      <c r="E91" s="2856">
        <v>0.2</v>
      </c>
      <c r="F91" s="2856">
        <v>25</v>
      </c>
    </row>
    <row r="92" spans="1:6" ht="14.4">
      <c r="A92" s="2856">
        <v>20</v>
      </c>
      <c r="B92" s="3471"/>
      <c r="C92" s="2830" t="s">
        <v>2691</v>
      </c>
      <c r="D92" s="2830" t="s">
        <v>2692</v>
      </c>
      <c r="E92" s="2856">
        <v>0.15</v>
      </c>
      <c r="F92" s="2856">
        <v>20</v>
      </c>
    </row>
    <row r="93" spans="1:6" ht="24">
      <c r="A93" s="2856">
        <v>21</v>
      </c>
      <c r="B93" s="3471"/>
      <c r="C93" s="2830" t="s">
        <v>2693</v>
      </c>
      <c r="D93" s="2830" t="s">
        <v>2694</v>
      </c>
      <c r="E93" s="2856">
        <v>0.15</v>
      </c>
      <c r="F93" s="2856">
        <v>20</v>
      </c>
    </row>
    <row r="94" spans="1:6" ht="24">
      <c r="A94" s="2856">
        <v>22</v>
      </c>
      <c r="B94" s="3471"/>
      <c r="C94" s="2830" t="s">
        <v>2695</v>
      </c>
      <c r="D94" s="2830" t="s">
        <v>2696</v>
      </c>
      <c r="E94" s="2856">
        <v>0.15</v>
      </c>
      <c r="F94" s="2856">
        <v>20</v>
      </c>
    </row>
    <row r="95" spans="1:6" ht="36">
      <c r="A95" s="2856">
        <v>23</v>
      </c>
      <c r="B95" s="3471"/>
      <c r="C95" s="2830" t="s">
        <v>2697</v>
      </c>
      <c r="D95" s="2830" t="s">
        <v>2698</v>
      </c>
      <c r="E95" s="2856">
        <v>0.15</v>
      </c>
      <c r="F95" s="2856">
        <v>20</v>
      </c>
    </row>
    <row r="96" spans="1:6" ht="24">
      <c r="A96" s="2856">
        <v>24</v>
      </c>
      <c r="B96" s="3471"/>
      <c r="C96" s="2830" t="s">
        <v>2699</v>
      </c>
      <c r="D96" s="2830" t="s">
        <v>2700</v>
      </c>
      <c r="E96" s="2856">
        <v>0.1</v>
      </c>
      <c r="F96" s="2856">
        <v>15</v>
      </c>
    </row>
    <row r="97" spans="1:6" ht="24">
      <c r="A97" s="2856">
        <v>25</v>
      </c>
      <c r="B97" s="3471"/>
      <c r="C97" s="2830" t="s">
        <v>2701</v>
      </c>
      <c r="D97" s="2830" t="s">
        <v>2702</v>
      </c>
      <c r="E97" s="2856">
        <v>0.1</v>
      </c>
      <c r="F97" s="2856">
        <v>15</v>
      </c>
    </row>
    <row r="98" spans="1:6" ht="24">
      <c r="A98" s="2856">
        <v>26</v>
      </c>
      <c r="B98" s="3471"/>
      <c r="C98" s="2830" t="s">
        <v>2703</v>
      </c>
      <c r="D98" s="2830" t="s">
        <v>2704</v>
      </c>
      <c r="E98" s="2856">
        <v>0.1</v>
      </c>
      <c r="F98" s="2856">
        <v>15</v>
      </c>
    </row>
    <row r="99" spans="1:6" ht="24">
      <c r="A99" s="2856">
        <v>27</v>
      </c>
      <c r="B99" s="3471"/>
      <c r="C99" s="2830" t="s">
        <v>2705</v>
      </c>
      <c r="D99" s="2830" t="s">
        <v>2706</v>
      </c>
      <c r="E99" s="2856">
        <v>0.1</v>
      </c>
      <c r="F99" s="2856">
        <v>15</v>
      </c>
    </row>
    <row r="100" spans="1:6" ht="24">
      <c r="A100" s="2856">
        <v>28</v>
      </c>
      <c r="B100" s="3471"/>
      <c r="C100" s="2830" t="s">
        <v>2707</v>
      </c>
      <c r="D100" s="2830" t="s">
        <v>2708</v>
      </c>
      <c r="E100" s="2856">
        <v>0.1</v>
      </c>
      <c r="F100" s="2856">
        <v>15</v>
      </c>
    </row>
    <row r="101" spans="1:6" ht="24">
      <c r="A101" s="2856">
        <v>29</v>
      </c>
      <c r="B101" s="3471"/>
      <c r="C101" s="2830" t="s">
        <v>2709</v>
      </c>
      <c r="D101" s="2830" t="s">
        <v>2710</v>
      </c>
      <c r="E101" s="2856">
        <v>0.1</v>
      </c>
      <c r="F101" s="2856">
        <v>15</v>
      </c>
    </row>
    <row r="102" spans="1:6" ht="24">
      <c r="A102" s="2856">
        <v>30</v>
      </c>
      <c r="B102" s="3471"/>
      <c r="C102" s="2830" t="s">
        <v>2711</v>
      </c>
      <c r="D102" s="2830" t="s">
        <v>2712</v>
      </c>
      <c r="E102" s="2856">
        <v>0.1</v>
      </c>
      <c r="F102" s="2856">
        <v>15</v>
      </c>
    </row>
    <row r="103" spans="1:6" ht="24">
      <c r="A103" s="2856">
        <v>31</v>
      </c>
      <c r="B103" s="3471"/>
      <c r="C103" s="2830" t="s">
        <v>2713</v>
      </c>
      <c r="D103" s="2830" t="s">
        <v>2714</v>
      </c>
      <c r="E103" s="2856">
        <v>0.1</v>
      </c>
      <c r="F103" s="2856">
        <v>15</v>
      </c>
    </row>
    <row r="104" spans="1:6" ht="24">
      <c r="A104" s="2856">
        <v>32</v>
      </c>
      <c r="B104" s="3471"/>
      <c r="C104" s="2830" t="s">
        <v>2715</v>
      </c>
      <c r="D104" s="2830" t="s">
        <v>2716</v>
      </c>
      <c r="E104" s="2856">
        <v>0.1</v>
      </c>
      <c r="F104" s="2856">
        <v>15</v>
      </c>
    </row>
    <row r="105" spans="1:6" ht="24">
      <c r="A105" s="2856">
        <v>33</v>
      </c>
      <c r="B105" s="3471"/>
      <c r="C105" s="2830" t="s">
        <v>2717</v>
      </c>
      <c r="D105" s="2830" t="s">
        <v>2718</v>
      </c>
      <c r="E105" s="2856">
        <v>0.1</v>
      </c>
      <c r="F105" s="2856">
        <v>15</v>
      </c>
    </row>
    <row r="106" spans="1:6" ht="24">
      <c r="A106" s="2856">
        <v>34</v>
      </c>
      <c r="B106" s="3470"/>
      <c r="C106" s="2830" t="s">
        <v>2719</v>
      </c>
      <c r="D106" s="2830" t="s">
        <v>2720</v>
      </c>
      <c r="E106" s="2856">
        <v>0.1</v>
      </c>
      <c r="F106" s="2856">
        <v>15</v>
      </c>
    </row>
    <row r="107" spans="1:6" ht="36">
      <c r="A107" s="2856">
        <v>35</v>
      </c>
      <c r="B107" s="3469" t="s">
        <v>2721</v>
      </c>
      <c r="C107" s="2856" t="s">
        <v>2722</v>
      </c>
      <c r="D107" s="2830" t="s">
        <v>2723</v>
      </c>
      <c r="E107" s="2856">
        <v>0.15</v>
      </c>
      <c r="F107" s="2856">
        <v>20</v>
      </c>
    </row>
    <row r="108" spans="1:6" ht="24">
      <c r="A108" s="2856">
        <v>36</v>
      </c>
      <c r="B108" s="3471"/>
      <c r="C108" s="2856" t="s">
        <v>2724</v>
      </c>
      <c r="D108" s="2830" t="s">
        <v>2725</v>
      </c>
      <c r="E108" s="2856">
        <v>0.15</v>
      </c>
      <c r="F108" s="2856">
        <v>20</v>
      </c>
    </row>
    <row r="109" spans="1:6" ht="24">
      <c r="A109" s="2856">
        <v>37</v>
      </c>
      <c r="B109" s="3471"/>
      <c r="C109" s="2856" t="s">
        <v>2726</v>
      </c>
      <c r="D109" s="2830" t="s">
        <v>2727</v>
      </c>
      <c r="E109" s="2856">
        <v>0.15</v>
      </c>
      <c r="F109" s="2856">
        <v>20</v>
      </c>
    </row>
    <row r="110" spans="1:6" ht="24">
      <c r="A110" s="2856">
        <v>38</v>
      </c>
      <c r="B110" s="3471"/>
      <c r="C110" s="2856" t="s">
        <v>2728</v>
      </c>
      <c r="D110" s="2830" t="s">
        <v>2729</v>
      </c>
      <c r="E110" s="2856">
        <v>0.1</v>
      </c>
      <c r="F110" s="2856">
        <v>15</v>
      </c>
    </row>
    <row r="111" spans="1:6" ht="24">
      <c r="A111" s="2856">
        <v>39</v>
      </c>
      <c r="B111" s="3471"/>
      <c r="C111" s="2856" t="s">
        <v>2730</v>
      </c>
      <c r="D111" s="2830" t="s">
        <v>2731</v>
      </c>
      <c r="E111" s="2856">
        <v>0.1</v>
      </c>
      <c r="F111" s="2856">
        <v>15</v>
      </c>
    </row>
    <row r="112" spans="1:6" ht="24">
      <c r="A112" s="2856">
        <v>40</v>
      </c>
      <c r="B112" s="3470"/>
      <c r="C112" s="2856" t="s">
        <v>2732</v>
      </c>
      <c r="D112" s="2830" t="s">
        <v>2733</v>
      </c>
      <c r="E112" s="2856">
        <v>0.1</v>
      </c>
      <c r="F112" s="2856">
        <v>15</v>
      </c>
    </row>
    <row r="113" spans="1:6" ht="24">
      <c r="A113" s="2856">
        <v>41</v>
      </c>
      <c r="B113" s="3468" t="s">
        <v>2734</v>
      </c>
      <c r="C113" s="2856" t="s">
        <v>2735</v>
      </c>
      <c r="D113" s="2830" t="s">
        <v>2736</v>
      </c>
      <c r="E113" s="2856">
        <v>0.1</v>
      </c>
      <c r="F113" s="2856">
        <v>15</v>
      </c>
    </row>
    <row r="114" spans="1:6" ht="24">
      <c r="A114" s="2856">
        <v>42</v>
      </c>
      <c r="B114" s="3468"/>
      <c r="C114" s="2856" t="s">
        <v>2737</v>
      </c>
      <c r="D114" s="2830" t="s">
        <v>2738</v>
      </c>
      <c r="E114" s="2856">
        <v>0.1</v>
      </c>
      <c r="F114" s="2856">
        <v>15</v>
      </c>
    </row>
    <row r="115" spans="1:6" ht="24">
      <c r="A115" s="2856">
        <v>43</v>
      </c>
      <c r="B115" s="3468"/>
      <c r="C115" s="2856" t="s">
        <v>2739</v>
      </c>
      <c r="D115" s="2830" t="s">
        <v>2740</v>
      </c>
      <c r="E115" s="2856">
        <v>0.1</v>
      </c>
      <c r="F115" s="2856">
        <v>15</v>
      </c>
    </row>
    <row r="116" spans="1:6" ht="24">
      <c r="A116" s="2856">
        <v>44</v>
      </c>
      <c r="B116" s="3469" t="s">
        <v>2741</v>
      </c>
      <c r="C116" s="2856" t="s">
        <v>2742</v>
      </c>
      <c r="D116" s="2830" t="s">
        <v>2743</v>
      </c>
      <c r="E116" s="2856">
        <v>0.1</v>
      </c>
      <c r="F116" s="2856">
        <v>15</v>
      </c>
    </row>
    <row r="117" spans="1:6" ht="24">
      <c r="A117" s="2856">
        <v>45</v>
      </c>
      <c r="B117" s="3470"/>
      <c r="C117" s="2830" t="s">
        <v>2744</v>
      </c>
      <c r="D117" s="2830" t="s">
        <v>2745</v>
      </c>
      <c r="E117" s="2856">
        <v>0.1</v>
      </c>
      <c r="F117" s="2856">
        <v>15</v>
      </c>
    </row>
    <row r="118" spans="1:6" ht="24">
      <c r="A118" s="2856">
        <v>46</v>
      </c>
      <c r="B118" s="3469" t="s">
        <v>2746</v>
      </c>
      <c r="C118" s="2856" t="s">
        <v>2747</v>
      </c>
      <c r="D118" s="2830" t="s">
        <v>2748</v>
      </c>
      <c r="E118" s="2856">
        <v>0.1</v>
      </c>
      <c r="F118" s="2856">
        <v>15</v>
      </c>
    </row>
    <row r="119" spans="1:6" ht="24">
      <c r="A119" s="2856">
        <v>47</v>
      </c>
      <c r="B119" s="3470"/>
      <c r="C119" s="2856" t="s">
        <v>2749</v>
      </c>
      <c r="D119" s="2830" t="s">
        <v>2750</v>
      </c>
      <c r="E119" s="2856">
        <v>0.1</v>
      </c>
      <c r="F119" s="2856">
        <v>15</v>
      </c>
    </row>
    <row r="120" spans="1:6" ht="24">
      <c r="A120" s="2856">
        <v>48</v>
      </c>
      <c r="B120" s="3469" t="s">
        <v>2751</v>
      </c>
      <c r="C120" s="2856" t="s">
        <v>2752</v>
      </c>
      <c r="D120" s="2830" t="s">
        <v>2753</v>
      </c>
      <c r="E120" s="2856">
        <v>0.1</v>
      </c>
      <c r="F120" s="2856">
        <v>15</v>
      </c>
    </row>
    <row r="121" spans="1:6" ht="24">
      <c r="A121" s="2856">
        <v>49</v>
      </c>
      <c r="B121" s="3470"/>
      <c r="C121" s="2856" t="s">
        <v>2754</v>
      </c>
      <c r="D121" s="2830" t="s">
        <v>2755</v>
      </c>
      <c r="E121" s="2856">
        <v>0.1</v>
      </c>
      <c r="F121" s="2856">
        <v>15</v>
      </c>
    </row>
    <row r="122" spans="1:6" ht="24">
      <c r="A122" s="2856">
        <v>50</v>
      </c>
      <c r="B122" s="3468" t="s">
        <v>2756</v>
      </c>
      <c r="C122" s="2856" t="s">
        <v>2757</v>
      </c>
      <c r="D122" s="2830" t="s">
        <v>2758</v>
      </c>
      <c r="E122" s="2856">
        <v>0.1</v>
      </c>
      <c r="F122" s="2856">
        <v>15</v>
      </c>
    </row>
    <row r="123" spans="1:6" ht="24">
      <c r="A123" s="2856">
        <v>51</v>
      </c>
      <c r="B123" s="3468"/>
      <c r="C123" s="2856" t="s">
        <v>2759</v>
      </c>
      <c r="D123" s="2830" t="s">
        <v>2760</v>
      </c>
      <c r="E123" s="2856">
        <v>0.1</v>
      </c>
      <c r="F123" s="2856">
        <v>15</v>
      </c>
    </row>
    <row r="124" spans="1:6" ht="24">
      <c r="A124" s="2856">
        <v>52</v>
      </c>
      <c r="B124" s="3468" t="s">
        <v>2761</v>
      </c>
      <c r="C124" s="2856" t="s">
        <v>2762</v>
      </c>
      <c r="D124" s="2830" t="s">
        <v>2763</v>
      </c>
      <c r="E124" s="2856">
        <v>0.1</v>
      </c>
      <c r="F124" s="2856">
        <v>15</v>
      </c>
    </row>
    <row r="125" spans="1:6" ht="24">
      <c r="A125" s="2856">
        <v>53</v>
      </c>
      <c r="B125" s="3468"/>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8" t="s">
        <v>2769</v>
      </c>
      <c r="C127" s="2856" t="s">
        <v>2770</v>
      </c>
      <c r="D127" s="2830" t="s">
        <v>2771</v>
      </c>
      <c r="E127" s="2856">
        <v>0.1</v>
      </c>
      <c r="F127" s="2856">
        <v>15</v>
      </c>
    </row>
    <row r="128" spans="1:6" ht="24">
      <c r="A128" s="2856">
        <v>56</v>
      </c>
      <c r="B128" s="3468"/>
      <c r="C128" s="2856" t="s">
        <v>2772</v>
      </c>
      <c r="D128" s="2830" t="s">
        <v>2773</v>
      </c>
      <c r="E128" s="2856">
        <v>0.1</v>
      </c>
      <c r="F128" s="2856">
        <v>15</v>
      </c>
    </row>
    <row r="129" spans="1:6" ht="24">
      <c r="A129" s="2856">
        <v>57</v>
      </c>
      <c r="B129" s="3468"/>
      <c r="C129" s="2856" t="s">
        <v>2774</v>
      </c>
      <c r="D129" s="2830" t="s">
        <v>2775</v>
      </c>
      <c r="E129" s="2856">
        <v>0.1</v>
      </c>
      <c r="F129" s="2856">
        <v>15</v>
      </c>
    </row>
    <row r="130" spans="1:6" ht="24">
      <c r="A130" s="2856">
        <v>58</v>
      </c>
      <c r="B130" s="3468" t="s">
        <v>2776</v>
      </c>
      <c r="C130" s="2856" t="s">
        <v>2777</v>
      </c>
      <c r="D130" s="2830" t="s">
        <v>2778</v>
      </c>
      <c r="E130" s="2856">
        <v>0.1</v>
      </c>
      <c r="F130" s="2856">
        <v>15</v>
      </c>
    </row>
    <row r="131" spans="1:6" ht="24">
      <c r="A131" s="2856">
        <v>59</v>
      </c>
      <c r="B131" s="3468"/>
      <c r="C131" s="2856" t="s">
        <v>2779</v>
      </c>
      <c r="D131" s="2830" t="s">
        <v>2780</v>
      </c>
      <c r="E131" s="2856">
        <v>0.1</v>
      </c>
      <c r="F131" s="2856">
        <v>15</v>
      </c>
    </row>
    <row r="132" spans="1:6" ht="24">
      <c r="A132" s="2856">
        <v>60</v>
      </c>
      <c r="B132" s="3469" t="s">
        <v>2781</v>
      </c>
      <c r="C132" s="2856" t="s">
        <v>2782</v>
      </c>
      <c r="D132" s="2830" t="s">
        <v>2783</v>
      </c>
      <c r="E132" s="2856">
        <v>0.1</v>
      </c>
      <c r="F132" s="2856">
        <v>15</v>
      </c>
    </row>
    <row r="133" spans="1:6" ht="24">
      <c r="A133" s="2856">
        <v>61</v>
      </c>
      <c r="B133" s="3470"/>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8" t="s">
        <v>2789</v>
      </c>
      <c r="C135" s="2856" t="s">
        <v>2790</v>
      </c>
      <c r="D135" s="2830" t="s">
        <v>2791</v>
      </c>
      <c r="E135" s="2856">
        <v>0.1</v>
      </c>
      <c r="F135" s="2856">
        <v>15</v>
      </c>
    </row>
    <row r="136" spans="1:6" ht="24">
      <c r="A136" s="2856">
        <v>64</v>
      </c>
      <c r="B136" s="3468"/>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1"/>
      <c r="B4" s="3167" t="s">
        <v>917</v>
      </c>
      <c r="C4" s="3167"/>
      <c r="D4" s="3167"/>
      <c r="E4" s="1391"/>
    </row>
    <row r="5" spans="1:5" ht="16.2" thickTop="1">
      <c r="B5" s="3165" t="s">
        <v>909</v>
      </c>
      <c r="C5" s="1392" t="s">
        <v>910</v>
      </c>
      <c r="D5" s="797" t="e">
        <f ca="1">结果表!H101</f>
        <v>#REF!</v>
      </c>
    </row>
    <row r="6" spans="1:5" ht="15.6">
      <c r="B6" s="3165"/>
      <c r="C6" s="1392" t="s">
        <v>911</v>
      </c>
      <c r="D6" s="797" t="e">
        <f ca="1">NUMBERSTRING(INT(D5*10000),2)&amp;"元整"</f>
        <v>#REF!</v>
      </c>
    </row>
    <row r="7" spans="1:5" ht="15.6">
      <c r="B7" s="3170"/>
      <c r="C7" s="1393" t="s">
        <v>912</v>
      </c>
      <c r="D7" s="798" t="e">
        <f ca="1">结果表!H102</f>
        <v>#REF!</v>
      </c>
    </row>
    <row r="8" spans="1:5" ht="15.6">
      <c r="B8" s="3171" t="str">
        <f>结果表!E103</f>
        <v>2.估价师知悉的法定优先受偿款</v>
      </c>
      <c r="C8" s="1394" t="s">
        <v>913</v>
      </c>
      <c r="D8" s="798">
        <f>结果表!H103</f>
        <v>0</v>
      </c>
    </row>
    <row r="9" spans="1:5" ht="15.6">
      <c r="B9" s="317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4" t="str">
        <f>结果表!E107</f>
        <v>3.房地产抵押价值</v>
      </c>
      <c r="C13" s="1397" t="s">
        <v>910</v>
      </c>
      <c r="D13" s="800" t="e">
        <f ca="1">结果表!H107</f>
        <v>#REF!</v>
      </c>
    </row>
    <row r="14" spans="1:5" ht="15.6">
      <c r="B14" s="3165"/>
      <c r="C14" s="1392" t="s">
        <v>911</v>
      </c>
      <c r="D14" s="797" t="e">
        <f ca="1">NUMBERSTRING(INT(D13*10000),2)&amp;"元整"</f>
        <v>#REF!</v>
      </c>
    </row>
    <row r="15" spans="1:5" ht="15.6">
      <c r="B15" s="3170"/>
      <c r="C15" s="1393" t="s">
        <v>921</v>
      </c>
      <c r="D15" s="806" t="e">
        <f ca="1">结果表!H108</f>
        <v>#REF!</v>
      </c>
    </row>
    <row r="16" spans="1:5" ht="15.6">
      <c r="B16" s="3171" t="str">
        <f>结果表!E109</f>
        <v>——</v>
      </c>
      <c r="C16" s="1397" t="s">
        <v>922</v>
      </c>
      <c r="D16" s="1398" t="str">
        <f>结果表!H109</f>
        <v>——</v>
      </c>
    </row>
    <row r="17" spans="1:5" ht="15.6">
      <c r="B17" s="3172"/>
      <c r="C17" s="1392" t="s">
        <v>923</v>
      </c>
      <c r="D17" s="797" t="e">
        <f>NUMBERSTRING(INT(D16*10000),2)&amp;"元整"</f>
        <v>#VALUE!</v>
      </c>
    </row>
    <row r="18" spans="1:5" ht="15.6">
      <c r="B18" s="3173"/>
      <c r="C18" s="1393" t="s">
        <v>912</v>
      </c>
      <c r="D18" s="806" t="str">
        <f>结果表!H110</f>
        <v>——</v>
      </c>
    </row>
    <row r="19" spans="1:5" ht="15.6">
      <c r="B19" s="3164" t="str">
        <f>结果表!E111</f>
        <v>——</v>
      </c>
      <c r="C19" s="1397" t="s">
        <v>910</v>
      </c>
      <c r="D19" s="798" t="str">
        <f>结果表!H111</f>
        <v>——</v>
      </c>
    </row>
    <row r="20" spans="1:5" ht="15.6">
      <c r="B20" s="3165"/>
      <c r="C20" s="1392" t="s">
        <v>923</v>
      </c>
      <c r="D20" s="797" t="e">
        <f>NUMBERSTRING(INT(D19*10000),2)&amp;"元整"</f>
        <v>#VALUE!</v>
      </c>
    </row>
    <row r="21" spans="1:5" ht="16.2" thickBot="1">
      <c r="B21" s="316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497.23</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497.23</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497.23</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20"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0" t="s">
        <v>3181</v>
      </c>
      <c r="B1" s="3480"/>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1" t="s">
        <v>3232</v>
      </c>
      <c r="B1" s="3481"/>
      <c r="C1" s="3481"/>
      <c r="D1" s="3481"/>
      <c r="E1" s="3481"/>
      <c r="F1" s="348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45803</v>
      </c>
      <c r="B1" s="2928" t="s">
        <v>3378</v>
      </c>
      <c r="C1" s="2929"/>
      <c r="D1" s="2929"/>
      <c r="E1" s="2929"/>
      <c r="F1" s="2929"/>
      <c r="G1" s="2929"/>
      <c r="H1" s="2929"/>
      <c r="I1" s="2929"/>
      <c r="J1" s="2895"/>
      <c r="K1" s="2929" t="s">
        <v>454</v>
      </c>
      <c r="L1" s="2929"/>
      <c r="M1" s="2929"/>
      <c r="N1" s="2929"/>
      <c r="O1" s="2929"/>
      <c r="P1" s="2929"/>
      <c r="Q1" s="2895"/>
      <c r="R1" s="3483" t="s">
        <v>456</v>
      </c>
      <c r="S1" s="3484"/>
      <c r="T1" s="3484"/>
      <c r="U1" s="3484"/>
      <c r="V1" s="3484"/>
      <c r="W1" s="3484"/>
      <c r="X1" s="2895"/>
      <c r="Y1" s="3483" t="s">
        <v>457</v>
      </c>
      <c r="Z1" s="3484"/>
      <c r="AA1" s="3484"/>
      <c r="AB1" s="3484"/>
      <c r="AC1" s="3484"/>
      <c r="AD1" s="3484"/>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3" t="s">
        <v>2827</v>
      </c>
      <c r="S29" s="3484"/>
      <c r="T29" s="3484"/>
      <c r="U29" s="3484"/>
      <c r="V29" s="3484"/>
      <c r="W29" s="3484"/>
      <c r="X29" s="2895"/>
      <c r="Y29" s="3483" t="s">
        <v>2828</v>
      </c>
      <c r="Z29" s="3484"/>
      <c r="AA29" s="3484"/>
      <c r="AB29" s="3484"/>
      <c r="AC29" s="3484"/>
      <c r="AD29" s="3484"/>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6" t="s">
        <v>2839</v>
      </c>
      <c r="B1" s="3496"/>
      <c r="C1" s="3496"/>
      <c r="D1" s="3496"/>
      <c r="E1" s="3496"/>
      <c r="F1" s="3496"/>
      <c r="G1" s="349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45803</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77"/>
      <c r="B3" s="3177"/>
      <c r="C3" s="3177"/>
      <c r="D3" s="801" t="s">
        <v>925</v>
      </c>
      <c r="E3" s="801" t="s">
        <v>931</v>
      </c>
      <c r="F3" s="801" t="s">
        <v>925</v>
      </c>
      <c r="G3" s="801" t="s">
        <v>926</v>
      </c>
      <c r="H3" s="801" t="s">
        <v>925</v>
      </c>
      <c r="I3" s="801" t="s">
        <v>926</v>
      </c>
    </row>
    <row r="4" spans="1:9" ht="30">
      <c r="A4" s="1403" t="str">
        <f>项目基本情况!S2</f>
        <v>北京市密云区新南路60号1幢1至2层01房地产</v>
      </c>
      <c r="B4" s="801">
        <f>项目基本情况!C17</f>
        <v>497.23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7" t="s">
        <v>927</v>
      </c>
      <c r="B5" s="3177"/>
      <c r="C5" s="3177"/>
      <c r="D5" s="3177" t="e">
        <f ca="1">结果表!D119</f>
        <v>#REF!</v>
      </c>
      <c r="E5" s="3177"/>
      <c r="F5" s="3177" t="e">
        <f ca="1">结果表!F119</f>
        <v>#REF!</v>
      </c>
      <c r="G5" s="3177"/>
      <c r="H5" s="3177" t="e">
        <f ca="1">结果表!H119</f>
        <v>#REF!</v>
      </c>
      <c r="I5" s="3177"/>
    </row>
    <row r="6" spans="1:9" ht="15.6">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6">
      <c r="A8" s="3176" t="str">
        <f>结果表!A122</f>
        <v>房地产抵押价值</v>
      </c>
      <c r="B8" s="3176"/>
      <c r="C8" s="3176"/>
      <c r="D8" s="3176" t="e">
        <f ca="1">结果表!D122</f>
        <v>#REF!</v>
      </c>
      <c r="E8" s="3176"/>
      <c r="F8" s="3176"/>
      <c r="G8" s="3176"/>
      <c r="H8" s="3176"/>
      <c r="I8" s="3176"/>
    </row>
    <row r="9" spans="1:9" ht="15">
      <c r="A9" s="3177" t="s">
        <v>927</v>
      </c>
      <c r="B9" s="3177"/>
      <c r="C9" s="3177"/>
      <c r="D9" s="3177" t="e">
        <f ca="1">结果表!D123</f>
        <v>#REF!</v>
      </c>
      <c r="E9" s="3177"/>
      <c r="F9" s="3177"/>
      <c r="G9" s="3177"/>
      <c r="H9" s="3177"/>
      <c r="I9" s="3177"/>
    </row>
    <row r="10" spans="1:9" ht="15.6">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6">
      <c r="A12" s="3176" t="str">
        <f>结果表!A126</f>
        <v/>
      </c>
      <c r="B12" s="3176"/>
      <c r="C12" s="3176"/>
      <c r="D12" s="3176" t="str">
        <f>结果表!D126</f>
        <v>——</v>
      </c>
      <c r="E12" s="3176"/>
      <c r="F12" s="3176"/>
      <c r="G12" s="3176"/>
      <c r="H12" s="3176"/>
      <c r="I12" s="3176"/>
    </row>
    <row r="13" spans="1:9" ht="15.6" thickBot="1">
      <c r="A13" s="3174" t="s">
        <v>927</v>
      </c>
      <c r="B13" s="3174"/>
      <c r="C13" s="3174"/>
      <c r="D13" s="3174" t="e">
        <f>结果表!D127</f>
        <v>#VALUE!</v>
      </c>
      <c r="E13" s="3174"/>
      <c r="F13" s="3174"/>
      <c r="G13" s="3174"/>
      <c r="H13" s="3174"/>
      <c r="I13" s="3174"/>
    </row>
    <row r="14" spans="1:9" ht="14.4" thickTop="1">
      <c r="A14" s="3175" t="s">
        <v>932</v>
      </c>
      <c r="B14" s="3175"/>
      <c r="C14" s="3175"/>
      <c r="D14" s="3175"/>
      <c r="E14" s="3175"/>
      <c r="F14" s="3175"/>
      <c r="G14" s="3175"/>
      <c r="H14" s="3175"/>
      <c r="I14" s="317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0" t="s">
        <v>939</v>
      </c>
      <c r="B6" s="3190"/>
      <c r="C6" s="3190"/>
      <c r="D6" s="319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1"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7" t="s">
        <v>956</v>
      </c>
      <c r="B15" s="3192" t="s">
        <v>109</v>
      </c>
      <c r="C15" s="3193"/>
    </row>
    <row r="16" spans="1:7" ht="14.4">
      <c r="A16" s="3198"/>
      <c r="B16" s="3192" t="s">
        <v>42</v>
      </c>
      <c r="C16" s="3193"/>
    </row>
    <row r="17" spans="1:3" ht="14.4">
      <c r="A17" s="3198"/>
      <c r="B17" s="3195" t="s">
        <v>957</v>
      </c>
      <c r="C17" s="1429" t="s">
        <v>956</v>
      </c>
    </row>
    <row r="18" spans="1:3" ht="14.4">
      <c r="A18" s="3198"/>
      <c r="B18" s="3195"/>
      <c r="C18" s="1429" t="s">
        <v>958</v>
      </c>
    </row>
    <row r="19" spans="1:3" ht="14.4">
      <c r="A19" s="3198"/>
      <c r="B19" s="3195"/>
      <c r="C19" s="1429" t="s">
        <v>959</v>
      </c>
    </row>
    <row r="20" spans="1:3" ht="14.4">
      <c r="A20" s="3199"/>
      <c r="B20" s="3194" t="s">
        <v>960</v>
      </c>
      <c r="C20" s="3193"/>
    </row>
    <row r="21" spans="1:3" ht="14.4">
      <c r="A21" s="1430" t="s">
        <v>961</v>
      </c>
      <c r="B21" s="1431"/>
      <c r="C21" s="1432"/>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9" t="s">
        <v>967</v>
      </c>
    </row>
    <row r="26" spans="1:3" ht="14.4">
      <c r="A26" s="3196"/>
      <c r="B26" s="3195"/>
      <c r="C26" s="1429" t="s">
        <v>968</v>
      </c>
    </row>
    <row r="27" spans="1:3" ht="14.4">
      <c r="A27" s="3196"/>
      <c r="B27" s="3195"/>
      <c r="C27" s="1429" t="s">
        <v>969</v>
      </c>
    </row>
    <row r="28" spans="1:3" ht="14.4">
      <c r="A28" s="3196"/>
      <c r="B28" s="3195"/>
      <c r="C28" s="1429" t="s">
        <v>970</v>
      </c>
    </row>
    <row r="29" spans="1:3" ht="14.4">
      <c r="A29" s="3196"/>
      <c r="B29" s="3195"/>
      <c r="C29" s="1429" t="s">
        <v>971</v>
      </c>
    </row>
    <row r="30" spans="1:3" ht="14.4">
      <c r="A30" s="3196"/>
      <c r="B30" s="3195"/>
      <c r="C30" s="1429" t="s">
        <v>972</v>
      </c>
    </row>
    <row r="31" spans="1:3" ht="14.4">
      <c r="A31" s="3196"/>
      <c r="B31" s="3195"/>
      <c r="C31" s="1429" t="s">
        <v>973</v>
      </c>
    </row>
    <row r="32" spans="1:3" ht="14.4">
      <c r="A32" s="3196"/>
      <c r="B32" s="3195"/>
      <c r="C32" s="1429" t="s">
        <v>974</v>
      </c>
    </row>
    <row r="33" spans="1:3" ht="14.4">
      <c r="A33" s="3196"/>
      <c r="B33" s="319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系统读取表</vt:lpstr>
      <vt:lpstr>正评截图</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2025-05-27T06:44:53Z</dcterms:modified>
</cp:coreProperties>
</file>