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4520" windowHeight="14085" tabRatio="875" firstSheet="19" activeTab="3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车库" sheetId="70" r:id="rId30"/>
    <sheet name="不动产收益法-商业" sheetId="15" r:id="rId31"/>
    <sheet name="酒店收入计算" sheetId="57" state="hidden" r:id="rId32"/>
    <sheet name="成本逼近法" sheetId="11" state="hidden" r:id="rId33"/>
    <sheet name="不动产比较法-洋房" sheetId="69" r:id="rId34"/>
    <sheet name="不动产比较法-高层"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Sheet1" sheetId="71"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4" hidden="1">'不动产比较法-高层'!$A$1:$L$49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4">'不动产比较法-高层'!$A$1:$K$54,'不动产比较法-高层'!$A$57:$M$131</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3">'不动产比较法-洋房'!$A$1:$K$54,'不动产比较法-洋房'!$A$57:$M$131</definedName>
    <definedName name="_xlnm.Print_Area" localSheetId="29">'不动产收益法-车库'!$A$1:$F$43,'不动产收益法-车库'!$H$3:$M$29,'不动产收益法-车库'!$A$46:$F$70,'不动产收益法-车库'!$I$46:$M$60</definedName>
    <definedName name="_xlnm.Print_Area" localSheetId="30">'不动产收益法-商业'!$A$1:$F$43,'不动产收益法-商业'!$H$3:$M$29,'不动产收益法-商业'!$A$46:$F$70,'不动产收益法-商业'!$I$46:$M$60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'不动产比较法-洋房'!$B$88:$M$88</definedName>
    <definedName name="住宅朝向">'不动产比较法-高层'!$B$88:$M$88</definedName>
    <definedName name="住宅房型" localSheetId="33">'不动产比较法-洋房'!$B$118:$M$118</definedName>
    <definedName name="住宅房型">'不动产比较法-高层'!$B$118:$M$118</definedName>
    <definedName name="住宅公共部分装修" localSheetId="33">'不动产比较法-洋房'!$B$109:$M$109</definedName>
    <definedName name="住宅公共部分装修">'不动产比较法-高层'!$B$109:$M$109</definedName>
    <definedName name="住宅基础设施水平" localSheetId="33">'不动产比较法-洋房'!$B$116:$M$116</definedName>
    <definedName name="住宅基础设施水平">'不动产比较法-高层'!$B$116:$M$116</definedName>
    <definedName name="住宅建筑结构" localSheetId="33">'不动产比较法-洋房'!$B$105:$M$105</definedName>
    <definedName name="住宅建筑结构">'不动产比较法-高层'!$B$105:$M$105</definedName>
    <definedName name="住宅建筑类型" localSheetId="33">'不动产比较法-洋房'!$B$100:$M$100</definedName>
    <definedName name="住宅建筑类型">'不动产比较法-高层'!$B$100:$M$100</definedName>
    <definedName name="住宅建筑品质" localSheetId="33">'不动产比较法-洋房'!$B$107:$M$107</definedName>
    <definedName name="住宅建筑品质">'不动产比较法-高层'!$B$107:$M$107</definedName>
    <definedName name="住宅交易情况" localSheetId="33">'不动产比较法-洋房'!$A$61:$M$61</definedName>
    <definedName name="住宅交易情况">'不动产比较法-高层'!$A$61:$M$61</definedName>
    <definedName name="住宅楼层" localSheetId="33">'不动产比较法-洋房'!$B$86:$M$86</definedName>
    <definedName name="住宅楼层">'不动产比较法-高层'!$B$86:$M$86</definedName>
    <definedName name="住宅内部装修" localSheetId="33">'不动产比较法-洋房'!$B$122:$M$122</definedName>
    <definedName name="住宅内部装修">'不动产比较法-高层'!$B$122:$M$122</definedName>
    <definedName name="住宅物业管理" localSheetId="33">'不动产比较法-洋房'!$B$114:$M$114</definedName>
    <definedName name="住宅物业管理">'不动产比较法-高层'!$B$114:$M$114</definedName>
    <definedName name="住宅用途" localSheetId="33">'不动产比较法-洋房'!$B$63:$M$63</definedName>
    <definedName name="住宅用途">'不动产比较法-高层'!$B$63:$M$63</definedName>
    <definedName name="住宅主力户型面积" localSheetId="33">'不动产比较法-洋房'!$B$120:$M$120</definedName>
    <definedName name="住宅主力户型面积">'不动产比较法-高层'!$B$120:$M$120</definedName>
    <definedName name="注册房地产估价师">估价师及机构信息!$A$3:$A$16</definedName>
  </definedNames>
  <calcPr calcId="144525" iterate="1"/>
</workbook>
</file>

<file path=xl/calcChain.xml><?xml version="1.0" encoding="utf-8"?>
<calcChain xmlns="http://schemas.openxmlformats.org/spreadsheetml/2006/main">
  <c r="G17" i="4" l="1"/>
  <c r="Q73" i="70" l="1"/>
  <c r="Q60" i="70"/>
  <c r="D60" i="70"/>
  <c r="Q59" i="70"/>
  <c r="K59" i="70"/>
  <c r="P75" i="70" s="1"/>
  <c r="F58" i="70"/>
  <c r="Q52" i="70"/>
  <c r="J50" i="70"/>
  <c r="M47" i="70"/>
  <c r="F33" i="70"/>
  <c r="F60" i="70" s="1"/>
  <c r="F32" i="70"/>
  <c r="F59" i="70" s="1"/>
  <c r="F31" i="70"/>
  <c r="F28" i="70"/>
  <c r="F23" i="70"/>
  <c r="D24" i="70" s="1"/>
  <c r="F21" i="70"/>
  <c r="F20" i="70"/>
  <c r="M19" i="70"/>
  <c r="M18" i="70"/>
  <c r="F18" i="70"/>
  <c r="M17" i="70"/>
  <c r="F17" i="70"/>
  <c r="F15" i="70"/>
  <c r="G1" i="70"/>
  <c r="C145" i="69"/>
  <c r="J142" i="69"/>
  <c r="J140" i="69"/>
  <c r="K145" i="69" s="1"/>
  <c r="K139" i="69"/>
  <c r="K143" i="69" s="1"/>
  <c r="B130" i="69"/>
  <c r="B128" i="69"/>
  <c r="B126" i="69"/>
  <c r="E125" i="69"/>
  <c r="F125" i="69" s="1"/>
  <c r="G125" i="69" s="1"/>
  <c r="D125" i="69"/>
  <c r="E123" i="69"/>
  <c r="F123" i="69" s="1"/>
  <c r="G123" i="69" s="1"/>
  <c r="H123" i="69" s="1"/>
  <c r="I123" i="69" s="1"/>
  <c r="J123" i="69" s="1"/>
  <c r="K123" i="69" s="1"/>
  <c r="L123" i="69" s="1"/>
  <c r="M123" i="69" s="1"/>
  <c r="D123" i="69"/>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D104" i="69"/>
  <c r="E104" i="69" s="1"/>
  <c r="F104" i="69" s="1"/>
  <c r="G104" i="69" s="1"/>
  <c r="H104" i="69" s="1"/>
  <c r="D103" i="69"/>
  <c r="E103" i="69" s="1"/>
  <c r="M102" i="69"/>
  <c r="L102" i="69"/>
  <c r="K102" i="69"/>
  <c r="J102" i="69"/>
  <c r="I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K48" i="69"/>
  <c r="V47" i="69"/>
  <c r="T47" i="69"/>
  <c r="R47" i="69"/>
  <c r="P47" i="69"/>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E33" i="69"/>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E24" i="69"/>
  <c r="C24" i="69"/>
  <c r="Q23" i="69"/>
  <c r="Z23" i="69" s="1"/>
  <c r="J23" i="69"/>
  <c r="AC23" i="69" s="1"/>
  <c r="H23" i="69"/>
  <c r="AB23" i="69" s="1"/>
  <c r="F23" i="69"/>
  <c r="AA23" i="69" s="1"/>
  <c r="C23" i="69"/>
  <c r="E22" i="69"/>
  <c r="C22" i="69"/>
  <c r="Q21" i="69"/>
  <c r="Z21" i="69" s="1"/>
  <c r="J21" i="69"/>
  <c r="AC21" i="69" s="1"/>
  <c r="H21" i="69"/>
  <c r="AB21" i="69" s="1"/>
  <c r="F21" i="69"/>
  <c r="AA21" i="69" s="1"/>
  <c r="C21" i="69"/>
  <c r="C20" i="69"/>
  <c r="J19" i="69" s="1"/>
  <c r="Q19" i="69"/>
  <c r="Z19" i="69" s="1"/>
  <c r="H19" i="69"/>
  <c r="AB19" i="69" s="1"/>
  <c r="C19" i="69"/>
  <c r="E18" i="69"/>
  <c r="C18" i="69"/>
  <c r="J17" i="69" s="1"/>
  <c r="Q17" i="69"/>
  <c r="Z17" i="69" s="1"/>
  <c r="H17" i="69"/>
  <c r="AB17" i="69" s="1"/>
  <c r="C17" i="69"/>
  <c r="C16" i="69"/>
  <c r="Q15" i="69"/>
  <c r="Z15" i="69" s="1"/>
  <c r="J15" i="69"/>
  <c r="AC15" i="69" s="1"/>
  <c r="H15" i="69"/>
  <c r="AB15" i="69" s="1"/>
  <c r="F15" i="69"/>
  <c r="AA15" i="69" s="1"/>
  <c r="C15" i="69"/>
  <c r="Q14" i="69"/>
  <c r="Z14" i="69" s="1"/>
  <c r="J14" i="69"/>
  <c r="AC14" i="69" s="1"/>
  <c r="H14" i="69"/>
  <c r="AB14" i="69" s="1"/>
  <c r="F14" i="69"/>
  <c r="AA14" i="69" s="1"/>
  <c r="Q13" i="69"/>
  <c r="Z13" i="69" s="1"/>
  <c r="J13" i="69"/>
  <c r="AC13" i="69" s="1"/>
  <c r="H13" i="69"/>
  <c r="AB13" i="69" s="1"/>
  <c r="F13" i="69"/>
  <c r="AA13" i="69" s="1"/>
  <c r="AC12" i="69"/>
  <c r="W12" i="69"/>
  <c r="Q12" i="69"/>
  <c r="Z12" i="69" s="1"/>
  <c r="J12" i="69"/>
  <c r="H12" i="69"/>
  <c r="AB12" i="69" s="1"/>
  <c r="F12" i="69"/>
  <c r="AA12" i="69" s="1"/>
  <c r="Q11" i="69"/>
  <c r="Z11" i="69" s="1"/>
  <c r="Q10" i="69"/>
  <c r="Z10" i="69" s="1"/>
  <c r="J10" i="69"/>
  <c r="AC10" i="69" s="1"/>
  <c r="H10" i="69"/>
  <c r="AB10" i="69" s="1"/>
  <c r="F10" i="69"/>
  <c r="AA10" i="69" s="1"/>
  <c r="Q9" i="69"/>
  <c r="Z9" i="69" s="1"/>
  <c r="J9" i="69"/>
  <c r="AC9" i="69" s="1"/>
  <c r="H9" i="69"/>
  <c r="AB9" i="69" s="1"/>
  <c r="F9" i="69"/>
  <c r="AA9" i="69" s="1"/>
  <c r="W8" i="69"/>
  <c r="S8" i="69"/>
  <c r="J8" i="69"/>
  <c r="AC8" i="69" s="1"/>
  <c r="H8" i="69"/>
  <c r="U8" i="69" s="1"/>
  <c r="F8" i="69"/>
  <c r="AA8" i="69" s="1"/>
  <c r="I6" i="69"/>
  <c r="G6" i="69"/>
  <c r="E6" i="69"/>
  <c r="C6" i="69"/>
  <c r="C5" i="69"/>
  <c r="D3" i="69"/>
  <c r="E104" i="21"/>
  <c r="F104" i="21" s="1"/>
  <c r="G104" i="21" s="1"/>
  <c r="H104" i="21" s="1"/>
  <c r="D104" i="21"/>
  <c r="I6" i="21"/>
  <c r="G6" i="21"/>
  <c r="F9" i="70"/>
  <c r="F7" i="70"/>
  <c r="F8" i="70"/>
  <c r="D22" i="70" l="1"/>
  <c r="D23" i="70"/>
  <c r="F49" i="70"/>
  <c r="M7" i="70"/>
  <c r="F50" i="70"/>
  <c r="C48" i="70" s="1"/>
  <c r="P62" i="70"/>
  <c r="S9" i="69"/>
  <c r="U10" i="69"/>
  <c r="S14" i="69"/>
  <c r="AC19" i="69"/>
  <c r="W19" i="69"/>
  <c r="AB8" i="69"/>
  <c r="W9" i="69"/>
  <c r="S12" i="69"/>
  <c r="U13" i="69"/>
  <c r="W14" i="69"/>
  <c r="AC17" i="69"/>
  <c r="W17" i="69"/>
  <c r="S15" i="69"/>
  <c r="W15" i="69"/>
  <c r="U17" i="69"/>
  <c r="U25" i="69"/>
  <c r="U27" i="69"/>
  <c r="S28" i="69"/>
  <c r="W28" i="69"/>
  <c r="U29" i="69"/>
  <c r="S30" i="69"/>
  <c r="W30" i="69"/>
  <c r="U31" i="69"/>
  <c r="S32" i="69"/>
  <c r="W32" i="69"/>
  <c r="S34" i="69"/>
  <c r="W34" i="69"/>
  <c r="U35" i="69"/>
  <c r="S36" i="69"/>
  <c r="W36" i="69"/>
  <c r="U37" i="69"/>
  <c r="S38" i="69"/>
  <c r="W38" i="69"/>
  <c r="U39" i="69"/>
  <c r="S40" i="69"/>
  <c r="W40" i="69"/>
  <c r="U41" i="69"/>
  <c r="S42" i="69"/>
  <c r="W42" i="69"/>
  <c r="U43" i="69"/>
  <c r="S44" i="69"/>
  <c r="W44" i="69"/>
  <c r="U45" i="69"/>
  <c r="S46" i="69"/>
  <c r="W46" i="69"/>
  <c r="F103" i="69"/>
  <c r="E102" i="69" s="1"/>
  <c r="D102" i="69"/>
  <c r="U19" i="69"/>
  <c r="S21" i="69"/>
  <c r="W21" i="69"/>
  <c r="S23" i="69"/>
  <c r="W23" i="69"/>
  <c r="S26" i="69"/>
  <c r="W26" i="69"/>
  <c r="U9" i="69"/>
  <c r="S10" i="69"/>
  <c r="W10" i="69"/>
  <c r="U12" i="69"/>
  <c r="S13" i="69"/>
  <c r="W13" i="69"/>
  <c r="U14" i="69"/>
  <c r="U15" i="69"/>
  <c r="F17" i="69"/>
  <c r="F19" i="69"/>
  <c r="U21" i="69"/>
  <c r="U23" i="69"/>
  <c r="S25" i="69"/>
  <c r="W25" i="69"/>
  <c r="U26" i="69"/>
  <c r="S27" i="69"/>
  <c r="W27" i="69"/>
  <c r="U28" i="69"/>
  <c r="S29" i="69"/>
  <c r="W29" i="69"/>
  <c r="U30" i="69"/>
  <c r="S31" i="69"/>
  <c r="W31" i="69"/>
  <c r="U32" i="69"/>
  <c r="U34" i="69"/>
  <c r="S35" i="69"/>
  <c r="W35" i="69"/>
  <c r="U36" i="69"/>
  <c r="S37" i="69"/>
  <c r="W37" i="69"/>
  <c r="U38" i="69"/>
  <c r="S39" i="69"/>
  <c r="W39" i="69"/>
  <c r="U40" i="69"/>
  <c r="S41" i="69"/>
  <c r="W41" i="69"/>
  <c r="H42" i="69"/>
  <c r="S43" i="69"/>
  <c r="W43" i="69"/>
  <c r="U44" i="69"/>
  <c r="S45" i="69"/>
  <c r="W45" i="69"/>
  <c r="U46" i="69"/>
  <c r="K141" i="69"/>
  <c r="K144" i="69"/>
  <c r="E103" i="21"/>
  <c r="F103" i="21" s="1"/>
  <c r="G103" i="21" s="1"/>
  <c r="H103" i="21" s="1"/>
  <c r="D103" i="21"/>
  <c r="E18" i="21"/>
  <c r="E22" i="21"/>
  <c r="E24" i="21"/>
  <c r="E33" i="21"/>
  <c r="E6" i="21"/>
  <c r="C24" i="21"/>
  <c r="C22" i="21"/>
  <c r="C20" i="21"/>
  <c r="C18" i="21"/>
  <c r="C16" i="21"/>
  <c r="C6" i="21"/>
  <c r="C5" i="21"/>
  <c r="E73" i="39"/>
  <c r="F73" i="39"/>
  <c r="G73" i="39" s="1"/>
  <c r="H73" i="39" s="1"/>
  <c r="I73" i="39" s="1"/>
  <c r="J73" i="39" s="1"/>
  <c r="K73" i="39" s="1"/>
  <c r="L73" i="39" s="1"/>
  <c r="M73" i="39" s="1"/>
  <c r="N73" i="39" s="1"/>
  <c r="D73" i="39"/>
  <c r="I40" i="39"/>
  <c r="G40" i="39"/>
  <c r="E40" i="39"/>
  <c r="E120" i="39"/>
  <c r="F120" i="39" s="1"/>
  <c r="G120" i="39" s="1"/>
  <c r="H120" i="39" s="1"/>
  <c r="D120" i="39"/>
  <c r="E119" i="39"/>
  <c r="F119" i="39" s="1"/>
  <c r="G119" i="39" s="1"/>
  <c r="H119" i="39" s="1"/>
  <c r="D119" i="39"/>
  <c r="C40" i="39"/>
  <c r="I9" i="39"/>
  <c r="G9" i="39"/>
  <c r="E9" i="39"/>
  <c r="I7" i="39"/>
  <c r="G7" i="39"/>
  <c r="E7" i="39"/>
  <c r="I48" i="39"/>
  <c r="G48" i="39"/>
  <c r="E48" i="39"/>
  <c r="M22" i="70"/>
  <c r="F13" i="70"/>
  <c r="M26" i="70"/>
  <c r="M23" i="70"/>
  <c r="M27" i="70"/>
  <c r="J36" i="70"/>
  <c r="F26" i="70"/>
  <c r="F40" i="70"/>
  <c r="M9" i="70"/>
  <c r="F37" i="70"/>
  <c r="M6" i="70"/>
  <c r="J15" i="70"/>
  <c r="M24" i="70"/>
  <c r="M8" i="70"/>
  <c r="M28" i="70"/>
  <c r="F16" i="70"/>
  <c r="F6" i="70"/>
  <c r="F36" i="70"/>
  <c r="F42" i="70"/>
  <c r="F38" i="70"/>
  <c r="F63" i="70" l="1"/>
  <c r="F67" i="70"/>
  <c r="F64" i="70"/>
  <c r="J6" i="70"/>
  <c r="F65" i="70"/>
  <c r="Q72" i="70"/>
  <c r="C27" i="70"/>
  <c r="C6" i="70"/>
  <c r="AA19" i="69"/>
  <c r="S19" i="69"/>
  <c r="AB42" i="69"/>
  <c r="U42" i="69"/>
  <c r="AA17" i="69"/>
  <c r="S17" i="69"/>
  <c r="G103" i="69"/>
  <c r="F102" i="69" s="1"/>
  <c r="L8" i="1"/>
  <c r="L9" i="1"/>
  <c r="L14" i="1"/>
  <c r="G22" i="6"/>
  <c r="F21" i="6"/>
  <c r="F20" i="6"/>
  <c r="A39" i="3"/>
  <c r="AF37" i="3"/>
  <c r="AD36" i="3"/>
  <c r="AD33" i="3"/>
  <c r="C106" i="9"/>
  <c r="G102" i="69" l="1"/>
  <c r="H103" i="69"/>
  <c r="D3" i="4"/>
  <c r="H102" i="69" l="1"/>
  <c r="AH5" i="59"/>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P75" i="15"/>
  <c r="Q74" i="44"/>
  <c r="Q61" i="44"/>
  <c r="Q60" i="44"/>
  <c r="Q53" i="44"/>
  <c r="J51" i="44"/>
  <c r="J52" i="44"/>
  <c r="M48" i="44"/>
  <c r="A16" i="55"/>
  <c r="A15" i="55"/>
  <c r="B66" i="63" s="1"/>
  <c r="A14" i="55"/>
  <c r="A10" i="55"/>
  <c r="B61" i="63"/>
  <c r="A9" i="55"/>
  <c r="B60" i="63"/>
  <c r="A8" i="55"/>
  <c r="A6" i="54"/>
  <c r="A8" i="54"/>
  <c r="A7" i="54"/>
  <c r="B51" i="63" s="1"/>
  <c r="A28" i="51"/>
  <c r="A27" i="51"/>
  <c r="B20" i="63" s="1"/>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s="1"/>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L16" i="4" s="1"/>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Q21" i="21"/>
  <c r="Z21" i="21" s="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s="1"/>
  <c r="F19" i="4"/>
  <c r="E19" i="4"/>
  <c r="F8" i="1" s="1"/>
  <c r="F7" i="1"/>
  <c r="G7" i="1" s="1"/>
  <c r="B2" i="52"/>
  <c r="I2" i="46"/>
  <c r="N12" i="46"/>
  <c r="A7" i="46"/>
  <c r="F41" i="4"/>
  <c r="J52" i="40" s="1"/>
  <c r="H61" i="49"/>
  <c r="H39" i="46"/>
  <c r="H38" i="46"/>
  <c r="H37" i="46"/>
  <c r="H36" i="46"/>
  <c r="H35" i="46"/>
  <c r="H34" i="46"/>
  <c r="H33" i="46"/>
  <c r="J20" i="46"/>
  <c r="C18" i="46"/>
  <c r="F15" i="46"/>
  <c r="E15" i="46"/>
  <c r="D15" i="46"/>
  <c r="C15" i="46"/>
  <c r="C10" i="46"/>
  <c r="C11" i="46"/>
  <c r="C9" i="4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s="1"/>
  <c r="Q47" i="39"/>
  <c r="Z47" i="39"/>
  <c r="Q40" i="39"/>
  <c r="Z40" i="39"/>
  <c r="Q38" i="39"/>
  <c r="Z38" i="39" s="1"/>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c r="D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F19" i="6" s="1"/>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AB36"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J14" i="21"/>
  <c r="F14" i="21"/>
  <c r="AA14" i="21" s="1"/>
  <c r="H14" i="21"/>
  <c r="U14" i="21" s="1"/>
  <c r="H28" i="21"/>
  <c r="AB28" i="2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C30" i="21"/>
  <c r="AB30" i="21"/>
  <c r="S28" i="21"/>
  <c r="AA28" i="21"/>
  <c r="AB14" i="21"/>
  <c r="W14" i="21"/>
  <c r="AC14" i="21"/>
  <c r="W31" i="34"/>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J32" i="21"/>
  <c r="AC32" i="21" s="1"/>
  <c r="G13" i="3"/>
  <c r="AC5" i="3"/>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48" i="3"/>
  <c r="AZ56" i="3"/>
  <c r="AZ63" i="3"/>
  <c r="AZ71" i="3"/>
  <c r="AZ79" i="3"/>
  <c r="AZ91" i="3"/>
  <c r="AZ99" i="3"/>
  <c r="AZ107" i="3"/>
  <c r="AZ112" i="3"/>
  <c r="J13" i="40"/>
  <c r="W13" i="40"/>
  <c r="AB14" i="40"/>
  <c r="W40" i="40"/>
  <c r="F34" i="44"/>
  <c r="F66" i="9"/>
  <c r="P72" i="9" s="1"/>
  <c r="F72" i="9"/>
  <c r="AC14" i="40"/>
  <c r="W35" i="40"/>
  <c r="S33" i="40"/>
  <c r="AB32" i="40"/>
  <c r="AC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A33"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B7" i="1"/>
  <c r="E7" i="1" s="1"/>
  <c r="K7" i="1"/>
  <c r="M7" i="1" s="1"/>
  <c r="C20" i="43"/>
  <c r="F6" i="1"/>
  <c r="AP6" i="1" s="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AA37" i="21"/>
  <c r="W28" i="21"/>
  <c r="AC26" i="21"/>
  <c r="F15" i="21"/>
  <c r="S15" i="21" s="1"/>
  <c r="J15" i="21"/>
  <c r="W15" i="21" s="1"/>
  <c r="H15" i="21"/>
  <c r="U15" i="21" s="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AB15" i="39"/>
  <c r="U11" i="39"/>
  <c r="U41" i="39"/>
  <c r="U23" i="39"/>
  <c r="AB38" i="39"/>
  <c r="U31" i="39"/>
  <c r="AB31" i="39"/>
  <c r="S38" i="39"/>
  <c r="S22" i="31"/>
  <c r="M20" i="15"/>
  <c r="F28" i="15"/>
  <c r="A18" i="64"/>
  <c r="B74" i="63"/>
  <c r="C53" i="10"/>
  <c r="A25" i="64" s="1"/>
  <c r="A18" i="51"/>
  <c r="B14" i="63" s="1"/>
  <c r="BA16" i="3"/>
  <c r="BA17" i="3"/>
  <c r="AZ17" i="3" s="1"/>
  <c r="F3" i="35"/>
  <c r="K1" i="43"/>
  <c r="K1" i="12"/>
  <c r="G1" i="44"/>
  <c r="BK5" i="3"/>
  <c r="BO5" i="3"/>
  <c r="BP5" i="3"/>
  <c r="BL18" i="3"/>
  <c r="BD5" i="3"/>
  <c r="BR5" i="3"/>
  <c r="G28" i="6" s="1"/>
  <c r="BS5" i="3"/>
  <c r="BQ5" i="3"/>
  <c r="F28" i="6" s="1"/>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C20" i="46" s="1"/>
  <c r="B6" i="63"/>
  <c r="L5" i="54"/>
  <c r="B39" i="63"/>
  <c r="K5" i="54"/>
  <c r="B38" i="63" s="1"/>
  <c r="T41" i="4"/>
  <c r="A17" i="64"/>
  <c r="B46" i="50"/>
  <c r="B4" i="63" s="1"/>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M52" i="37" s="1"/>
  <c r="N52" i="37" s="1"/>
  <c r="O19" i="46"/>
  <c r="H86" i="46"/>
  <c r="H82" i="46"/>
  <c r="H10" i="48"/>
  <c r="H87" i="46"/>
  <c r="H85" i="46"/>
  <c r="H83" i="46"/>
  <c r="K10" i="1"/>
  <c r="M10" i="1" s="1"/>
  <c r="O10" i="1" s="1"/>
  <c r="P10" i="1" s="1"/>
  <c r="S11" i="1"/>
  <c r="R11" i="1"/>
  <c r="S13" i="1"/>
  <c r="R13" i="1"/>
  <c r="B6" i="1"/>
  <c r="E6" i="1" s="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A25" i="21"/>
  <c r="AC37" i="21"/>
  <c r="AA29" i="21"/>
  <c r="U27" i="21"/>
  <c r="W31" i="21"/>
  <c r="W29" i="21"/>
  <c r="G96" i="40"/>
  <c r="J27" i="40"/>
  <c r="W37" i="40"/>
  <c r="S17" i="40"/>
  <c r="W30" i="40"/>
  <c r="S34" i="40"/>
  <c r="U17" i="40"/>
  <c r="U38" i="40"/>
  <c r="S40" i="40"/>
  <c r="S42" i="40"/>
  <c r="J31" i="39"/>
  <c r="W31" i="39" s="1"/>
  <c r="S45" i="39"/>
  <c r="AB43" i="39"/>
  <c r="AC46" i="39"/>
  <c r="S34" i="39"/>
  <c r="W42" i="39"/>
  <c r="W36" i="39"/>
  <c r="AC37" i="39"/>
  <c r="U14" i="39"/>
  <c r="S15" i="39"/>
  <c r="W45" i="39"/>
  <c r="S41"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3" i="3"/>
  <c r="AZ16" i="3"/>
  <c r="A9" i="64"/>
  <c r="A9" i="51"/>
  <c r="B9" i="63" s="1"/>
  <c r="A3" i="55"/>
  <c r="B56" i="63"/>
  <c r="G66" i="36"/>
  <c r="J18" i="36"/>
  <c r="AE7" i="1"/>
  <c r="AE6" i="1"/>
  <c r="W18" i="36"/>
  <c r="AC18" i="36"/>
  <c r="AG6" i="1"/>
  <c r="L20" i="6"/>
  <c r="L19" i="6"/>
  <c r="C45" i="9"/>
  <c r="H14" i="66" s="1"/>
  <c r="B7" i="66" s="1"/>
  <c r="K31" i="9"/>
  <c r="K32" i="9" s="1"/>
  <c r="N76" i="9"/>
  <c r="C72" i="39"/>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H1" i="65"/>
  <c r="H51" i="46"/>
  <c r="X7" i="46"/>
  <c r="E17" i="46"/>
  <c r="N17" i="46"/>
  <c r="O17" i="46"/>
  <c r="M17" i="46"/>
  <c r="L17" i="46"/>
  <c r="AP7" i="1"/>
  <c r="G13" i="1"/>
  <c r="D46" i="36"/>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C13" i="59"/>
  <c r="C12" i="59"/>
  <c r="T12" i="59"/>
  <c r="B13" i="59"/>
  <c r="B12" i="59"/>
  <c r="S12" i="59"/>
  <c r="D13" i="59"/>
  <c r="V12" i="59"/>
  <c r="D12" i="59"/>
  <c r="E46" i="36"/>
  <c r="C7" i="46"/>
  <c r="D11" i="59"/>
  <c r="D10" i="59"/>
  <c r="G20" i="46"/>
  <c r="E41" i="46"/>
  <c r="C41" i="46"/>
  <c r="F46" i="36"/>
  <c r="G46" i="36"/>
  <c r="H46" i="36" s="1"/>
  <c r="M11" i="44"/>
  <c r="E11" i="67"/>
  <c r="F8" i="15"/>
  <c r="J17" i="44"/>
  <c r="F39" i="44"/>
  <c r="B13" i="67"/>
  <c r="F7" i="15"/>
  <c r="I4" i="65"/>
  <c r="F36" i="15"/>
  <c r="M29" i="44"/>
  <c r="J3" i="65"/>
  <c r="F43" i="15"/>
  <c r="F9" i="15"/>
  <c r="N5" i="65"/>
  <c r="B11" i="67"/>
  <c r="M31" i="44"/>
  <c r="M26" i="15"/>
  <c r="E8" i="67"/>
  <c r="M10" i="44"/>
  <c r="M29" i="70"/>
  <c r="I5" i="65"/>
  <c r="F43" i="44"/>
  <c r="F11" i="44"/>
  <c r="F38" i="44"/>
  <c r="J7" i="65"/>
  <c r="J6" i="65"/>
  <c r="L48" i="15"/>
  <c r="M29" i="15"/>
  <c r="M8" i="44"/>
  <c r="B8" i="67"/>
  <c r="F9" i="67"/>
  <c r="F45" i="44"/>
  <c r="N6" i="65"/>
  <c r="M25" i="44"/>
  <c r="F13" i="15"/>
  <c r="F13" i="67"/>
  <c r="F40" i="15"/>
  <c r="F26" i="15"/>
  <c r="M23" i="15"/>
  <c r="F14" i="67"/>
  <c r="F28" i="44"/>
  <c r="I7" i="65"/>
  <c r="L48" i="70"/>
  <c r="N4" i="65"/>
  <c r="J15" i="15"/>
  <c r="L47" i="70"/>
  <c r="M9" i="15"/>
  <c r="F10" i="67"/>
  <c r="F9" i="44"/>
  <c r="N7" i="65"/>
  <c r="F6" i="15"/>
  <c r="E10" i="67"/>
  <c r="M28" i="15"/>
  <c r="F37" i="15"/>
  <c r="F46" i="44"/>
  <c r="F42" i="15"/>
  <c r="F8" i="44"/>
  <c r="F12" i="67"/>
  <c r="J36" i="15"/>
  <c r="M24" i="44"/>
  <c r="F10" i="44"/>
  <c r="J4" i="65"/>
  <c r="N3" i="65"/>
  <c r="E14" i="67"/>
  <c r="I6" i="65"/>
  <c r="M26" i="44"/>
  <c r="M28" i="44"/>
  <c r="L48" i="44"/>
  <c r="F11" i="67"/>
  <c r="C19" i="44"/>
  <c r="F18" i="44"/>
  <c r="E12" i="67"/>
  <c r="L47" i="15"/>
  <c r="B9" i="67"/>
  <c r="E9" i="67"/>
  <c r="M22" i="15"/>
  <c r="M23" i="44"/>
  <c r="B14" i="67"/>
  <c r="F40" i="44"/>
  <c r="I3" i="65"/>
  <c r="F16" i="15"/>
  <c r="F38" i="15"/>
  <c r="M8" i="15"/>
  <c r="M6" i="15"/>
  <c r="L49" i="44"/>
  <c r="M30" i="44"/>
  <c r="M27" i="15"/>
  <c r="F15" i="44"/>
  <c r="J5" i="65"/>
  <c r="E13" i="67"/>
  <c r="F8" i="67"/>
  <c r="B10" i="67"/>
  <c r="B12" i="67"/>
  <c r="F37" i="44"/>
  <c r="F43" i="70"/>
  <c r="M24" i="15"/>
  <c r="E70" i="39" l="1"/>
  <c r="D72" i="39"/>
  <c r="AP8" i="1"/>
  <c r="G8" i="1"/>
  <c r="A25" i="51"/>
  <c r="B18" i="63" s="1"/>
  <c r="C42" i="1"/>
  <c r="C7" i="69"/>
  <c r="C58" i="69" s="1"/>
  <c r="J51" i="70"/>
  <c r="J51" i="15"/>
  <c r="G10" i="1"/>
  <c r="L57" i="70"/>
  <c r="J53" i="70"/>
  <c r="J59" i="70"/>
  <c r="I54" i="70"/>
  <c r="L56" i="70"/>
  <c r="L60" i="70"/>
  <c r="J60" i="70"/>
  <c r="Q49" i="70" s="1"/>
  <c r="J57" i="70"/>
  <c r="J55" i="70" s="1"/>
  <c r="J58" i="70" s="1"/>
  <c r="Q51" i="70" s="1"/>
  <c r="L46" i="70"/>
  <c r="L59" i="70"/>
  <c r="L58" i="70"/>
  <c r="AP9" i="1"/>
  <c r="BL35" i="3"/>
  <c r="AZ35" i="3" s="1"/>
  <c r="I7" i="6"/>
  <c r="F70" i="70"/>
  <c r="E19" i="6"/>
  <c r="M9" i="1"/>
  <c r="F34" i="70"/>
  <c r="M20" i="70"/>
  <c r="C18" i="9"/>
  <c r="M43" i="9" s="1"/>
  <c r="F32" i="21"/>
  <c r="A30" i="64"/>
  <c r="A30" i="51"/>
  <c r="B22" i="63" s="1"/>
  <c r="C5" i="46"/>
  <c r="D5" i="46"/>
  <c r="AB15" i="21"/>
  <c r="F79" i="21"/>
  <c r="G79" i="21" s="1"/>
  <c r="F17" i="21"/>
  <c r="S17" i="21" s="1"/>
  <c r="J17" i="21"/>
  <c r="H17" i="21"/>
  <c r="AB17" i="21" s="1"/>
  <c r="AC15" i="21"/>
  <c r="AB37" i="21"/>
  <c r="AA40" i="21"/>
  <c r="AB31" i="21"/>
  <c r="H42" i="21"/>
  <c r="AB42" i="21" s="1"/>
  <c r="J42" i="21"/>
  <c r="AC42" i="21" s="1"/>
  <c r="F42" i="21"/>
  <c r="AA42" i="21" s="1"/>
  <c r="G123" i="21"/>
  <c r="H123" i="21" s="1"/>
  <c r="I123" i="21" s="1"/>
  <c r="J123" i="21" s="1"/>
  <c r="K123" i="21" s="1"/>
  <c r="L123" i="21" s="1"/>
  <c r="M123" i="21" s="1"/>
  <c r="U38" i="21"/>
  <c r="F85" i="21"/>
  <c r="G85" i="21" s="1"/>
  <c r="J23" i="21"/>
  <c r="F23" i="21"/>
  <c r="S23" i="21" s="1"/>
  <c r="H23" i="21"/>
  <c r="F69" i="21"/>
  <c r="AA15" i="21"/>
  <c r="AC38" i="21"/>
  <c r="AC34" i="21"/>
  <c r="AC35" i="21"/>
  <c r="AB45" i="21"/>
  <c r="AC46" i="21"/>
  <c r="U43" i="21"/>
  <c r="S45" i="21"/>
  <c r="U46" i="21"/>
  <c r="U42" i="21"/>
  <c r="U39" i="21"/>
  <c r="W32" i="21"/>
  <c r="AC40" i="21"/>
  <c r="U40" i="21"/>
  <c r="S42" i="21"/>
  <c r="AA38" i="21"/>
  <c r="AA36" i="21"/>
  <c r="U35" i="21"/>
  <c r="S35" i="21"/>
  <c r="AB32" i="21"/>
  <c r="AC27" i="21"/>
  <c r="S27" i="21"/>
  <c r="W25" i="21"/>
  <c r="AB25" i="21"/>
  <c r="AA23" i="21"/>
  <c r="S21" i="21"/>
  <c r="AC19" i="21"/>
  <c r="U19" i="21"/>
  <c r="AA17" i="21"/>
  <c r="U17" i="21"/>
  <c r="W10" i="21"/>
  <c r="AB10" i="21"/>
  <c r="S9" i="21"/>
  <c r="AA9" i="21"/>
  <c r="W9" i="21"/>
  <c r="H9" i="21"/>
  <c r="F91" i="39"/>
  <c r="G91" i="39" s="1"/>
  <c r="J17" i="39"/>
  <c r="W17" i="39" s="1"/>
  <c r="F17" i="39"/>
  <c r="AA17" i="39" s="1"/>
  <c r="S29" i="39"/>
  <c r="AB29" i="39"/>
  <c r="W29" i="39"/>
  <c r="H27" i="39"/>
  <c r="AB27" i="39" s="1"/>
  <c r="F101" i="39"/>
  <c r="G101" i="39" s="1"/>
  <c r="F27" i="39"/>
  <c r="AA27" i="39" s="1"/>
  <c r="J27" i="39"/>
  <c r="AC27" i="39" s="1"/>
  <c r="U27" i="39"/>
  <c r="W27" i="39"/>
  <c r="S27" i="39"/>
  <c r="H25" i="39"/>
  <c r="U25" i="39" s="1"/>
  <c r="F25" i="39"/>
  <c r="AA25" i="39" s="1"/>
  <c r="F99" i="39"/>
  <c r="G99" i="39" s="1"/>
  <c r="J25" i="39"/>
  <c r="AB25" i="39"/>
  <c r="S25" i="39"/>
  <c r="W23" i="39"/>
  <c r="S23" i="39"/>
  <c r="F19" i="39"/>
  <c r="J19" i="39"/>
  <c r="W19" i="39" s="1"/>
  <c r="F93" i="39"/>
  <c r="G93" i="39" s="1"/>
  <c r="H19" i="39"/>
  <c r="U19" i="39" s="1"/>
  <c r="AC19" i="39"/>
  <c r="U21" i="39"/>
  <c r="AB19" i="39"/>
  <c r="H17" i="39"/>
  <c r="U17" i="39" s="1"/>
  <c r="AC17" i="39"/>
  <c r="S17" i="39"/>
  <c r="S31" i="39"/>
  <c r="AC31" i="39"/>
  <c r="AB33" i="39"/>
  <c r="W33" i="39"/>
  <c r="W34" i="39"/>
  <c r="U34" i="39"/>
  <c r="AC44" i="39"/>
  <c r="W41" i="39"/>
  <c r="AC43" i="39"/>
  <c r="AA44" i="39"/>
  <c r="W16" i="39"/>
  <c r="S14" i="39"/>
  <c r="W14" i="39"/>
  <c r="U47" i="39"/>
  <c r="S47" i="39"/>
  <c r="M18" i="15"/>
  <c r="D96" i="9"/>
  <c r="F31" i="43"/>
  <c r="D86" i="9"/>
  <c r="F29" i="12"/>
  <c r="F32" i="15"/>
  <c r="F59" i="15" s="1"/>
  <c r="F71" i="9"/>
  <c r="D23" i="15"/>
  <c r="G36" i="3"/>
  <c r="BA33" i="3"/>
  <c r="AZ33" i="3" s="1"/>
  <c r="BA28" i="3"/>
  <c r="AZ28" i="3" s="1"/>
  <c r="BA32" i="3"/>
  <c r="BL25" i="3"/>
  <c r="BN5" i="3"/>
  <c r="G29" i="6" s="1"/>
  <c r="BL34" i="3"/>
  <c r="BL5" i="3" s="1"/>
  <c r="BL38" i="3"/>
  <c r="AZ38" i="3" s="1"/>
  <c r="BL40" i="3"/>
  <c r="AZ40" i="3" s="1"/>
  <c r="BL22" i="3"/>
  <c r="G23" i="3"/>
  <c r="G5" i="3" s="1"/>
  <c r="B3" i="3" s="1"/>
  <c r="BL24" i="3"/>
  <c r="AZ24" i="3" s="1"/>
  <c r="G25" i="3"/>
  <c r="BL26" i="3"/>
  <c r="BL30" i="3"/>
  <c r="AZ31" i="3"/>
  <c r="BL39" i="3"/>
  <c r="AZ39" i="3" s="1"/>
  <c r="F29" i="6"/>
  <c r="E29" i="6"/>
  <c r="K15" i="1" s="1"/>
  <c r="G33" i="3"/>
  <c r="L27" i="6"/>
  <c r="BL32" i="3"/>
  <c r="G21" i="3"/>
  <c r="G22" i="3"/>
  <c r="G24" i="3"/>
  <c r="G27" i="3"/>
  <c r="G29" i="3"/>
  <c r="AZ32" i="3"/>
  <c r="AZ34" i="3"/>
  <c r="BA23" i="3"/>
  <c r="BA21" i="3"/>
  <c r="BA22" i="3"/>
  <c r="BA24" i="3"/>
  <c r="BA25" i="3"/>
  <c r="AZ25" i="3" s="1"/>
  <c r="BA30" i="3"/>
  <c r="AZ30" i="3" s="1"/>
  <c r="AZ15" i="3"/>
  <c r="AZ27" i="3"/>
  <c r="BA18" i="3"/>
  <c r="BC5" i="3"/>
  <c r="E8" i="6" s="1"/>
  <c r="AZ23" i="3"/>
  <c r="I4" i="6"/>
  <c r="AZ18" i="3"/>
  <c r="AZ21" i="3"/>
  <c r="BA5" i="3"/>
  <c r="AZ22" i="3"/>
  <c r="AZ26" i="3"/>
  <c r="AZ36" i="3"/>
  <c r="F30" i="6"/>
  <c r="O7" i="1"/>
  <c r="P7" i="1" s="1"/>
  <c r="O11" i="1"/>
  <c r="P11" i="1" s="1"/>
  <c r="O12" i="1"/>
  <c r="P12" i="1" s="1"/>
  <c r="G30" i="6"/>
  <c r="G31" i="6" s="1"/>
  <c r="E28" i="6"/>
  <c r="O9" i="1"/>
  <c r="P9" i="1" s="1"/>
  <c r="E13" i="6"/>
  <c r="O13" i="1"/>
  <c r="P13" i="1" s="1"/>
  <c r="G6" i="1"/>
  <c r="G9" i="1"/>
  <c r="G12" i="1"/>
  <c r="K17" i="4"/>
  <c r="A22" i="51" s="1"/>
  <c r="B16" i="63" s="1"/>
  <c r="O40" i="9"/>
  <c r="R7" i="54" s="1"/>
  <c r="B52" i="63" s="1"/>
  <c r="O52" i="37"/>
  <c r="F7" i="37"/>
  <c r="J7" i="37"/>
  <c r="H7" i="37"/>
  <c r="H7" i="35"/>
  <c r="M48" i="35"/>
  <c r="N48" i="35" s="1"/>
  <c r="O48" i="35" s="1"/>
  <c r="F7" i="35"/>
  <c r="I46" i="36"/>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J7" i="21"/>
  <c r="F7" i="21"/>
  <c r="F7" i="34"/>
  <c r="D59" i="34"/>
  <c r="E59" i="34" s="1"/>
  <c r="F59" i="34" s="1"/>
  <c r="G59" i="34" s="1"/>
  <c r="H59" i="34" s="1"/>
  <c r="I59" i="34" s="1"/>
  <c r="J59" i="34" s="1"/>
  <c r="K59" i="34" s="1"/>
  <c r="L59" i="34" s="1"/>
  <c r="M59" i="34" s="1"/>
  <c r="N59" i="34" s="1"/>
  <c r="O59" i="34" s="1"/>
  <c r="J7" i="34"/>
  <c r="D65" i="40"/>
  <c r="C67" i="40"/>
  <c r="C95" i="9"/>
  <c r="C92" i="9" s="1"/>
  <c r="C30" i="44"/>
  <c r="C27" i="43"/>
  <c r="C28" i="15"/>
  <c r="C25" i="12"/>
  <c r="C31" i="43"/>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70"/>
  <c r="C16" i="15"/>
  <c r="C18" i="44"/>
  <c r="E2" i="65"/>
  <c r="E3" i="65"/>
  <c r="D18" i="9" l="1"/>
  <c r="M44" i="9" s="1"/>
  <c r="C28" i="70"/>
  <c r="C32" i="70"/>
  <c r="C33" i="70"/>
  <c r="J18" i="70"/>
  <c r="H7" i="21"/>
  <c r="U7" i="21" s="1"/>
  <c r="F7" i="33"/>
  <c r="D58" i="69"/>
  <c r="E58" i="69" s="1"/>
  <c r="F58" i="69" s="1"/>
  <c r="G58" i="69" s="1"/>
  <c r="H58" i="69" s="1"/>
  <c r="I58" i="69" s="1"/>
  <c r="J58" i="69" s="1"/>
  <c r="K58" i="69" s="1"/>
  <c r="L58" i="69" s="1"/>
  <c r="M58" i="69" s="1"/>
  <c r="N58" i="69" s="1"/>
  <c r="O58" i="69" s="1"/>
  <c r="F7" i="69"/>
  <c r="J7" i="69"/>
  <c r="H7" i="69"/>
  <c r="E72" i="39"/>
  <c r="F70" i="39"/>
  <c r="Q75" i="70"/>
  <c r="Q62" i="70"/>
  <c r="Q58" i="70"/>
  <c r="Q67" i="70"/>
  <c r="F1" i="70"/>
  <c r="Q53" i="70"/>
  <c r="Q74" i="70"/>
  <c r="Q61" i="70"/>
  <c r="C13" i="39"/>
  <c r="G3" i="46"/>
  <c r="E11" i="6"/>
  <c r="C9" i="12"/>
  <c r="K6" i="1"/>
  <c r="D3" i="21"/>
  <c r="G16" i="1"/>
  <c r="F12" i="39" s="1"/>
  <c r="S12" i="39" s="1"/>
  <c r="F61" i="70"/>
  <c r="AA32" i="21"/>
  <c r="S32" i="21"/>
  <c r="F11" i="70"/>
  <c r="M11" i="70"/>
  <c r="J10" i="70" s="1"/>
  <c r="J5" i="70" s="1"/>
  <c r="AC17" i="21"/>
  <c r="W17" i="21"/>
  <c r="W42" i="21"/>
  <c r="U23" i="21"/>
  <c r="AB23" i="21"/>
  <c r="W23" i="21"/>
  <c r="AC23" i="21"/>
  <c r="G69" i="21"/>
  <c r="H69" i="21" s="1"/>
  <c r="I69" i="21" s="1"/>
  <c r="J69" i="21" s="1"/>
  <c r="K69" i="21" s="1"/>
  <c r="L69" i="21" s="1"/>
  <c r="M69" i="21" s="1"/>
  <c r="U9" i="21"/>
  <c r="AB9" i="21"/>
  <c r="AC25" i="39"/>
  <c r="W25" i="39"/>
  <c r="S19" i="39"/>
  <c r="AA19" i="39"/>
  <c r="AB17" i="39"/>
  <c r="E87" i="3"/>
  <c r="AV41" i="3"/>
  <c r="E15" i="6"/>
  <c r="E12" i="6"/>
  <c r="E10" i="6"/>
  <c r="E14" i="6"/>
  <c r="E5" i="6"/>
  <c r="D12" i="11" s="1"/>
  <c r="C12" i="11" s="1"/>
  <c r="E149" i="3"/>
  <c r="E60" i="3"/>
  <c r="E225" i="3"/>
  <c r="E48" i="3"/>
  <c r="I3" i="6"/>
  <c r="E59" i="3"/>
  <c r="E78" i="3"/>
  <c r="E84" i="3"/>
  <c r="E455" i="3"/>
  <c r="E178" i="3"/>
  <c r="E292" i="3"/>
  <c r="E549" i="3"/>
  <c r="E209" i="3"/>
  <c r="E297" i="3"/>
  <c r="E296" i="3"/>
  <c r="E443" i="3"/>
  <c r="E400" i="3"/>
  <c r="E351" i="3"/>
  <c r="AH6" i="3"/>
  <c r="E438" i="3"/>
  <c r="J6" i="3"/>
  <c r="E75" i="3"/>
  <c r="E426" i="3"/>
  <c r="E463" i="3"/>
  <c r="E460" i="3"/>
  <c r="E249" i="3"/>
  <c r="E450" i="3"/>
  <c r="E464" i="3"/>
  <c r="AN6" i="3"/>
  <c r="E199" i="3"/>
  <c r="E187" i="3"/>
  <c r="E390" i="3"/>
  <c r="E194" i="3"/>
  <c r="E405" i="3"/>
  <c r="E477" i="3"/>
  <c r="P6" i="3"/>
  <c r="AP6" i="3"/>
  <c r="E289" i="3"/>
  <c r="AE6" i="3"/>
  <c r="E97" i="3"/>
  <c r="E500" i="3"/>
  <c r="E119" i="3"/>
  <c r="Q6" i="3"/>
  <c r="E33" i="3"/>
  <c r="E447" i="3"/>
  <c r="E547" i="3"/>
  <c r="E32" i="3"/>
  <c r="E274" i="3"/>
  <c r="E170" i="3"/>
  <c r="E201" i="3"/>
  <c r="E89" i="3"/>
  <c r="E295" i="3"/>
  <c r="E492" i="3"/>
  <c r="E161" i="3"/>
  <c r="E157" i="3"/>
  <c r="E270" i="3"/>
  <c r="E280" i="3"/>
  <c r="E395" i="3"/>
  <c r="E54" i="3"/>
  <c r="E537" i="3"/>
  <c r="E253" i="3"/>
  <c r="E472" i="3"/>
  <c r="E158" i="3"/>
  <c r="E337" i="3"/>
  <c r="AM6" i="3"/>
  <c r="E265" i="3"/>
  <c r="E283" i="3"/>
  <c r="E61" i="3"/>
  <c r="E417" i="3"/>
  <c r="E521" i="3"/>
  <c r="E197" i="3"/>
  <c r="E279" i="3"/>
  <c r="E203" i="3"/>
  <c r="E452" i="3"/>
  <c r="E435" i="3"/>
  <c r="E251" i="3"/>
  <c r="AO6" i="3"/>
  <c r="E172" i="3"/>
  <c r="E37" i="3"/>
  <c r="E38" i="3"/>
  <c r="E102" i="3"/>
  <c r="E538" i="3"/>
  <c r="E485" i="3"/>
  <c r="E155" i="3"/>
  <c r="E539" i="3"/>
  <c r="E425" i="3"/>
  <c r="E216" i="3"/>
  <c r="E91" i="3"/>
  <c r="E541" i="3"/>
  <c r="E461" i="3"/>
  <c r="E532" i="3"/>
  <c r="E122" i="3"/>
  <c r="E307" i="3"/>
  <c r="E529" i="3"/>
  <c r="E43" i="3"/>
  <c r="N6" i="3"/>
  <c r="E431" i="3"/>
  <c r="E313" i="3"/>
  <c r="E533" i="3"/>
  <c r="E303" i="3"/>
  <c r="E402" i="3"/>
  <c r="E255" i="3"/>
  <c r="E145" i="3"/>
  <c r="E347" i="3"/>
  <c r="E58" i="3"/>
  <c r="E285" i="3"/>
  <c r="E535" i="3"/>
  <c r="E156" i="3"/>
  <c r="E381" i="3"/>
  <c r="E49" i="3"/>
  <c r="E427" i="3"/>
  <c r="E193" i="3"/>
  <c r="E278" i="3"/>
  <c r="E104" i="3"/>
  <c r="E94" i="3"/>
  <c r="E534" i="3"/>
  <c r="E376" i="3"/>
  <c r="E387" i="3"/>
  <c r="E294" i="3"/>
  <c r="R6" i="3"/>
  <c r="E21" i="3"/>
  <c r="E125" i="3"/>
  <c r="E64"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410" i="3"/>
  <c r="E142" i="3"/>
  <c r="E343" i="3"/>
  <c r="E140" i="3"/>
  <c r="E235" i="3"/>
  <c r="E162" i="3"/>
  <c r="AQ6" i="3"/>
  <c r="E453" i="3"/>
  <c r="E517" i="3"/>
  <c r="E220" i="3"/>
  <c r="E480" i="3"/>
  <c r="E88" i="3"/>
  <c r="E393" i="3"/>
  <c r="E288" i="3"/>
  <c r="E107" i="3"/>
  <c r="E39" i="3"/>
  <c r="E275" i="3"/>
  <c r="E507" i="3"/>
  <c r="E189" i="3"/>
  <c r="W6" i="3"/>
  <c r="E53" i="3"/>
  <c r="E151" i="3"/>
  <c r="E70" i="3"/>
  <c r="E536" i="3"/>
  <c r="E545" i="3"/>
  <c r="E85" i="3"/>
  <c r="E258" i="3"/>
  <c r="E370" i="3"/>
  <c r="AI6" i="3"/>
  <c r="E379" i="3"/>
  <c r="E217" i="3"/>
  <c r="E15" i="3"/>
  <c r="E56" i="3"/>
  <c r="E208" i="3"/>
  <c r="E483" i="3"/>
  <c r="E340" i="3"/>
  <c r="E130" i="3"/>
  <c r="E328" i="3"/>
  <c r="E346" i="3"/>
  <c r="E557" i="3"/>
  <c r="E421" i="3"/>
  <c r="E491" i="3"/>
  <c r="E248" i="3"/>
  <c r="E487" i="3"/>
  <c r="E66" i="3"/>
  <c r="E301" i="3"/>
  <c r="E246" i="3"/>
  <c r="E174" i="3"/>
  <c r="E556" i="3"/>
  <c r="E513" i="3"/>
  <c r="E29" i="3"/>
  <c r="E325" i="3"/>
  <c r="E132" i="3"/>
  <c r="E475" i="3"/>
  <c r="E13" i="3"/>
  <c r="E523" i="3"/>
  <c r="E544" i="3"/>
  <c r="E252" i="3"/>
  <c r="E519" i="3"/>
  <c r="E138" i="3"/>
  <c r="E352" i="3"/>
  <c r="E496" i="3"/>
  <c r="E350" i="3"/>
  <c r="E330" i="3"/>
  <c r="E366" i="3"/>
  <c r="E335" i="3"/>
  <c r="E344" i="3"/>
  <c r="E495" i="3"/>
  <c r="E531" i="3"/>
  <c r="E354" i="3"/>
  <c r="E171" i="3"/>
  <c r="E474" i="3"/>
  <c r="E177" i="3"/>
  <c r="E403" i="3"/>
  <c r="E530" i="3"/>
  <c r="E300" i="3"/>
  <c r="E433" i="3"/>
  <c r="E540" i="3"/>
  <c r="E526" i="3"/>
  <c r="E276" i="3"/>
  <c r="E479" i="3"/>
  <c r="E25" i="3"/>
  <c r="E332" i="3"/>
  <c r="E136" i="3"/>
  <c r="E482" i="3"/>
  <c r="E462" i="3"/>
  <c r="E213" i="3"/>
  <c r="E397" i="3"/>
  <c r="E468" i="3"/>
  <c r="E109" i="3"/>
  <c r="E185" i="3"/>
  <c r="E148" i="3"/>
  <c r="E27" i="3"/>
  <c r="E412" i="3"/>
  <c r="E469"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561" i="3"/>
  <c r="E23" i="3"/>
  <c r="E396" i="3"/>
  <c r="E319" i="3"/>
  <c r="E256" i="3"/>
  <c r="E458" i="3"/>
  <c r="E72" i="3"/>
  <c r="AR6" i="3"/>
  <c r="E527" i="3"/>
  <c r="E139" i="3"/>
  <c r="E398" i="3"/>
  <c r="E490" i="3"/>
  <c r="E242" i="3"/>
  <c r="E106" i="3"/>
  <c r="E504" i="3"/>
  <c r="E298" i="3"/>
  <c r="E277" i="3"/>
  <c r="E568" i="3"/>
  <c r="E356" i="3"/>
  <c r="E244" i="3"/>
  <c r="E368" i="3"/>
  <c r="E226" i="3"/>
  <c r="E90" i="3"/>
  <c r="E188" i="3"/>
  <c r="E207" i="3"/>
  <c r="E184" i="3"/>
  <c r="E110" i="3"/>
  <c r="E98" i="3"/>
  <c r="E113" i="3"/>
  <c r="E257" i="3"/>
  <c r="E445" i="3"/>
  <c r="E291" i="3"/>
  <c r="E365" i="3"/>
  <c r="E336" i="3"/>
  <c r="E65" i="3"/>
  <c r="E345" i="3"/>
  <c r="E239" i="3"/>
  <c r="E234" i="3"/>
  <c r="E128" i="3"/>
  <c r="E176" i="3"/>
  <c r="E554" i="3"/>
  <c r="E525" i="3"/>
  <c r="E489" i="3"/>
  <c r="E286" i="3"/>
  <c r="E183" i="3"/>
  <c r="E320" i="3"/>
  <c r="E115" i="3"/>
  <c r="E333" i="3"/>
  <c r="E206" i="3"/>
  <c r="E241" i="3"/>
  <c r="M6" i="3"/>
  <c r="E413" i="3"/>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260" i="3"/>
  <c r="E436" i="3"/>
  <c r="E173" i="3"/>
  <c r="E558" i="3"/>
  <c r="E499" i="3"/>
  <c r="E355" i="3"/>
  <c r="E555" i="3"/>
  <c r="E191" i="3"/>
  <c r="E120" i="3"/>
  <c r="E229" i="3"/>
  <c r="E134" i="3"/>
  <c r="E308" i="3"/>
  <c r="E386" i="3"/>
  <c r="E180" i="3"/>
  <c r="E385" i="3"/>
  <c r="E210" i="3"/>
  <c r="E169" i="3"/>
  <c r="E163" i="3"/>
  <c r="AL6" i="3"/>
  <c r="E510" i="3"/>
  <c r="E406" i="3"/>
  <c r="E137" i="3"/>
  <c r="E484" i="3"/>
  <c r="E259" i="3"/>
  <c r="E508" i="3"/>
  <c r="E22" i="3"/>
  <c r="E377" i="3"/>
  <c r="E159" i="3"/>
  <c r="E95" i="3"/>
  <c r="E108" i="3"/>
  <c r="E24" i="3"/>
  <c r="E160" i="3"/>
  <c r="E204" i="3"/>
  <c r="E47" i="3"/>
  <c r="E481" i="3"/>
  <c r="E326" i="3"/>
  <c r="E382" i="3"/>
  <c r="E240" i="3"/>
  <c r="E71" i="3"/>
  <c r="E488" i="3"/>
  <c r="E227" i="3"/>
  <c r="E516" i="3"/>
  <c r="E572" i="3"/>
  <c r="E522" i="3"/>
  <c r="E342" i="3"/>
  <c r="E364" i="3"/>
  <c r="E378" i="3"/>
  <c r="E118" i="3"/>
  <c r="E14" i="3"/>
  <c r="E339" i="3"/>
  <c r="E153" i="3"/>
  <c r="E432" i="3"/>
  <c r="E16" i="3"/>
  <c r="E551" i="3"/>
  <c r="E306" i="3"/>
  <c r="E287" i="3"/>
  <c r="E302" i="3"/>
  <c r="E96" i="3"/>
  <c r="E196" i="3"/>
  <c r="O6" i="3"/>
  <c r="E232" i="3"/>
  <c r="E423" i="3"/>
  <c r="E442" i="3"/>
  <c r="E63" i="3"/>
  <c r="E129" i="3"/>
  <c r="E422" i="3"/>
  <c r="E363" i="3"/>
  <c r="E79" i="3"/>
  <c r="E401" i="3"/>
  <c r="E272" i="3"/>
  <c r="E52" i="3"/>
  <c r="E451" i="3"/>
  <c r="U6" i="3"/>
  <c r="E305" i="3"/>
  <c r="E73" i="3"/>
  <c r="E126" i="3"/>
  <c r="E211" i="3"/>
  <c r="Y6" i="3"/>
  <c r="E466" i="3"/>
  <c r="E51" i="3"/>
  <c r="E198" i="3"/>
  <c r="E281" i="3"/>
  <c r="E290" i="3"/>
  <c r="E440" i="3"/>
  <c r="AF6" i="3"/>
  <c r="E331" i="3"/>
  <c r="E40" i="3"/>
  <c r="E362" i="3"/>
  <c r="E559" i="3"/>
  <c r="E150" i="3"/>
  <c r="E228" i="3"/>
  <c r="E314" i="3"/>
  <c r="E324" i="3"/>
  <c r="E502" i="3"/>
  <c r="E334" i="3"/>
  <c r="E456" i="3"/>
  <c r="E353" i="3"/>
  <c r="E569" i="3"/>
  <c r="E50" i="3"/>
  <c r="AJ6" i="3"/>
  <c r="E236" i="3"/>
  <c r="E546" i="3"/>
  <c r="K6" i="3"/>
  <c r="E46" i="3"/>
  <c r="E437" i="3"/>
  <c r="E152" i="3"/>
  <c r="E446" i="3"/>
  <c r="E69" i="3"/>
  <c r="E498" i="3"/>
  <c r="E315" i="3"/>
  <c r="E384" i="3"/>
  <c r="S6" i="3"/>
  <c r="E20" i="3"/>
  <c r="D21" i="12"/>
  <c r="C21" i="12" s="1"/>
  <c r="E361" i="3"/>
  <c r="E323" i="3"/>
  <c r="E501" i="3"/>
  <c r="E310" i="3"/>
  <c r="AB6" i="3"/>
  <c r="E511" i="3"/>
  <c r="E358" i="3"/>
  <c r="AZ5" i="3"/>
  <c r="E3" i="6" s="1"/>
  <c r="E218" i="3"/>
  <c r="E473" i="3"/>
  <c r="E449" i="3"/>
  <c r="E133" i="3"/>
  <c r="E271" i="3"/>
  <c r="E81" i="3"/>
  <c r="E19" i="3"/>
  <c r="E35" i="3"/>
  <c r="E267" i="3"/>
  <c r="E514" i="3"/>
  <c r="E371" i="3"/>
  <c r="E329" i="3"/>
  <c r="E322" i="3"/>
  <c r="E18" i="3"/>
  <c r="E564" i="3"/>
  <c r="E476" i="3"/>
  <c r="E192" i="3"/>
  <c r="E114" i="3"/>
  <c r="E348" i="3"/>
  <c r="E93" i="3"/>
  <c r="E394" i="3"/>
  <c r="E55"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45" i="3"/>
  <c r="E166" i="3"/>
  <c r="E416" i="3"/>
  <c r="E76" i="3"/>
  <c r="E493" i="3"/>
  <c r="E524" i="3"/>
  <c r="E212" i="3"/>
  <c r="E182" i="3"/>
  <c r="E312" i="3"/>
  <c r="E512" i="3"/>
  <c r="E567" i="3"/>
  <c r="E26" i="3"/>
  <c r="E17" i="3"/>
  <c r="E509" i="3"/>
  <c r="E86" i="3"/>
  <c r="E68" i="3"/>
  <c r="E135" i="3"/>
  <c r="E147" i="3"/>
  <c r="E439" i="3"/>
  <c r="E459" i="3"/>
  <c r="E117"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3" i="40"/>
  <c r="E58" i="39"/>
  <c r="F27" i="6"/>
  <c r="F31" i="6" s="1"/>
  <c r="H12" i="40"/>
  <c r="U12" i="40" s="1"/>
  <c r="E64" i="39"/>
  <c r="E59" i="40"/>
  <c r="E60" i="40"/>
  <c r="E65" i="39"/>
  <c r="E30" i="6"/>
  <c r="K14" i="1"/>
  <c r="E63" i="39"/>
  <c r="E58" i="40"/>
  <c r="E67" i="39"/>
  <c r="E62" i="40"/>
  <c r="E61" i="40"/>
  <c r="E66" i="39"/>
  <c r="D67" i="40"/>
  <c r="E65" i="40"/>
  <c r="H7" i="34"/>
  <c r="AC7" i="21"/>
  <c r="W7" i="21"/>
  <c r="J7" i="33"/>
  <c r="H7" i="33"/>
  <c r="J7" i="35"/>
  <c r="U7" i="37"/>
  <c r="AB7" i="37"/>
  <c r="T42" i="37" s="1"/>
  <c r="G42" i="37" s="1"/>
  <c r="AA7" i="37"/>
  <c r="R42" i="37" s="1"/>
  <c r="S7" i="37"/>
  <c r="W7" i="34"/>
  <c r="AC7" i="34"/>
  <c r="V49" i="34" s="1"/>
  <c r="I49" i="34" s="1"/>
  <c r="S7" i="34"/>
  <c r="AA7" i="34"/>
  <c r="R49" i="34" s="1"/>
  <c r="AA7" i="21"/>
  <c r="S7" i="21"/>
  <c r="AB7" i="21"/>
  <c r="AA7" i="33"/>
  <c r="R48" i="33" s="1"/>
  <c r="S7" i="33"/>
  <c r="J46" i="36"/>
  <c r="K46" i="36" s="1"/>
  <c r="L46" i="36" s="1"/>
  <c r="M46" i="36" s="1"/>
  <c r="N46" i="36" s="1"/>
  <c r="O46" i="36" s="1"/>
  <c r="H7" i="36"/>
  <c r="J7" i="36"/>
  <c r="AA7" i="35"/>
  <c r="R38" i="35" s="1"/>
  <c r="S7" i="35"/>
  <c r="U7" i="35"/>
  <c r="AB7" i="35"/>
  <c r="T38" i="35" s="1"/>
  <c r="G38" i="35" s="1"/>
  <c r="AC7" i="37"/>
  <c r="V42" i="37" s="1"/>
  <c r="I42" i="37" s="1"/>
  <c r="W7" i="37"/>
  <c r="D6" i="59"/>
  <c r="C5" i="59"/>
  <c r="D5" i="59" s="1"/>
  <c r="M19" i="44"/>
  <c r="M20" i="46"/>
  <c r="C19" i="46"/>
  <c r="C34" i="46" s="1"/>
  <c r="B40" i="1"/>
  <c r="F24" i="70"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8" i="1"/>
  <c r="AE9" i="1"/>
  <c r="F72" i="39" l="1"/>
  <c r="G70" i="39"/>
  <c r="U7" i="69"/>
  <c r="AB7" i="69"/>
  <c r="S7" i="69"/>
  <c r="AA7" i="69"/>
  <c r="W7" i="69"/>
  <c r="AC7" i="69"/>
  <c r="H12" i="39"/>
  <c r="U12" i="39" s="1"/>
  <c r="AA12" i="39"/>
  <c r="F12" i="40"/>
  <c r="S12" i="40" s="1"/>
  <c r="J12" i="39"/>
  <c r="AC12" i="39" s="1"/>
  <c r="J12" i="40"/>
  <c r="AC12" i="40" s="1"/>
  <c r="H22" i="46"/>
  <c r="AF11" i="46"/>
  <c r="AF13" i="46" s="1"/>
  <c r="C101" i="46"/>
  <c r="Z7" i="46"/>
  <c r="Z11" i="46"/>
  <c r="Z13" i="46" s="1"/>
  <c r="N101" i="46"/>
  <c r="C23" i="46"/>
  <c r="AA11" i="46"/>
  <c r="AA13" i="46" s="1"/>
  <c r="F22" i="46"/>
  <c r="AD11" i="46"/>
  <c r="AD13" i="46" s="1"/>
  <c r="G22" i="46"/>
  <c r="AI11" i="46"/>
  <c r="AI13" i="46" s="1"/>
  <c r="AG11" i="46"/>
  <c r="AG13" i="46" s="1"/>
  <c r="E101" i="46"/>
  <c r="B113" i="46"/>
  <c r="AJ11" i="46"/>
  <c r="AJ13" i="46" s="1"/>
  <c r="M101" i="46"/>
  <c r="J22" i="46"/>
  <c r="F101" i="46"/>
  <c r="N104" i="45"/>
  <c r="Y11" i="46"/>
  <c r="Y13" i="46" s="1"/>
  <c r="AB11" i="46"/>
  <c r="AB13" i="46" s="1"/>
  <c r="E22" i="46"/>
  <c r="D22" i="46" s="1"/>
  <c r="C21" i="46" s="1"/>
  <c r="J101" i="46"/>
  <c r="I101" i="46"/>
  <c r="AE11" i="46"/>
  <c r="AE13" i="46" s="1"/>
  <c r="AH11" i="46"/>
  <c r="AH13" i="46" s="1"/>
  <c r="K101" i="46"/>
  <c r="L101" i="46"/>
  <c r="G101" i="46"/>
  <c r="AC11" i="46"/>
  <c r="AC13" i="46" s="1"/>
  <c r="D101" i="46"/>
  <c r="H101" i="46"/>
  <c r="F13" i="39"/>
  <c r="H13" i="39"/>
  <c r="J13" i="39"/>
  <c r="C11" i="69"/>
  <c r="C11" i="21"/>
  <c r="C33" i="69"/>
  <c r="C33" i="21"/>
  <c r="M6" i="1"/>
  <c r="AP16" i="1"/>
  <c r="F22" i="11" s="1"/>
  <c r="H16" i="1"/>
  <c r="Q16" i="1"/>
  <c r="C24" i="70"/>
  <c r="J26" i="70"/>
  <c r="J24" i="70"/>
  <c r="C52" i="70"/>
  <c r="C47" i="70" s="1"/>
  <c r="C10" i="70"/>
  <c r="C5" i="70" s="1"/>
  <c r="S2" i="46"/>
  <c r="S4" i="46"/>
  <c r="S7" i="46"/>
  <c r="S6" i="46"/>
  <c r="S5" i="46"/>
  <c r="S3" i="46"/>
  <c r="E16" i="6"/>
  <c r="W12" i="40"/>
  <c r="AB12" i="40"/>
  <c r="AY6" i="3"/>
  <c r="H6" i="3"/>
  <c r="AC6" i="3"/>
  <c r="E27" i="6"/>
  <c r="E31" i="6" s="1"/>
  <c r="AY141" i="3"/>
  <c r="AY308" i="3"/>
  <c r="AY224" i="3"/>
  <c r="AY207" i="3"/>
  <c r="AY365" i="3"/>
  <c r="AY319" i="3"/>
  <c r="AY415" i="3"/>
  <c r="AY447" i="3"/>
  <c r="AY60" i="3"/>
  <c r="BO6" i="3"/>
  <c r="AY164" i="3"/>
  <c r="AY177" i="3"/>
  <c r="AY524" i="3"/>
  <c r="AY300" i="3"/>
  <c r="AY513" i="3"/>
  <c r="AY345" i="3"/>
  <c r="AY119" i="3"/>
  <c r="AY89" i="3"/>
  <c r="AY332" i="3"/>
  <c r="AY51" i="3"/>
  <c r="AY250" i="3"/>
  <c r="AY143" i="3"/>
  <c r="AY111" i="3"/>
  <c r="AY268" i="3"/>
  <c r="AY171" i="3"/>
  <c r="AY413" i="3"/>
  <c r="AY112" i="3"/>
  <c r="AY153" i="3"/>
  <c r="AY240" i="3"/>
  <c r="AY393" i="3"/>
  <c r="AY403" i="3"/>
  <c r="AY391" i="3"/>
  <c r="AY61" i="3"/>
  <c r="AY59" i="3"/>
  <c r="AY473" i="3"/>
  <c r="AY167" i="3"/>
  <c r="AY180" i="3"/>
  <c r="AY292" i="3"/>
  <c r="AY118" i="3"/>
  <c r="AY382" i="3"/>
  <c r="AY374" i="3"/>
  <c r="AY314" i="3"/>
  <c r="AY368" i="3"/>
  <c r="AY367" i="3"/>
  <c r="AY456" i="3"/>
  <c r="AY78" i="3"/>
  <c r="AY506" i="3"/>
  <c r="AY395" i="3"/>
  <c r="AY377" i="3"/>
  <c r="AY499" i="3"/>
  <c r="AY215" i="3"/>
  <c r="AY173" i="3"/>
  <c r="AY33" i="3"/>
  <c r="AY94" i="3"/>
  <c r="AY536" i="3"/>
  <c r="AY517" i="3"/>
  <c r="AY523" i="3"/>
  <c r="D3" i="6"/>
  <c r="AY203" i="3"/>
  <c r="AY83" i="3"/>
  <c r="AY277" i="3"/>
  <c r="AY425" i="3"/>
  <c r="AY286" i="3"/>
  <c r="AY169" i="3"/>
  <c r="AY41" i="3"/>
  <c r="AY504" i="3"/>
  <c r="AY175" i="3"/>
  <c r="AY467" i="3"/>
  <c r="AY139" i="3"/>
  <c r="AY70" i="3"/>
  <c r="BK6" i="3"/>
  <c r="AY256" i="3"/>
  <c r="AY81" i="3"/>
  <c r="AY342" i="3"/>
  <c r="AY279" i="3"/>
  <c r="AY438" i="3"/>
  <c r="AY278" i="3"/>
  <c r="AY336" i="3"/>
  <c r="AY253" i="3"/>
  <c r="AY352" i="3"/>
  <c r="AY35" i="3"/>
  <c r="AY124" i="3"/>
  <c r="AY525" i="3"/>
  <c r="AY21" i="3"/>
  <c r="AY92" i="3"/>
  <c r="AY293" i="3"/>
  <c r="AY386" i="3"/>
  <c r="AY411" i="3"/>
  <c r="AY187" i="3"/>
  <c r="AY271" i="3"/>
  <c r="AY445" i="3"/>
  <c r="AY200" i="3"/>
  <c r="AY335" i="3"/>
  <c r="AY486" i="3"/>
  <c r="AY159" i="3"/>
  <c r="AY47" i="3"/>
  <c r="AY234" i="3"/>
  <c r="AY402" i="3"/>
  <c r="AY343" i="3"/>
  <c r="AY265" i="3"/>
  <c r="AY50" i="3"/>
  <c r="AY346" i="3"/>
  <c r="AY161" i="3"/>
  <c r="AY101" i="3"/>
  <c r="AY305" i="3"/>
  <c r="AY429" i="3"/>
  <c r="AY43" i="3"/>
  <c r="AY501" i="3"/>
  <c r="AY481" i="3"/>
  <c r="AY204" i="3"/>
  <c r="AY216" i="3"/>
  <c r="AY28" i="3"/>
  <c r="AY311" i="3"/>
  <c r="AY25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508" i="3"/>
  <c r="AY121" i="3"/>
  <c r="BE6" i="3"/>
  <c r="AY354" i="3"/>
  <c r="AY521" i="3"/>
  <c r="AY255" i="3"/>
  <c r="AY570" i="3"/>
  <c r="AY165" i="3"/>
  <c r="AY196" i="3"/>
  <c r="BG6" i="3"/>
  <c r="AY261" i="3"/>
  <c r="AY134" i="3"/>
  <c r="AY444" i="3"/>
  <c r="AY312" i="3"/>
  <c r="AY460" i="3"/>
  <c r="AY54" i="3"/>
  <c r="AY451" i="3"/>
  <c r="AY568" i="3"/>
  <c r="AY488" i="3"/>
  <c r="AY566" i="3"/>
  <c r="AY18" i="3"/>
  <c r="AY228" i="3"/>
  <c r="AY423" i="3"/>
  <c r="AY260" i="3"/>
  <c r="BM6" i="3"/>
  <c r="AY252" i="3"/>
  <c r="AY110" i="3"/>
  <c r="AY213" i="3"/>
  <c r="AY547" i="3"/>
  <c r="AY339" i="3"/>
  <c r="AY363" i="3"/>
  <c r="AY495" i="3"/>
  <c r="AY195" i="3"/>
  <c r="AY440" i="3"/>
  <c r="AY71" i="3"/>
  <c r="AY63" i="3"/>
  <c r="AY328" i="3"/>
  <c r="AY351" i="3"/>
  <c r="AY174" i="3"/>
  <c r="AY348" i="3"/>
  <c r="AY269" i="3"/>
  <c r="AY389" i="3"/>
  <c r="AY302" i="3"/>
  <c r="AY122" i="3"/>
  <c r="AY457" i="3"/>
  <c r="BC6" i="3"/>
  <c r="AY543" i="3"/>
  <c r="AY91" i="3"/>
  <c r="AY13" i="3"/>
  <c r="AY274" i="3"/>
  <c r="AY556" i="3"/>
  <c r="AY114" i="3"/>
  <c r="AY38" i="3"/>
  <c r="AY558" i="3"/>
  <c r="AY105" i="3"/>
  <c r="AY317" i="3"/>
  <c r="AY65" i="3"/>
  <c r="AY226" i="3"/>
  <c r="AY340" i="3"/>
  <c r="AY405" i="3"/>
  <c r="AY572" i="3"/>
  <c r="AY103" i="3"/>
  <c r="AY432" i="3"/>
  <c r="AY172"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491" i="3"/>
  <c r="AY482" i="3"/>
  <c r="AY496" i="3"/>
  <c r="AY301" i="3"/>
  <c r="AY426" i="3"/>
  <c r="AY419" i="3"/>
  <c r="AY284" i="3"/>
  <c r="AY353" i="3"/>
  <c r="AY251" i="3"/>
  <c r="AY212" i="3"/>
  <c r="AY532" i="3"/>
  <c r="AY554" i="3"/>
  <c r="AY571" i="3"/>
  <c r="AY502" i="3"/>
  <c r="AY433" i="3"/>
  <c r="AY267" i="3"/>
  <c r="AY235" i="3"/>
  <c r="AY223" i="3"/>
  <c r="AY358" i="3"/>
  <c r="AY480" i="3"/>
  <c r="AY553" i="3"/>
  <c r="BP6" i="3"/>
  <c r="AY565" i="3"/>
  <c r="AY137" i="3"/>
  <c r="AY360" i="3"/>
  <c r="BQ6" i="3"/>
  <c r="AY225" i="3"/>
  <c r="AY249" i="3"/>
  <c r="AY206" i="3"/>
  <c r="AY329" i="3"/>
  <c r="AY96" i="3"/>
  <c r="AY248" i="3"/>
  <c r="AY160" i="3"/>
  <c r="BD6" i="3"/>
  <c r="AY27" i="3"/>
  <c r="AY378" i="3"/>
  <c r="AY156" i="3"/>
  <c r="AY424" i="3"/>
  <c r="AY337" i="3"/>
  <c r="AY117" i="3"/>
  <c r="AY36" i="3"/>
  <c r="AY528" i="3"/>
  <c r="AY188" i="3"/>
  <c r="AY132" i="3"/>
  <c r="AY435" i="3"/>
  <c r="AY310" i="3"/>
  <c r="AY55" i="3"/>
  <c r="AY126" i="3"/>
  <c r="AY80"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72" i="3"/>
  <c r="AY376" i="3"/>
  <c r="AY155" i="3"/>
  <c r="AY450" i="3"/>
  <c r="AY307" i="3"/>
  <c r="AY412" i="3"/>
  <c r="AY201" i="3"/>
  <c r="AY330" i="3"/>
  <c r="AY449" i="3"/>
  <c r="AY191" i="3"/>
  <c r="AY275" i="3"/>
  <c r="AY414" i="3"/>
  <c r="AY304" i="3"/>
  <c r="AY227" i="3"/>
  <c r="AY67" i="3"/>
  <c r="AY31" i="3"/>
  <c r="AY181" i="3"/>
  <c r="AY350" i="3"/>
  <c r="AY400" i="3"/>
  <c r="AY272" i="3"/>
  <c r="AY442" i="3"/>
  <c r="AY99" i="3"/>
  <c r="AY150" i="3"/>
  <c r="AY280"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441" i="3"/>
  <c r="AY474" i="3"/>
  <c r="AY466" i="3"/>
  <c r="AY373" i="3"/>
  <c r="AY243" i="3"/>
  <c r="AY79" i="3"/>
  <c r="AY338" i="3"/>
  <c r="AY296" i="3"/>
  <c r="BB6" i="3"/>
  <c r="AY564" i="3"/>
  <c r="AY539" i="3"/>
  <c r="AY509" i="3"/>
  <c r="AY298" i="3"/>
  <c r="AY455" i="3"/>
  <c r="AY545" i="3"/>
  <c r="AY401" i="3"/>
  <c r="AY190" i="3"/>
  <c r="AY344" i="3"/>
  <c r="AY90" i="3"/>
  <c r="AY199" i="3"/>
  <c r="AY399" i="3"/>
  <c r="AY244" i="3"/>
  <c r="AY485" i="3"/>
  <c r="AY531" i="3"/>
  <c r="AY151" i="3"/>
  <c r="AY184" i="3"/>
  <c r="AY453" i="3"/>
  <c r="AY520" i="3"/>
  <c r="AY131" i="3"/>
  <c r="AY233" i="3"/>
  <c r="AY472" i="3"/>
  <c r="AY145" i="3"/>
  <c r="BL6" i="3"/>
  <c r="BN6" i="3"/>
  <c r="AY193" i="3"/>
  <c r="AY14" i="3"/>
  <c r="AY266" i="3"/>
  <c r="AY120" i="3"/>
  <c r="AY123" i="3"/>
  <c r="AY333" i="3"/>
  <c r="AY516" i="3"/>
  <c r="AY157" i="3"/>
  <c r="AY420" i="3"/>
  <c r="AY230" i="3"/>
  <c r="AY115" i="3"/>
  <c r="AY560" i="3"/>
  <c r="AY209" i="3"/>
  <c r="AY179"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A12" i="40"/>
  <c r="D16" i="43"/>
  <c r="C16" i="43" s="1"/>
  <c r="L38" i="9"/>
  <c r="B14" i="66" s="1"/>
  <c r="B1" i="66" s="1"/>
  <c r="C21" i="4"/>
  <c r="O5" i="54" s="1"/>
  <c r="B45" i="63" s="1"/>
  <c r="E6" i="6"/>
  <c r="D16" i="12"/>
  <c r="D45" i="9"/>
  <c r="M14" i="1"/>
  <c r="K16" i="1"/>
  <c r="I46" i="37"/>
  <c r="J46" i="37" s="1"/>
  <c r="R39" i="35"/>
  <c r="E38" i="35"/>
  <c r="AB7" i="36"/>
  <c r="T36" i="36" s="1"/>
  <c r="G36" i="36" s="1"/>
  <c r="U7" i="36"/>
  <c r="R50" i="34"/>
  <c r="E49" i="34"/>
  <c r="I53" i="34"/>
  <c r="J53" i="34" s="1"/>
  <c r="I54" i="34"/>
  <c r="J54" i="34" s="1"/>
  <c r="R43" i="37"/>
  <c r="E42" i="37"/>
  <c r="U7" i="33"/>
  <c r="AB7" i="33"/>
  <c r="T48" i="33" s="1"/>
  <c r="G48" i="33" s="1"/>
  <c r="AB7" i="34"/>
  <c r="T49" i="34" s="1"/>
  <c r="G49" i="34" s="1"/>
  <c r="U7" i="34"/>
  <c r="G42" i="35"/>
  <c r="H42" i="35" s="1"/>
  <c r="G43" i="35"/>
  <c r="H43" i="35" s="1"/>
  <c r="W7" i="36"/>
  <c r="AC7" i="36"/>
  <c r="V36" i="36" s="1"/>
  <c r="I36" i="36" s="1"/>
  <c r="R49" i="33"/>
  <c r="E48" i="33"/>
  <c r="G46" i="37"/>
  <c r="H46" i="37" s="1"/>
  <c r="G47" i="37"/>
  <c r="H47" i="37" s="1"/>
  <c r="AC7" i="35"/>
  <c r="V38" i="35" s="1"/>
  <c r="I38" i="35" s="1"/>
  <c r="W7" i="35"/>
  <c r="AC7" i="33"/>
  <c r="V48" i="33" s="1"/>
  <c r="I48" i="33" s="1"/>
  <c r="W7" i="33"/>
  <c r="F65" i="40"/>
  <c r="E67" i="40"/>
  <c r="F7" i="36"/>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7" i="46"/>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41" i="70"/>
  <c r="F68" i="15" l="1"/>
  <c r="W12" i="39"/>
  <c r="H70" i="39"/>
  <c r="G72" i="39"/>
  <c r="F68" i="70"/>
  <c r="J29" i="70"/>
  <c r="G33" i="46"/>
  <c r="I33" i="46" s="1"/>
  <c r="E35" i="46"/>
  <c r="E36" i="46"/>
  <c r="AB12" i="39"/>
  <c r="AY416" i="3"/>
  <c r="AY100" i="3"/>
  <c r="AY542" i="3"/>
  <c r="AY408" i="3"/>
  <c r="AY430" i="3"/>
  <c r="AY259" i="3"/>
  <c r="AY29" i="3"/>
  <c r="AY388" i="3"/>
  <c r="AY208" i="3"/>
  <c r="AY483" i="3"/>
  <c r="AY322" i="3"/>
  <c r="AY468" i="3"/>
  <c r="AY469" i="3"/>
  <c r="AY263" i="3"/>
  <c r="AY231" i="3"/>
  <c r="AY19" i="3"/>
  <c r="AY347" i="3"/>
  <c r="AY470" i="3"/>
  <c r="AY533" i="3"/>
  <c r="AY102" i="3"/>
  <c r="AY462" i="3"/>
  <c r="AY58" i="3"/>
  <c r="AY30" i="3"/>
  <c r="AY246" i="3"/>
  <c r="AY229" i="3"/>
  <c r="AY75" i="3"/>
  <c r="AY316" i="3"/>
  <c r="AY370" i="3"/>
  <c r="AY20" i="3"/>
  <c r="AY559" i="3"/>
  <c r="AY281" i="3"/>
  <c r="AY297" i="3"/>
  <c r="AY454" i="3"/>
  <c r="AY48" i="3"/>
  <c r="AY237" i="3"/>
  <c r="AY306" i="3"/>
  <c r="AY541" i="3"/>
  <c r="AY439" i="3"/>
  <c r="AY477" i="3"/>
  <c r="AY452" i="3"/>
  <c r="AY459" i="3"/>
  <c r="AY236" i="3"/>
  <c r="AY85" i="3"/>
  <c r="AY510" i="3"/>
  <c r="AY471" i="3"/>
  <c r="BT6" i="3"/>
  <c r="AY247" i="3"/>
  <c r="AY375" i="3"/>
  <c r="AY475" i="3"/>
  <c r="AY490" i="3"/>
  <c r="AY514" i="3"/>
  <c r="AY507" i="3"/>
  <c r="AY23" i="3"/>
  <c r="AY522" i="3"/>
  <c r="AY551" i="3"/>
  <c r="AY511" i="3"/>
  <c r="BJ6" i="3"/>
  <c r="AY535" i="3"/>
  <c r="BI6" i="3"/>
  <c r="AY37" i="3"/>
  <c r="AY95" i="3"/>
  <c r="AY45" i="3"/>
  <c r="AY384" i="3"/>
  <c r="AY202" i="3"/>
  <c r="AY398" i="3"/>
  <c r="AY82" i="3"/>
  <c r="AY128" i="3"/>
  <c r="AY182" i="3"/>
  <c r="AY264" i="3"/>
  <c r="AY479" i="3"/>
  <c r="AY364" i="3"/>
  <c r="AY238" i="3"/>
  <c r="AY168" i="3"/>
  <c r="AY464" i="3"/>
  <c r="AY295" i="3"/>
  <c r="AY194" i="3"/>
  <c r="AY16" i="3"/>
  <c r="H11" i="69"/>
  <c r="J11" i="69"/>
  <c r="F11" i="69"/>
  <c r="AB13" i="39"/>
  <c r="U13" i="39"/>
  <c r="H106" i="46"/>
  <c r="H102" i="46"/>
  <c r="H103" i="46"/>
  <c r="H105" i="46"/>
  <c r="H107" i="46"/>
  <c r="H104" i="46"/>
  <c r="H109" i="46"/>
  <c r="L103" i="46"/>
  <c r="L107" i="46"/>
  <c r="L109" i="46"/>
  <c r="L102" i="46"/>
  <c r="L106" i="46"/>
  <c r="L104" i="46"/>
  <c r="L105" i="46"/>
  <c r="I105" i="46"/>
  <c r="I104" i="46"/>
  <c r="I109" i="46"/>
  <c r="I107" i="46"/>
  <c r="I103" i="46"/>
  <c r="I106" i="46"/>
  <c r="I102" i="46"/>
  <c r="F103" i="46"/>
  <c r="F106" i="46"/>
  <c r="F105" i="46"/>
  <c r="F104" i="46"/>
  <c r="F109" i="46"/>
  <c r="F107" i="46"/>
  <c r="F102" i="46"/>
  <c r="M104" i="46"/>
  <c r="M102" i="46"/>
  <c r="M105" i="46"/>
  <c r="M103" i="46"/>
  <c r="M109" i="46"/>
  <c r="M107" i="46"/>
  <c r="M106" i="46"/>
  <c r="I115" i="46"/>
  <c r="J115" i="46" s="1"/>
  <c r="K115" i="46" s="1"/>
  <c r="L115" i="46" s="1"/>
  <c r="M115" i="46" s="1"/>
  <c r="I117" i="46"/>
  <c r="J117" i="46" s="1"/>
  <c r="K117" i="46" s="1"/>
  <c r="L117" i="46" s="1"/>
  <c r="M117" i="46" s="1"/>
  <c r="B117" i="46"/>
  <c r="C117" i="46" s="1"/>
  <c r="B116" i="46"/>
  <c r="C116" i="46" s="1"/>
  <c r="I118" i="46"/>
  <c r="J118" i="46" s="1"/>
  <c r="K118" i="46" s="1"/>
  <c r="L118" i="46" s="1"/>
  <c r="M118" i="46" s="1"/>
  <c r="B115" i="46"/>
  <c r="G118" i="46"/>
  <c r="H118" i="46" s="1"/>
  <c r="D115" i="46"/>
  <c r="E115" i="46" s="1"/>
  <c r="F115" i="46" s="1"/>
  <c r="G115" i="46" s="1"/>
  <c r="H115" i="46" s="1"/>
  <c r="I116" i="46"/>
  <c r="J116" i="46" s="1"/>
  <c r="K116" i="46" s="1"/>
  <c r="L116" i="46" s="1"/>
  <c r="M116" i="46" s="1"/>
  <c r="D118" i="46"/>
  <c r="E118" i="46" s="1"/>
  <c r="F118" i="46" s="1"/>
  <c r="D117" i="46"/>
  <c r="E117" i="46" s="1"/>
  <c r="F117" i="46" s="1"/>
  <c r="G117" i="46" s="1"/>
  <c r="H117" i="46" s="1"/>
  <c r="B118" i="46"/>
  <c r="C118" i="46" s="1"/>
  <c r="D116" i="46"/>
  <c r="E116" i="46" s="1"/>
  <c r="F116" i="46" s="1"/>
  <c r="G116" i="46" s="1"/>
  <c r="H116" i="46" s="1"/>
  <c r="J11" i="21"/>
  <c r="H11" i="21"/>
  <c r="F11" i="21"/>
  <c r="AC13" i="39"/>
  <c r="W13" i="39"/>
  <c r="S13" i="39"/>
  <c r="AA13" i="39"/>
  <c r="D107" i="46"/>
  <c r="D106" i="46"/>
  <c r="D105" i="46"/>
  <c r="D103" i="46"/>
  <c r="D102" i="46"/>
  <c r="D109" i="46"/>
  <c r="D104" i="46"/>
  <c r="G105" i="46"/>
  <c r="G109" i="46"/>
  <c r="G107" i="46"/>
  <c r="G104" i="46"/>
  <c r="G102" i="46"/>
  <c r="G106" i="46"/>
  <c r="G103" i="46"/>
  <c r="K102" i="46"/>
  <c r="K109" i="46"/>
  <c r="K104" i="46"/>
  <c r="K106" i="46"/>
  <c r="K103" i="46"/>
  <c r="K105" i="46"/>
  <c r="K107" i="46"/>
  <c r="J106" i="46"/>
  <c r="J109" i="46"/>
  <c r="J105" i="46"/>
  <c r="J102" i="46"/>
  <c r="J104" i="46"/>
  <c r="J103" i="46"/>
  <c r="J107" i="46"/>
  <c r="E107" i="46"/>
  <c r="E105" i="46"/>
  <c r="E109" i="46"/>
  <c r="E104" i="46"/>
  <c r="E106" i="46"/>
  <c r="E102" i="46"/>
  <c r="E103" i="46"/>
  <c r="N105" i="46"/>
  <c r="N109" i="46"/>
  <c r="N103" i="46"/>
  <c r="N106" i="46"/>
  <c r="N107" i="46"/>
  <c r="N104" i="46"/>
  <c r="N102" i="46"/>
  <c r="C109" i="46"/>
  <c r="C104" i="46"/>
  <c r="C107" i="46"/>
  <c r="C103" i="46"/>
  <c r="C102" i="46"/>
  <c r="C105" i="46"/>
  <c r="C106" i="46"/>
  <c r="AY210" i="3"/>
  <c r="AY189" i="3"/>
  <c r="AY40" i="3"/>
  <c r="AY108" i="3"/>
  <c r="AY185" i="3"/>
  <c r="AY299" i="3"/>
  <c r="AY503" i="3"/>
  <c r="AY518" i="3"/>
  <c r="AY323" i="3"/>
  <c r="AY166" i="3"/>
  <c r="AY138" i="3"/>
  <c r="AY409" i="3"/>
  <c r="AY154" i="3"/>
  <c r="AY320" i="3"/>
  <c r="AY369" i="3"/>
  <c r="AY183" i="3"/>
  <c r="AY52" i="3"/>
  <c r="AY555" i="3"/>
  <c r="AY241" i="3"/>
  <c r="E6" i="3"/>
  <c r="F33" i="12"/>
  <c r="C34" i="12" s="1"/>
  <c r="D33" i="12" s="1"/>
  <c r="F24" i="43"/>
  <c r="C26" i="43" s="1"/>
  <c r="D24" i="43" s="1"/>
  <c r="H33" i="69"/>
  <c r="J33" i="69"/>
  <c r="F33" i="69"/>
  <c r="O6" i="1"/>
  <c r="P6" i="1" s="1"/>
  <c r="C15" i="12" s="1"/>
  <c r="C15" i="43"/>
  <c r="J33" i="21"/>
  <c r="F33" i="21"/>
  <c r="H33" i="21"/>
  <c r="C38" i="70"/>
  <c r="C59" i="70"/>
  <c r="C65" i="70"/>
  <c r="C60" i="70"/>
  <c r="K19" i="6"/>
  <c r="S6" i="1" s="1"/>
  <c r="K24" i="6"/>
  <c r="M24" i="6" s="1"/>
  <c r="I24" i="6" s="1"/>
  <c r="S24" i="6" s="1"/>
  <c r="K25" i="6"/>
  <c r="M25" i="6" s="1"/>
  <c r="I25" i="6" s="1"/>
  <c r="S25" i="6" s="1"/>
  <c r="K20" i="6"/>
  <c r="K26" i="6"/>
  <c r="M26" i="6" s="1"/>
  <c r="I26" i="6" s="1"/>
  <c r="S26" i="6" s="1"/>
  <c r="K22" i="6"/>
  <c r="K23" i="6"/>
  <c r="M23" i="6" s="1"/>
  <c r="I23" i="6" s="1"/>
  <c r="S23" i="6" s="1"/>
  <c r="K21" i="6"/>
  <c r="D19" i="12"/>
  <c r="C19" i="12" s="1"/>
  <c r="C16" i="12"/>
  <c r="F45" i="9"/>
  <c r="D21" i="6"/>
  <c r="D14" i="6"/>
  <c r="D26" i="6"/>
  <c r="D29" i="6"/>
  <c r="E63" i="40"/>
  <c r="D25" i="6"/>
  <c r="D28" i="6"/>
  <c r="E45" i="9"/>
  <c r="D24" i="6"/>
  <c r="D12" i="6"/>
  <c r="D5" i="6"/>
  <c r="C22" i="4"/>
  <c r="D10" i="6"/>
  <c r="D6" i="6"/>
  <c r="D20" i="6"/>
  <c r="E68" i="39"/>
  <c r="D11" i="6"/>
  <c r="D9" i="6"/>
  <c r="D15" i="6"/>
  <c r="D19" i="6"/>
  <c r="D13" i="6"/>
  <c r="D23" i="6"/>
  <c r="D8" i="6"/>
  <c r="K38" i="9"/>
  <c r="C14" i="66" s="1"/>
  <c r="B2" i="66" s="1"/>
  <c r="D22" i="6"/>
  <c r="D13" i="11"/>
  <c r="C13" i="11" s="1"/>
  <c r="D22" i="12"/>
  <c r="C22" i="12" s="1"/>
  <c r="C20" i="12" s="1"/>
  <c r="C7" i="66"/>
  <c r="O14" i="1"/>
  <c r="O16" i="1" s="1"/>
  <c r="M16" i="1"/>
  <c r="E52" i="33"/>
  <c r="F52" i="33" s="1"/>
  <c r="E53" i="33"/>
  <c r="F53" i="33" s="1"/>
  <c r="I40" i="36"/>
  <c r="J40" i="36" s="1"/>
  <c r="G52" i="33"/>
  <c r="H52" i="33" s="1"/>
  <c r="G53" i="33"/>
  <c r="H53" i="33" s="1"/>
  <c r="E47" i="37"/>
  <c r="F47" i="37" s="1"/>
  <c r="E46" i="37"/>
  <c r="F46" i="37" s="1"/>
  <c r="E54" i="34"/>
  <c r="F54" i="34" s="1"/>
  <c r="E53" i="34"/>
  <c r="F53" i="34" s="1"/>
  <c r="E43" i="35"/>
  <c r="F43" i="35" s="1"/>
  <c r="E42" i="35"/>
  <c r="F42" i="35" s="1"/>
  <c r="I47" i="37"/>
  <c r="J47" i="37" s="1"/>
  <c r="S7" i="36"/>
  <c r="AA7" i="36"/>
  <c r="R36" i="36" s="1"/>
  <c r="G65" i="40"/>
  <c r="F67" i="40"/>
  <c r="I52" i="33"/>
  <c r="J52" i="33" s="1"/>
  <c r="I53" i="33"/>
  <c r="J53" i="33" s="1"/>
  <c r="I42" i="35"/>
  <c r="J42" i="35" s="1"/>
  <c r="I43" i="35"/>
  <c r="J43" i="35" s="1"/>
  <c r="C49" i="33"/>
  <c r="B3" i="33" s="1"/>
  <c r="B2" i="33" s="1"/>
  <c r="C48" i="33"/>
  <c r="G54" i="34"/>
  <c r="H54" i="34" s="1"/>
  <c r="G53" i="34"/>
  <c r="H53" i="34" s="1"/>
  <c r="C43" i="37"/>
  <c r="B3" i="37" s="1"/>
  <c r="B2" i="37" s="1"/>
  <c r="C42" i="37"/>
  <c r="C50" i="34"/>
  <c r="B3" i="34" s="1"/>
  <c r="B2" i="34" s="1"/>
  <c r="C49" i="34"/>
  <c r="G41" i="36"/>
  <c r="H41" i="36" s="1"/>
  <c r="G40" i="36"/>
  <c r="H40" i="36" s="1"/>
  <c r="C38" i="35"/>
  <c r="C39" i="35"/>
  <c r="B3" i="35" s="1"/>
  <c r="B2" i="35" s="1"/>
  <c r="E29" i="46"/>
  <c r="C27" i="46"/>
  <c r="C65" i="15"/>
  <c r="C59" i="15"/>
  <c r="B5" i="11"/>
  <c r="B3" i="11"/>
  <c r="B4" i="11"/>
  <c r="C27" i="12"/>
  <c r="D26" i="12" s="1"/>
  <c r="C32" i="12" s="1"/>
  <c r="D30" i="12" s="1"/>
  <c r="J26" i="15"/>
  <c r="J29" i="15" s="1"/>
  <c r="J24" i="15"/>
  <c r="C38" i="15"/>
  <c r="Q58" i="44"/>
  <c r="Q67" i="44"/>
  <c r="Q49" i="44"/>
  <c r="Q55" i="44" s="1"/>
  <c r="F7" i="67"/>
  <c r="I70" i="39" l="1"/>
  <c r="H72" i="39"/>
  <c r="S11" i="21"/>
  <c r="AA11" i="21"/>
  <c r="AC11" i="21"/>
  <c r="W11" i="21"/>
  <c r="C115" i="46"/>
  <c r="D113" i="46" s="1"/>
  <c r="W11" i="69"/>
  <c r="AC11" i="69"/>
  <c r="AB11" i="21"/>
  <c r="U11" i="21"/>
  <c r="AA11" i="69"/>
  <c r="S11" i="69"/>
  <c r="U11" i="69"/>
  <c r="AB11" i="69"/>
  <c r="AA33" i="21"/>
  <c r="R48" i="21" s="1"/>
  <c r="S33" i="21"/>
  <c r="S33" i="69"/>
  <c r="AA33" i="69"/>
  <c r="U33" i="69"/>
  <c r="AB33" i="69"/>
  <c r="T48" i="69" s="1"/>
  <c r="G48" i="69" s="1"/>
  <c r="U33" i="21"/>
  <c r="AB33" i="21"/>
  <c r="W33" i="21"/>
  <c r="AC33" i="21"/>
  <c r="W33" i="69"/>
  <c r="AC33" i="69"/>
  <c r="V48" i="69" s="1"/>
  <c r="I48" i="69" s="1"/>
  <c r="I52" i="69" s="1"/>
  <c r="J52" i="69" s="1"/>
  <c r="P14" i="1"/>
  <c r="P16" i="1" s="1"/>
  <c r="C13" i="12" s="1"/>
  <c r="C14" i="12" s="1"/>
  <c r="M21" i="6"/>
  <c r="I21" i="6" s="1"/>
  <c r="S21" i="6" s="1"/>
  <c r="S8" i="1"/>
  <c r="M22" i="6"/>
  <c r="I22" i="6" s="1"/>
  <c r="S9" i="1"/>
  <c r="M20" i="6"/>
  <c r="I20" i="6" s="1"/>
  <c r="S20" i="6" s="1"/>
  <c r="S7" i="1"/>
  <c r="D30" i="6"/>
  <c r="H24" i="6"/>
  <c r="R24" i="6" s="1"/>
  <c r="H25" i="6"/>
  <c r="R25" i="6" s="1"/>
  <c r="H26" i="6"/>
  <c r="R26" i="6" s="1"/>
  <c r="H23" i="6"/>
  <c r="R23" i="6" s="1"/>
  <c r="K27" i="6"/>
  <c r="M19" i="6"/>
  <c r="D16" i="6"/>
  <c r="D27" i="6"/>
  <c r="D31" i="6" s="1"/>
  <c r="D7" i="66"/>
  <c r="A6" i="64"/>
  <c r="A20" i="51"/>
  <c r="B15" i="63" s="1"/>
  <c r="N5" i="54"/>
  <c r="B43" i="63" s="1"/>
  <c r="A20" i="64"/>
  <c r="A6" i="51"/>
  <c r="B7" i="63" s="1"/>
  <c r="L16" i="1"/>
  <c r="N16" i="1"/>
  <c r="C29" i="43" s="1"/>
  <c r="C13" i="43"/>
  <c r="R37" i="36"/>
  <c r="E36" i="36"/>
  <c r="H65" i="40"/>
  <c r="G67" i="40"/>
  <c r="E4" i="67"/>
  <c r="C26" i="46"/>
  <c r="B2" i="46" s="1"/>
  <c r="D77" i="9"/>
  <c r="N75" i="9" s="1"/>
  <c r="B7" i="67"/>
  <c r="C17" i="15"/>
  <c r="C17" i="70"/>
  <c r="E7" i="67"/>
  <c r="J70" i="39" l="1"/>
  <c r="I72" i="39"/>
  <c r="V48" i="21"/>
  <c r="I48" i="21" s="1"/>
  <c r="I52" i="21" s="1"/>
  <c r="J52" i="21" s="1"/>
  <c r="T48" i="21"/>
  <c r="G48" i="21" s="1"/>
  <c r="R48" i="69"/>
  <c r="E48" i="69" s="1"/>
  <c r="G52" i="21"/>
  <c r="H52" i="21" s="1"/>
  <c r="G52" i="69"/>
  <c r="H52" i="69" s="1"/>
  <c r="G53" i="69"/>
  <c r="H53" i="69" s="1"/>
  <c r="R49" i="69"/>
  <c r="E48" i="21"/>
  <c r="C17" i="12"/>
  <c r="C18" i="12" s="1"/>
  <c r="C23" i="12" s="1"/>
  <c r="S16" i="1"/>
  <c r="H21" i="6"/>
  <c r="R21" i="6" s="1"/>
  <c r="R8" i="1" s="1"/>
  <c r="H20" i="6"/>
  <c r="R20" i="6" s="1"/>
  <c r="R7" i="1" s="1"/>
  <c r="S22" i="6"/>
  <c r="H22" i="6"/>
  <c r="R22" i="6" s="1"/>
  <c r="R9" i="1" s="1"/>
  <c r="I19" i="6"/>
  <c r="M27" i="6"/>
  <c r="I6" i="6"/>
  <c r="I5" i="6"/>
  <c r="C14" i="43"/>
  <c r="C17" i="43"/>
  <c r="H67" i="40"/>
  <c r="I65" i="40"/>
  <c r="C36" i="36"/>
  <c r="C37" i="36"/>
  <c r="B3" i="36" s="1"/>
  <c r="B2" i="36" s="1"/>
  <c r="E40" i="36"/>
  <c r="F40" i="36" s="1"/>
  <c r="E41" i="36"/>
  <c r="F41" i="36" s="1"/>
  <c r="I41" i="36"/>
  <c r="J41" i="36" s="1"/>
  <c r="E3" i="67"/>
  <c r="B2" i="67"/>
  <c r="D4" i="46"/>
  <c r="B3" i="46"/>
  <c r="B4" i="46"/>
  <c r="M21" i="15"/>
  <c r="F35" i="15"/>
  <c r="M21" i="70"/>
  <c r="F35" i="70"/>
  <c r="J72" i="39" l="1"/>
  <c r="K70" i="39"/>
  <c r="R49" i="21"/>
  <c r="C48" i="21" s="1"/>
  <c r="G53" i="21"/>
  <c r="H53" i="21" s="1"/>
  <c r="F62" i="15"/>
  <c r="C61" i="15" s="1"/>
  <c r="C34" i="15"/>
  <c r="J20" i="15"/>
  <c r="J20" i="70"/>
  <c r="F62" i="70"/>
  <c r="C61" i="70" s="1"/>
  <c r="C58" i="70" s="1"/>
  <c r="C34" i="70"/>
  <c r="C31" i="70" s="1"/>
  <c r="I53" i="21"/>
  <c r="J53" i="21" s="1"/>
  <c r="E53" i="21"/>
  <c r="F53" i="21" s="1"/>
  <c r="E52" i="21"/>
  <c r="F52" i="21" s="1"/>
  <c r="C48" i="69"/>
  <c r="C49" i="69"/>
  <c r="B3" i="69" s="1"/>
  <c r="I53" i="69"/>
  <c r="J53" i="69" s="1"/>
  <c r="E52" i="69"/>
  <c r="F52" i="69" s="1"/>
  <c r="E53" i="69"/>
  <c r="F53" i="69" s="1"/>
  <c r="T12" i="1"/>
  <c r="T6" i="1"/>
  <c r="T10" i="1"/>
  <c r="T13" i="1"/>
  <c r="T11" i="1"/>
  <c r="T8" i="1"/>
  <c r="T7" i="1"/>
  <c r="T9" i="1"/>
  <c r="S19" i="6"/>
  <c r="S27" i="6" s="1"/>
  <c r="H19" i="6"/>
  <c r="I27" i="6"/>
  <c r="C18" i="43"/>
  <c r="C19" i="43" s="1"/>
  <c r="C25" i="43" s="1"/>
  <c r="C24" i="43" s="1"/>
  <c r="I67" i="40"/>
  <c r="J65" i="40"/>
  <c r="B3" i="67"/>
  <c r="B4" i="67"/>
  <c r="C14" i="15"/>
  <c r="C14" i="70"/>
  <c r="C16" i="44"/>
  <c r="K72" i="39" l="1"/>
  <c r="L70" i="39"/>
  <c r="C49" i="21"/>
  <c r="B3" i="21" s="1"/>
  <c r="B2" i="21" s="1"/>
  <c r="C10" i="12" s="1"/>
  <c r="D8" i="12"/>
  <c r="B2" i="69"/>
  <c r="D10" i="12" s="1"/>
  <c r="C18" i="70"/>
  <c r="C15" i="70"/>
  <c r="C15" i="15"/>
  <c r="C18" i="15"/>
  <c r="C20" i="44"/>
  <c r="C17" i="44"/>
  <c r="T16" i="1"/>
  <c r="H27" i="6"/>
  <c r="R19" i="6"/>
  <c r="C22" i="43"/>
  <c r="C21" i="43" s="1"/>
  <c r="C28" i="43" s="1"/>
  <c r="C30" i="43" s="1"/>
  <c r="C32" i="43" s="1"/>
  <c r="B2" i="43" s="1"/>
  <c r="B3" i="43" s="1"/>
  <c r="K65" i="40"/>
  <c r="J67" i="40"/>
  <c r="M70" i="39" l="1"/>
  <c r="L72" i="39"/>
  <c r="C8" i="12"/>
  <c r="C19" i="70"/>
  <c r="C20" i="70" s="1"/>
  <c r="C26" i="70" s="1"/>
  <c r="C21" i="44"/>
  <c r="C22" i="44" s="1"/>
  <c r="C28" i="44" s="1"/>
  <c r="C19" i="15"/>
  <c r="C20" i="15" s="1"/>
  <c r="C23" i="15" s="1"/>
  <c r="B5" i="43"/>
  <c r="R27" i="6"/>
  <c r="R6" i="1"/>
  <c r="R16" i="1" s="1"/>
  <c r="B4" i="43"/>
  <c r="L65" i="40"/>
  <c r="K67" i="40"/>
  <c r="F9" i="39" l="1"/>
  <c r="N70" i="39"/>
  <c r="N72" i="39" s="1"/>
  <c r="M72" i="39"/>
  <c r="C23" i="70"/>
  <c r="C29" i="70" s="1"/>
  <c r="J19" i="70" s="1"/>
  <c r="J17" i="70" s="1"/>
  <c r="C25" i="44"/>
  <c r="C31" i="44" s="1"/>
  <c r="C26" i="15"/>
  <c r="C29" i="15" s="1"/>
  <c r="L67" i="40"/>
  <c r="M65" i="40"/>
  <c r="H9" i="39" l="1"/>
  <c r="J9" i="39"/>
  <c r="S9" i="39"/>
  <c r="AA9" i="39"/>
  <c r="R49" i="39" s="1"/>
  <c r="J14" i="70"/>
  <c r="J22" i="70" s="1"/>
  <c r="C36" i="70"/>
  <c r="C13" i="70"/>
  <c r="C37" i="70" s="1"/>
  <c r="C56" i="70"/>
  <c r="C63" i="70" s="1"/>
  <c r="Q50" i="70"/>
  <c r="Q50" i="15"/>
  <c r="C33" i="15"/>
  <c r="C31" i="15" s="1"/>
  <c r="C36" i="15"/>
  <c r="C13" i="15"/>
  <c r="J35" i="15" s="1"/>
  <c r="J59" i="15"/>
  <c r="J60" i="15" s="1"/>
  <c r="Q49" i="15" s="1"/>
  <c r="J14" i="15"/>
  <c r="J13" i="15" s="1"/>
  <c r="J23" i="15" s="1"/>
  <c r="C56" i="15"/>
  <c r="C60" i="15" s="1"/>
  <c r="C58" i="15" s="1"/>
  <c r="J19" i="15"/>
  <c r="J17" i="15" s="1"/>
  <c r="C35" i="44"/>
  <c r="C33" i="44" s="1"/>
  <c r="C15" i="44"/>
  <c r="J21" i="44"/>
  <c r="J19" i="44" s="1"/>
  <c r="C38" i="44"/>
  <c r="J16" i="44"/>
  <c r="Q51" i="44"/>
  <c r="N65" i="40"/>
  <c r="N67" i="40" s="1"/>
  <c r="M67" i="40"/>
  <c r="E49" i="39" l="1"/>
  <c r="W9" i="39"/>
  <c r="AC9" i="39"/>
  <c r="V49" i="39" s="1"/>
  <c r="I49" i="39" s="1"/>
  <c r="U9" i="39"/>
  <c r="AB9" i="39"/>
  <c r="T49" i="39" s="1"/>
  <c r="G49" i="39" s="1"/>
  <c r="C30" i="70"/>
  <c r="C39" i="70" s="1"/>
  <c r="Q70" i="70" s="1"/>
  <c r="J13" i="70"/>
  <c r="J23" i="70" s="1"/>
  <c r="J16" i="70" s="1"/>
  <c r="J25" i="70" s="1"/>
  <c r="J35" i="70"/>
  <c r="J39" i="70" s="1"/>
  <c r="J40" i="70" s="1"/>
  <c r="C55" i="70"/>
  <c r="C64" i="70" s="1"/>
  <c r="C57" i="70" s="1"/>
  <c r="C66" i="70" s="1"/>
  <c r="C67" i="70" s="1"/>
  <c r="C70" i="70" s="1"/>
  <c r="Q71" i="70"/>
  <c r="C63" i="15"/>
  <c r="J22" i="15"/>
  <c r="J16" i="15" s="1"/>
  <c r="J25" i="15" s="1"/>
  <c r="C55" i="15"/>
  <c r="C64" i="15" s="1"/>
  <c r="Q71" i="15"/>
  <c r="C37" i="15"/>
  <c r="C30" i="15" s="1"/>
  <c r="C39" i="15" s="1"/>
  <c r="C40" i="15" s="1"/>
  <c r="Q72" i="44"/>
  <c r="C43" i="44"/>
  <c r="C39" i="44"/>
  <c r="C32" i="44" s="1"/>
  <c r="C42" i="44" s="1"/>
  <c r="J15" i="44"/>
  <c r="J25" i="44" s="1"/>
  <c r="J24" i="44"/>
  <c r="J9" i="40"/>
  <c r="H9" i="40"/>
  <c r="F9" i="40"/>
  <c r="L51" i="70"/>
  <c r="G54" i="39" l="1"/>
  <c r="H54" i="39" s="1"/>
  <c r="G53" i="39"/>
  <c r="H53" i="39" s="1"/>
  <c r="I53" i="39"/>
  <c r="J53" i="39" s="1"/>
  <c r="I54" i="39"/>
  <c r="J54" i="39" s="1"/>
  <c r="R50" i="39"/>
  <c r="E53" i="39"/>
  <c r="F53" i="39" s="1"/>
  <c r="E54" i="39"/>
  <c r="F54" i="39" s="1"/>
  <c r="C40" i="70"/>
  <c r="C46" i="70" s="1"/>
  <c r="Q69" i="70"/>
  <c r="Q68" i="70"/>
  <c r="C57" i="15"/>
  <c r="C66" i="15" s="1"/>
  <c r="C67" i="15" s="1"/>
  <c r="C70" i="15" s="1"/>
  <c r="J18" i="44"/>
  <c r="J27" i="44" s="1"/>
  <c r="L57" i="15"/>
  <c r="L60" i="15" s="1"/>
  <c r="J39" i="15"/>
  <c r="J40" i="15" s="1"/>
  <c r="Q70" i="15"/>
  <c r="Q69" i="15" s="1"/>
  <c r="Q48" i="15"/>
  <c r="Q54" i="15" s="1"/>
  <c r="Q57" i="15"/>
  <c r="J42" i="15"/>
  <c r="J43" i="15" s="1"/>
  <c r="Q66" i="15"/>
  <c r="C43" i="15"/>
  <c r="Q71" i="44"/>
  <c r="Q70" i="44" s="1"/>
  <c r="C44" i="44"/>
  <c r="C45" i="44" s="1"/>
  <c r="S9" i="40"/>
  <c r="AA9" i="40"/>
  <c r="R44" i="40" s="1"/>
  <c r="U9" i="40"/>
  <c r="AB9" i="40"/>
  <c r="T44" i="40" s="1"/>
  <c r="G44" i="40" s="1"/>
  <c r="AC9" i="40"/>
  <c r="V44" i="40" s="1"/>
  <c r="I44" i="40" s="1"/>
  <c r="I48" i="40" s="1"/>
  <c r="J48" i="40" s="1"/>
  <c r="W9" i="40"/>
  <c r="L51" i="15"/>
  <c r="Q68" i="15" l="1"/>
  <c r="C46" i="15"/>
  <c r="C49" i="39"/>
  <c r="C50" i="39"/>
  <c r="B2" i="70"/>
  <c r="B3" i="70" s="1"/>
  <c r="F8" i="12" s="1"/>
  <c r="C43" i="70"/>
  <c r="Q66" i="70"/>
  <c r="Q76" i="70" s="1"/>
  <c r="J42" i="70"/>
  <c r="J43" i="70" s="1"/>
  <c r="Q57" i="70"/>
  <c r="Q63" i="70" s="1"/>
  <c r="Q48" i="70"/>
  <c r="Q54" i="70" s="1"/>
  <c r="Q67" i="15"/>
  <c r="Q76" i="15" s="1"/>
  <c r="L46" i="15"/>
  <c r="B2" i="15" s="1"/>
  <c r="Q58" i="15"/>
  <c r="Q63" i="15" s="1"/>
  <c r="L52" i="44"/>
  <c r="B2" i="44"/>
  <c r="G48" i="40"/>
  <c r="H48" i="40" s="1"/>
  <c r="G49" i="40"/>
  <c r="H49" i="40" s="1"/>
  <c r="R45" i="40"/>
  <c r="E44" i="40"/>
  <c r="B65" i="39" l="1"/>
  <c r="F65" i="39" s="1"/>
  <c r="B64" i="39"/>
  <c r="F64" i="39" s="1"/>
  <c r="B62" i="39"/>
  <c r="F62" i="39" s="1"/>
  <c r="B66" i="39"/>
  <c r="F66" i="39" s="1"/>
  <c r="B67" i="39"/>
  <c r="F67" i="39" s="1"/>
  <c r="B58" i="39"/>
  <c r="F58" i="39" s="1"/>
  <c r="B59" i="39"/>
  <c r="F59" i="39" s="1"/>
  <c r="B60" i="39"/>
  <c r="F60" i="39" s="1"/>
  <c r="B63" i="39"/>
  <c r="F63" i="39" s="1"/>
  <c r="B61" i="39"/>
  <c r="F61" i="39" s="1"/>
  <c r="F10" i="12"/>
  <c r="B3" i="15"/>
  <c r="E8" i="12" s="1"/>
  <c r="E10" i="12"/>
  <c r="B4" i="44"/>
  <c r="B3" i="44"/>
  <c r="B5" i="44"/>
  <c r="L58" i="44"/>
  <c r="L61" i="44" s="1"/>
  <c r="Q69" i="44"/>
  <c r="I49" i="40"/>
  <c r="J49" i="40" s="1"/>
  <c r="E49" i="40"/>
  <c r="F49" i="40" s="1"/>
  <c r="E48" i="40"/>
  <c r="F48" i="40" s="1"/>
  <c r="C44" i="40"/>
  <c r="C45" i="40"/>
  <c r="F68" i="39" l="1"/>
  <c r="B2" i="39" s="1"/>
  <c r="C6" i="12"/>
  <c r="C24" i="12" s="1"/>
  <c r="Q59" i="44"/>
  <c r="Q64" i="44" s="1"/>
  <c r="Q68" i="44"/>
  <c r="Q77" i="44" s="1"/>
  <c r="B55" i="40"/>
  <c r="F55" i="40" s="1"/>
  <c r="B56" i="40"/>
  <c r="F56" i="40" s="1"/>
  <c r="B59" i="40"/>
  <c r="F59" i="40" s="1"/>
  <c r="B53" i="40"/>
  <c r="F53" i="40" s="1"/>
  <c r="B60" i="40"/>
  <c r="F60" i="40" s="1"/>
  <c r="B54" i="40"/>
  <c r="F54" i="40" s="1"/>
  <c r="B57" i="40"/>
  <c r="F57" i="40" s="1"/>
  <c r="B61" i="40"/>
  <c r="F61" i="40" s="1"/>
  <c r="B62" i="40"/>
  <c r="F62" i="40" s="1"/>
  <c r="F63" i="40"/>
  <c r="B2" i="40" s="1"/>
  <c r="B58" i="40"/>
  <c r="F58" i="40" s="1"/>
  <c r="D19" i="9"/>
  <c r="L44" i="9" l="1"/>
  <c r="B4" i="39"/>
  <c r="B5" i="39"/>
  <c r="B3" i="39"/>
  <c r="C29" i="12"/>
  <c r="C35" i="12"/>
  <c r="C33" i="12" s="1"/>
  <c r="C28" i="12"/>
  <c r="C26" i="12" s="1"/>
  <c r="B5" i="40"/>
  <c r="B4" i="40"/>
  <c r="B3" i="40"/>
  <c r="D20" i="9"/>
  <c r="D21" i="9"/>
  <c r="C31" i="12" l="1"/>
  <c r="C30" i="12" s="1"/>
  <c r="C36" i="12" s="1"/>
  <c r="B2" i="12" s="1"/>
  <c r="B3" i="12" s="1"/>
  <c r="C20" i="9"/>
  <c r="C19" i="9"/>
  <c r="B4" i="12" l="1"/>
  <c r="G19" i="9"/>
  <c r="L43" i="9"/>
  <c r="D22" i="9"/>
  <c r="B5" i="12"/>
  <c r="G20" i="9"/>
  <c r="C21" i="9"/>
  <c r="G22" i="9" l="1"/>
  <c r="D27" i="9"/>
  <c r="N43" i="9"/>
  <c r="C32" i="9"/>
  <c r="O43" i="9" s="1"/>
  <c r="G21" i="9"/>
  <c r="C42" i="9"/>
  <c r="C34" i="9" l="1"/>
  <c r="E42" i="9" s="1"/>
  <c r="P5" i="54" s="1"/>
  <c r="B46" i="63" s="1"/>
  <c r="O38" i="9"/>
  <c r="K26" i="9" s="1"/>
  <c r="C33" i="9"/>
  <c r="N38" i="9" s="1"/>
  <c r="K28" i="9" s="1"/>
  <c r="C35" i="9"/>
  <c r="F42" i="9" s="1"/>
  <c r="C44" i="9"/>
  <c r="N68" i="9"/>
  <c r="D63" i="9"/>
  <c r="D14" i="66"/>
  <c r="R5" i="54"/>
  <c r="B48" i="63" s="1"/>
  <c r="D42" i="9" l="1"/>
  <c r="Q5" i="54" s="1"/>
  <c r="B47" i="63" s="1"/>
  <c r="M38" i="9"/>
  <c r="K27" i="9" s="1"/>
  <c r="K25" i="9"/>
  <c r="E14" i="66"/>
  <c r="F14" i="66"/>
  <c r="B5" i="66"/>
  <c r="D70" i="9"/>
  <c r="C96" i="9"/>
  <c r="C91" i="9" s="1"/>
  <c r="C90" i="9"/>
  <c r="D71" i="9"/>
  <c r="D66" i="9" s="1"/>
  <c r="N72" i="9" s="1"/>
  <c r="C111" i="9"/>
  <c r="C104" i="9" s="1"/>
  <c r="D73" i="9"/>
  <c r="N73" i="9" s="1"/>
  <c r="C103" i="9"/>
  <c r="C82" i="9"/>
  <c r="C81" i="9" s="1"/>
  <c r="C85" i="9" s="1"/>
  <c r="C86" i="9" s="1"/>
  <c r="D72" i="9" s="1"/>
  <c r="E44" i="9"/>
  <c r="D44" i="9"/>
  <c r="F44" i="9"/>
  <c r="O39" i="9"/>
  <c r="C2" i="71" s="1"/>
  <c r="G14" i="66"/>
  <c r="B6" i="66" s="1"/>
  <c r="N69" i="9"/>
  <c r="C6" i="71" l="1"/>
  <c r="C7" i="71"/>
  <c r="C113" i="9"/>
  <c r="C114" i="9" s="1"/>
  <c r="E114" i="9" s="1"/>
  <c r="E115" i="9" s="1"/>
  <c r="M88" i="9"/>
  <c r="N88" i="9" s="1"/>
  <c r="M87" i="9"/>
  <c r="N87" i="9" s="1"/>
  <c r="M84" i="9"/>
  <c r="N84" i="9" s="1"/>
  <c r="M86" i="9"/>
  <c r="N86" i="9" s="1"/>
  <c r="M85" i="9"/>
  <c r="N85" i="9" s="1"/>
  <c r="M83" i="9"/>
  <c r="N83" i="9" s="1"/>
  <c r="R6" i="54"/>
  <c r="B50" i="63" s="1"/>
  <c r="K29" i="9"/>
  <c r="K30" i="9" s="1"/>
  <c r="D6" i="66"/>
  <c r="C6" i="66"/>
  <c r="C97" i="9"/>
  <c r="D5" i="66"/>
  <c r="C5" i="66"/>
  <c r="C115" i="9" l="1"/>
  <c r="D76" i="9" s="1"/>
  <c r="D74" i="9" s="1"/>
  <c r="N74" i="9" s="1"/>
  <c r="O77" i="9" s="1"/>
  <c r="Q77" i="9" s="1"/>
  <c r="C98" i="9"/>
  <c r="E98" i="9" s="1"/>
  <c r="E99" i="9" s="1"/>
  <c r="N89" i="9"/>
  <c r="O89" i="9" s="1"/>
  <c r="O78" i="9" l="1"/>
  <c r="O79" i="9"/>
  <c r="C46" i="9" s="1"/>
  <c r="C99" i="9"/>
  <c r="O81" i="9"/>
  <c r="O80" i="9" l="1"/>
  <c r="K33" i="9"/>
  <c r="I14" i="66"/>
  <c r="B8" i="66" s="1"/>
  <c r="O41" i="9"/>
  <c r="D46" i="9"/>
  <c r="F46" i="9"/>
  <c r="E46" i="9"/>
  <c r="R8" i="54" l="1"/>
  <c r="B54" i="63" s="1"/>
  <c r="D2" i="71"/>
  <c r="C8" i="66"/>
  <c r="D8" i="66"/>
  <c r="K34" i="9"/>
  <c r="D6" i="71" l="1"/>
  <c r="D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<sst xmlns="http://schemas.openxmlformats.org/spreadsheetml/2006/main" count="9722" uniqueCount="3591">
  <si>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</si>
  <si>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</si>
  <si>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</si>
  <si>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</si>
  <si>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</si>
  <si>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</si>
  <si>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</si>
  <si>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</si>
  <si>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</si>
  <si>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</si>
  <si>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</si>
  <si>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</si>
  <si>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</si>
  <si>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</si>
  <si>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</si>
  <si>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</si>
  <si>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</si>
  <si>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</si>
  <si>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</si>
  <si>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</si>
  <si>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</si>
  <si>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</si>
  <si>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</si>
  <si>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</si>
  <si>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</si>
  <si>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</si>
  <si>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</si>
  <si>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</si>
  <si>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</si>
  <si>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</si>
  <si>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</si>
  <si>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</si>
  <si>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</si>
  <si>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</si>
  <si>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</si>
  <si>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</si>
  <si>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</si>
  <si>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</si>
  <si>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</si>
  <si>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</si>
  <si>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</si>
  <si>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</si>
  <si>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</si>
  <si>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</si>
  <si>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</si>
  <si>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</si>
  <si>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</si>
  <si>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</si>
  <si>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</si>
  <si>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</si>
  <si>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</si>
  <si>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</si>
  <si>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</si>
  <si>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</si>
  <si>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</si>
  <si>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</si>
  <si>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</si>
  <si>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</si>
  <si>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</si>
  <si>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</si>
  <si>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</si>
  <si>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</si>
  <si>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</si>
  <si>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</si>
  <si>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</si>
  <si>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</si>
  <si>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</si>
  <si>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</si>
  <si>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</si>
  <si>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</si>
  <si>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</si>
  <si>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</si>
  <si>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</si>
  <si>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</si>
  <si>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</si>
  <si>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</si>
  <si>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</si>
  <si>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</si>
  <si>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</si>
  <si>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</si>
  <si>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</si>
  <si>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</si>
  <si>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</si>
  <si>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</si>
  <si>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</si>
  <si>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</si>
  <si>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</si>
  <si>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</si>
  <si>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</si>
  <si>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</si>
  <si>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</si>
  <si>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</si>
  <si>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</si>
  <si>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</si>
  <si>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</si>
  <si>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</si>
  <si>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</si>
  <si>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</si>
  <si>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</si>
  <si>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</si>
  <si>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</si>
  <si>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</si>
  <si>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</si>
  <si>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</si>
  <si>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</si>
  <si>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</si>
  <si>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</si>
  <si>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</si>
  <si>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</si>
  <si>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</si>
  <si>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</si>
  <si>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</si>
  <si>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</si>
  <si>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</si>
  <si>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</si>
  <si>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</si>
  <si>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</si>
  <si>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</si>
  <si>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</si>
  <si>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</si>
  <si>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</si>
  <si>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</si>
  <si>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</si>
  <si>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</si>
  <si>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</si>
  <si>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</si>
  <si>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</si>
  <si>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</si>
  <si>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</si>
  <si>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</si>
  <si>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</si>
  <si>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</si>
  <si>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</si>
  <si>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</si>
  <si>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</si>
  <si>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</si>
  <si>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</si>
  <si>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</si>
  <si>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</si>
  <si>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</si>
  <si>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</si>
  <si>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</si>
  <si>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</si>
  <si>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</si>
  <si>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</si>
  <si>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</si>
  <si>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</si>
  <si>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</si>
  <si>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</si>
  <si>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</si>
  <si>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</si>
  <si>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</si>
  <si>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</si>
  <si>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</si>
  <si>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</si>
  <si>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</si>
  <si>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</si>
  <si>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</si>
  <si>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</si>
  <si>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</si>
  <si>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</si>
  <si>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</si>
  <si>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</si>
  <si>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</si>
  <si>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</si>
  <si>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</si>
  <si>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</si>
  <si>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</si>
  <si>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</si>
  <si>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</si>
  <si>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</si>
  <si>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</si>
  <si>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</si>
  <si>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</si>
  <si>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</si>
  <si>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</si>
  <si>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</si>
  <si>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</si>
  <si>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</si>
  <si>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</si>
  <si>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</si>
  <si>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</si>
  <si>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</si>
  <si>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</si>
  <si>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</si>
  <si>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</si>
  <si>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</si>
  <si>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</si>
  <si>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</si>
  <si>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</si>
  <si>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</si>
  <si>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</si>
  <si>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</si>
  <si>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</si>
  <si>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</si>
  <si>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</si>
  <si>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</si>
  <si>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</si>
  <si>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</si>
  <si>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</si>
  <si>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</si>
  <si>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</si>
  <si>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</si>
  <si>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</si>
  <si>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</si>
  <si>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</si>
  <si>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</si>
  <si>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</si>
  <si>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</si>
  <si>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</si>
  <si>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</si>
  <si>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</si>
  <si>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</si>
  <si>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</si>
  <si>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</si>
  <si>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</si>
  <si>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</si>
  <si>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</si>
  <si>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</si>
  <si>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</si>
  <si>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</si>
  <si>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</si>
  <si>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</si>
  <si>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</si>
  <si>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</si>
  <si>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</si>
  <si>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</si>
  <si>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</si>
  <si>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</si>
  <si>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</si>
  <si>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</si>
  <si>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</si>
  <si>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</si>
  <si>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</si>
  <si>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</si>
  <si>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</si>
  <si>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</si>
  <si>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</si>
  <si>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</si>
  <si>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</si>
  <si>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</si>
  <si>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</si>
  <si>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</si>
  <si>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</si>
  <si>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</si>
  <si>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</si>
  <si>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</si>
  <si>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</si>
  <si>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</si>
  <si>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</si>
  <si>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</si>
  <si>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</si>
  <si>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</si>
  <si>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</si>
  <si>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</si>
  <si>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</si>
  <si>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</si>
  <si>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</si>
  <si>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</si>
  <si>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</si>
  <si>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</si>
  <si>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</si>
  <si>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</si>
  <si>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</si>
  <si>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</si>
  <si>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</si>
  <si>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</si>
  <si>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</si>
  <si>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</si>
  <si>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</si>
  <si>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</si>
  <si>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</si>
  <si>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</si>
  <si>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</si>
  <si>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</si>
  <si>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</si>
  <si>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</si>
  <si>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</si>
  <si>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</si>
  <si>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</si>
  <si>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</si>
  <si>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</si>
  <si>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</si>
  <si>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</si>
  <si>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</si>
  <si>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</si>
  <si>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</si>
  <si>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</si>
  <si>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</si>
  <si>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</si>
  <si>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</si>
  <si>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</si>
  <si>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</si>
  <si>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</si>
  <si>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</si>
  <si>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</si>
  <si>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</si>
  <si>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</si>
  <si>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</si>
  <si>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</si>
  <si>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</si>
  <si>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</si>
  <si>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</si>
  <si>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</si>
  <si>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</si>
  <si>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</si>
  <si>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</si>
  <si>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</si>
  <si>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</si>
  <si>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</si>
  <si>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</si>
  <si>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</si>
  <si>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</si>
  <si>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</si>
  <si>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</si>
  <si>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</si>
  <si>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</si>
  <si>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</si>
  <si>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</si>
  <si>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</si>
  <si>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</si>
  <si>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</si>
  <si>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</si>
  <si>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</si>
  <si>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</si>
  <si>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</si>
  <si>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</si>
  <si>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</si>
  <si>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</si>
  <si>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</si>
  <si>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</si>
  <si>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</si>
  <si>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</si>
  <si>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</si>
  <si>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</si>
  <si>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</si>
  <si>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</si>
  <si>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</si>
  <si>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</si>
  <si>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</si>
  <si>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</si>
  <si>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</si>
  <si>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</si>
  <si>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</si>
  <si>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</si>
  <si>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</si>
  <si>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</si>
  <si>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</si>
  <si>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</si>
  <si>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</si>
  <si>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</si>
  <si>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</si>
  <si>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</si>
  <si>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</si>
  <si>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</si>
  <si>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</si>
  <si>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</si>
  <si>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</si>
  <si>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</si>
  <si>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</si>
  <si>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</si>
  <si>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</si>
  <si>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</si>
  <si>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</si>
  <si>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</si>
  <si>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</si>
  <si>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</si>
  <si>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</si>
  <si>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</si>
  <si>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</si>
  <si>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</si>
  <si>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</si>
  <si>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</si>
  <si>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</si>
  <si>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</si>
  <si>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</si>
  <si>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</si>
  <si>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</si>
  <si>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</si>
  <si>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</si>
  <si>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</si>
  <si>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</si>
  <si>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</si>
  <si>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</si>
  <si>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</si>
  <si>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</si>
  <si>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</si>
  <si>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</si>
  <si>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</si>
  <si>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</si>
  <si>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</si>
  <si>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</si>
  <si>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</si>
  <si>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</si>
  <si>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</si>
  <si>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</si>
  <si>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</si>
  <si>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</si>
  <si>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</si>
  <si>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</si>
  <si>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</si>
  <si>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</si>
  <si>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</si>
  <si>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</si>
  <si>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</si>
  <si>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</si>
  <si>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</si>
  <si>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</si>
  <si>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</si>
  <si>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</si>
  <si>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</si>
  <si>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</si>
  <si>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</si>
  <si>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</si>
  <si>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</si>
  <si>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</si>
  <si>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</si>
  <si>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</si>
  <si>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</si>
  <si>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</si>
  <si>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</si>
  <si>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</si>
  <si>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</si>
  <si>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</si>
  <si>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</si>
  <si>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</si>
  <si>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</si>
  <si>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</si>
  <si>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</si>
  <si>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</si>
  <si>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</si>
  <si>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</si>
  <si>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</si>
  <si>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</si>
  <si>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</si>
  <si>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</si>
  <si>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</si>
  <si>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</si>
  <si>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</si>
  <si>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</si>
  <si>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</si>
  <si>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</si>
  <si>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</si>
  <si>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</si>
  <si>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</si>
  <si>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</si>
  <si>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</si>
  <si>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</si>
  <si>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</si>
  <si>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</si>
  <si>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</si>
  <si>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</si>
  <si>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</si>
  <si>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</si>
  <si>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</si>
  <si>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</si>
  <si>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</si>
  <si>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</si>
  <si>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</si>
  <si>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</si>
  <si>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</si>
  <si>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</si>
  <si>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</si>
  <si>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</si>
  <si>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</si>
  <si>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</si>
  <si>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</si>
  <si>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</si>
  <si>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</si>
  <si>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</si>
  <si>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</si>
  <si>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</si>
  <si>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</si>
  <si>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</si>
  <si>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</si>
  <si>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</si>
  <si>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</si>
  <si>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</si>
  <si>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</si>
  <si>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</si>
  <si>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</si>
  <si>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</si>
  <si>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</si>
  <si>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</si>
  <si>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</si>
  <si>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</si>
  <si>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</si>
  <si>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</si>
  <si>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</si>
  <si>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</si>
  <si>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</si>
  <si>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</si>
  <si>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</si>
  <si>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</si>
  <si>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</si>
  <si>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</si>
  <si>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</si>
  <si>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</si>
  <si>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</si>
  <si>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</si>
  <si>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</si>
  <si>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</si>
  <si>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</si>
  <si>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</si>
  <si>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</si>
  <si>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</si>
  <si>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</si>
  <si>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</si>
  <si>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</si>
  <si>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</si>
  <si>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</si>
  <si>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</si>
  <si>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</si>
  <si>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</si>
  <si>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</si>
  <si>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</si>
  <si>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</si>
  <si>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</si>
  <si>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</si>
  <si>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</si>
  <si>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</si>
  <si>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</si>
  <si>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</si>
  <si>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</si>
  <si>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</si>
  <si>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</si>
  <si>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</si>
  <si>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</si>
  <si>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</si>
  <si>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</si>
  <si>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</si>
  <si>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</si>
  <si>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</si>
  <si>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</si>
  <si>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</si>
  <si>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</si>
  <si>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</si>
  <si>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</si>
  <si>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</si>
  <si>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</si>
  <si>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</si>
  <si>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</si>
  <si>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</si>
  <si>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</si>
  <si>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</si>
  <si>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</si>
  <si>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</si>
  <si>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</si>
  <si>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</si>
  <si>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</si>
  <si>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</si>
  <si>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</si>
  <si>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</si>
  <si>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</si>
  <si>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</si>
  <si>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</si>
  <si>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</si>
  <si>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</si>
  <si>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</si>
  <si>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</si>
  <si>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</si>
  <si>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</si>
  <si>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</si>
  <si>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</si>
  <si>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</si>
  <si>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</si>
  <si>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</si>
  <si>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</si>
  <si>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</si>
  <si>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</si>
  <si>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</si>
  <si>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</si>
  <si>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</si>
  <si>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</si>
  <si>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</si>
  <si>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</si>
  <si>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</si>
  <si>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</si>
  <si>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</si>
  <si>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</si>
  <si>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</si>
  <si>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</si>
  <si>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</si>
  <si>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</si>
  <si>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</si>
  <si>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</si>
  <si>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</si>
  <si>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</si>
  <si>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</si>
  <si>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</si>
  <si>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</si>
  <si>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</si>
  <si>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</si>
  <si>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</si>
  <si>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</si>
  <si>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</si>
  <si>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</si>
  <si>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</si>
  <si>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</si>
  <si>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</si>
  <si>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</si>
  <si>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</si>
  <si>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</si>
  <si>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</si>
  <si>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</si>
  <si>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</si>
  <si>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</si>
  <si>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</si>
  <si>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</si>
  <si>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</si>
  <si>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</si>
  <si>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</si>
  <si>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</si>
  <si>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</si>
  <si>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</si>
  <si>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</si>
  <si>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</si>
  <si>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</si>
  <si>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</si>
  <si>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</si>
  <si>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</si>
  <si>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</si>
  <si>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</si>
  <si>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</si>
  <si>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</si>
  <si>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</si>
  <si>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</si>
  <si>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</si>
  <si>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</si>
  <si>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</si>
  <si>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</si>
  <si>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</si>
  <si>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</si>
  <si>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</si>
  <si>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</si>
  <si>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</si>
  <si>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</si>
  <si>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</si>
  <si>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</si>
  <si>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</si>
  <si>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</si>
  <si>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</si>
  <si>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</si>
  <si>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</si>
  <si>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</si>
  <si>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</si>
  <si>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</si>
  <si>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</si>
  <si>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</si>
  <si>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</si>
  <si>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</si>
  <si>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</si>
  <si>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</si>
  <si>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</si>
  <si>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</si>
  <si>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</si>
  <si>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</si>
  <si>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</si>
  <si>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</si>
  <si>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</si>
  <si>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</si>
  <si>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</si>
  <si>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</si>
  <si>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</si>
  <si>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</si>
  <si>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</si>
  <si>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</si>
  <si>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</si>
  <si>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</si>
  <si>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</si>
  <si>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</si>
  <si>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</si>
  <si>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</si>
  <si>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</si>
  <si>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</si>
  <si>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</si>
  <si>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</si>
  <si>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</si>
  <si>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</si>
  <si>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</si>
  <si>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</si>
  <si>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</si>
  <si>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</si>
  <si>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</si>
  <si>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</si>
  <si>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</si>
  <si>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</si>
  <si>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</si>
  <si>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</si>
  <si>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</si>
  <si>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</si>
  <si>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</si>
  <si>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</si>
  <si>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</si>
  <si>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</si>
  <si>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</si>
  <si>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</si>
  <si>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</si>
  <si>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</si>
  <si>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</si>
  <si>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</si>
  <si>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</si>
  <si>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</si>
  <si>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</si>
  <si>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</si>
  <si>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</si>
  <si>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</si>
  <si>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</si>
  <si>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</si>
  <si>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</si>
  <si>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</si>
  <si>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</si>
  <si>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</si>
  <si>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</si>
  <si>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</si>
  <si>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</si>
  <si>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</si>
  <si>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</si>
  <si>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</si>
  <si>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</si>
  <si>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</si>
  <si>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</si>
  <si>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</si>
  <si>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</si>
  <si>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</si>
  <si>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</si>
  <si>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</si>
  <si>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</si>
  <si>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</si>
  <si>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</si>
  <si>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</si>
  <si>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</si>
  <si>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</si>
  <si>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</si>
  <si>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</si>
  <si>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</si>
  <si>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</si>
  <si>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</si>
  <si>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</si>
  <si>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</si>
  <si>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</si>
  <si>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</si>
  <si>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</si>
  <si>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</si>
  <si>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</si>
  <si>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</si>
  <si>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</si>
  <si>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</si>
  <si>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</si>
  <si>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</si>
  <si>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</si>
  <si>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</si>
  <si>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</si>
  <si>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</si>
  <si>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</si>
  <si>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</si>
  <si>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</si>
  <si>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</si>
  <si>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</si>
  <si>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</si>
  <si>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</si>
  <si>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</si>
  <si>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</si>
  <si>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</si>
  <si>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</si>
  <si>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</si>
  <si>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</si>
  <si>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</si>
  <si>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</si>
  <si>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</si>
  <si>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</si>
  <si>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</si>
  <si>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</si>
  <si>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</si>
  <si>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</si>
  <si>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</si>
  <si>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</si>
  <si>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</si>
  <si>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</si>
  <si>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</si>
  <si>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</si>
  <si>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</si>
  <si>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</si>
  <si>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</si>
  <si>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</si>
  <si>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</si>
  <si>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</si>
  <si>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</si>
  <si>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</si>
  <si>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</si>
  <si>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</si>
  <si>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</si>
  <si>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</si>
  <si>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</si>
  <si>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</si>
  <si>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</si>
  <si>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</si>
  <si>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</si>
  <si>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</si>
  <si>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</si>
  <si>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</si>
  <si>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</si>
  <si>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</si>
  <si>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</si>
  <si>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</si>
  <si>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</si>
  <si>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</si>
  <si>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</si>
  <si>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</si>
  <si>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</si>
  <si>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</si>
  <si>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</si>
  <si>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</si>
  <si>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</si>
  <si>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</si>
  <si>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</si>
  <si>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</si>
  <si>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</si>
  <si>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</si>
  <si>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</si>
  <si>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</si>
  <si>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</si>
  <si>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</si>
  <si>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</si>
  <si>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</si>
  <si>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</si>
  <si>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</si>
  <si>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</si>
  <si>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</si>
  <si>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</si>
  <si>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</si>
  <si>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</si>
  <si>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</si>
  <si>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</si>
  <si>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</si>
  <si>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</si>
  <si>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</si>
  <si>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</si>
  <si>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</si>
  <si>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</si>
  <si>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</si>
  <si>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</si>
  <si>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</si>
  <si>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</si>
  <si>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</si>
  <si>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</si>
  <si>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</si>
  <si>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</si>
  <si>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</si>
  <si>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</si>
  <si>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</si>
  <si>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</si>
  <si>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</si>
  <si>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</si>
  <si>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</si>
  <si>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</si>
  <si>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</si>
  <si>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</si>
  <si>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</si>
  <si>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</si>
  <si>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</si>
  <si>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</si>
  <si>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</si>
  <si>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</si>
  <si>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</si>
  <si>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</si>
  <si>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</si>
  <si>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</si>
  <si>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</si>
  <si>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</si>
  <si>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</si>
  <si>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</si>
  <si>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</si>
  <si>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</si>
  <si>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</si>
  <si>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</si>
  <si>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</si>
  <si>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</si>
  <si>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</si>
  <si>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</si>
  <si>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</si>
  <si>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</si>
  <si>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</si>
  <si>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</si>
  <si>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</si>
  <si>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</si>
  <si>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</si>
  <si>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</si>
  <si>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</si>
  <si>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</si>
  <si>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</si>
  <si>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</si>
  <si>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</si>
  <si>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</si>
  <si>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</si>
  <si>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</si>
  <si>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</si>
  <si>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</si>
  <si>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</si>
  <si>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</si>
  <si>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</si>
  <si>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</si>
  <si>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</si>
  <si>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</si>
  <si>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</si>
  <si>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</si>
  <si>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</si>
  <si>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</si>
  <si>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</si>
  <si>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</si>
  <si>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</si>
  <si>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</si>
  <si>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</si>
  <si>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</si>
  <si>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</si>
  <si>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</si>
  <si>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</si>
  <si>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</si>
  <si>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</si>
  <si>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</si>
  <si>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</si>
  <si>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</si>
  <si>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</si>
  <si>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</si>
  <si>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</si>
  <si>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</si>
  <si>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</si>
  <si>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</si>
  <si>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</si>
  <si>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</si>
  <si>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</si>
  <si>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</si>
  <si>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</si>
  <si>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</si>
  <si>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</si>
  <si>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</si>
  <si>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</si>
  <si>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</si>
  <si>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</si>
  <si>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</si>
  <si>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</si>
  <si>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</si>
  <si>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</si>
  <si>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</si>
  <si>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</si>
  <si>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</si>
  <si>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</si>
  <si>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</si>
  <si>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</si>
  <si>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</si>
  <si>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</si>
  <si>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</si>
  <si>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</si>
  <si>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</si>
  <si>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</si>
  <si>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</si>
  <si>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</si>
  <si>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</si>
  <si>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</si>
  <si>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</si>
  <si>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</si>
  <si>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</si>
  <si>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</si>
  <si>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</si>
  <si>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</si>
  <si>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</si>
  <si>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</si>
  <si>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</si>
  <si>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</si>
  <si>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</si>
  <si>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</si>
  <si>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</si>
  <si>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</si>
  <si>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</si>
  <si>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</si>
  <si>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</si>
  <si>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</si>
  <si>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</si>
  <si>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</si>
  <si>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</si>
  <si>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</si>
  <si>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</si>
  <si>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</si>
  <si>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</si>
  <si>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</si>
  <si>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</si>
  <si>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</si>
  <si>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</si>
  <si>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</si>
  <si>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</si>
  <si>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</si>
  <si>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</si>
  <si>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</si>
  <si>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</si>
  <si>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</si>
  <si>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</si>
  <si>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</si>
  <si>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</si>
  <si>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</si>
  <si>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</si>
  <si>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</si>
  <si>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</si>
  <si>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</si>
  <si>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</si>
  <si>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</si>
  <si>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</si>
  <si>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</si>
  <si>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</si>
  <si>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</si>
  <si>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</si>
  <si>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</si>
  <si>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</si>
  <si>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</si>
  <si>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</si>
  <si>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</si>
  <si>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</si>
  <si>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</si>
  <si>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</si>
  <si>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</si>
  <si>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</si>
  <si>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</si>
  <si>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</si>
  <si>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</si>
  <si>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</si>
  <si>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</si>
  <si>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</si>
  <si>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</si>
  <si>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</si>
  <si>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</si>
  <si>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</si>
  <si>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</si>
  <si>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</si>
  <si>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</si>
  <si>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</si>
  <si>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</si>
  <si>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</si>
  <si>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</si>
  <si>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</si>
  <si>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</si>
  <si>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</si>
  <si>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</si>
  <si>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</si>
  <si>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</si>
  <si>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</si>
  <si>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</si>
  <si>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</si>
  <si>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</si>
  <si>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</si>
  <si>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</si>
  <si>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</si>
  <si>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</si>
  <si>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</si>
  <si>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</si>
  <si>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</si>
  <si>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</si>
  <si>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</si>
  <si>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</si>
  <si>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</si>
  <si>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</si>
  <si>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</si>
  <si>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</si>
  <si>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</si>
  <si>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</si>
  <si>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</si>
  <si>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</si>
  <si>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</si>
  <si>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</si>
  <si>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</si>
  <si>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</si>
  <si>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</si>
  <si>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</si>
  <si>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</si>
  <si>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</si>
  <si>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</si>
  <si>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</si>
  <si>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</si>
  <si>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</si>
  <si>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</si>
  <si>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</si>
  <si>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</si>
  <si>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</si>
  <si>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</si>
  <si>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</si>
  <si>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</si>
  <si>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</si>
  <si>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</si>
  <si>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</si>
  <si>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</si>
  <si>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</si>
  <si>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</si>
  <si>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</si>
  <si>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</si>
  <si>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</si>
  <si>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</si>
  <si>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</si>
  <si>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</si>
  <si>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</si>
  <si>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</si>
  <si>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</si>
  <si>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</si>
  <si>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</si>
  <si>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</si>
  <si>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</si>
  <si>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</si>
  <si>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</si>
  <si>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</si>
  <si>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</si>
  <si>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</si>
  <si>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</si>
  <si>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</si>
  <si>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</si>
  <si>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</si>
  <si>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</si>
  <si>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</si>
  <si>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</si>
  <si>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</si>
  <si>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</si>
  <si>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</si>
  <si>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</si>
  <si>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</si>
  <si>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</si>
  <si>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</si>
  <si>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</si>
  <si>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</si>
  <si>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</si>
  <si>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</si>
  <si>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</si>
  <si>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</si>
  <si>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</si>
  <si>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</si>
  <si>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</si>
  <si>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</si>
  <si>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</si>
  <si>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</si>
  <si>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</si>
  <si>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</si>
  <si>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</si>
  <si>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</si>
  <si>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</si>
  <si>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</si>
  <si>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</si>
  <si>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</si>
  <si>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</si>
  <si>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</si>
  <si>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</si>
  <si>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</si>
  <si>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</si>
  <si>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</si>
  <si>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</si>
  <si>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</si>
  <si>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</si>
  <si>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</si>
  <si>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</si>
  <si>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</si>
  <si>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</si>
  <si>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</si>
  <si>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</si>
  <si>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</si>
  <si>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</si>
  <si>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</si>
  <si>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</si>
  <si>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</si>
  <si>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</si>
  <si>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</si>
  <si>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</si>
  <si>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</si>
  <si>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</si>
  <si>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</si>
  <si>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</si>
  <si>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</si>
  <si>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</si>
  <si>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</si>
  <si>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</si>
  <si>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</si>
  <si>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</si>
  <si>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</si>
  <si>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</si>
  <si>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</si>
  <si>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</si>
  <si>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</si>
  <si>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</si>
  <si>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</si>
  <si>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</si>
  <si>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</si>
  <si>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</si>
  <si>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</si>
  <si>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</si>
  <si>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</si>
  <si>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</si>
  <si>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</si>
  <si>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</si>
  <si>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</si>
  <si>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</si>
  <si>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</si>
  <si>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</si>
  <si>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</si>
  <si>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</si>
  <si>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</si>
  <si>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</si>
  <si>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</si>
  <si>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</si>
  <si>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</si>
  <si>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</si>
  <si>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</si>
  <si>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</si>
  <si>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</si>
  <si>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</si>
  <si>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</si>
  <si>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</si>
  <si>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</si>
  <si>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</si>
  <si>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</si>
  <si>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</si>
  <si>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</si>
  <si>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</si>
  <si>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</si>
  <si>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</si>
  <si>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</si>
  <si>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</si>
  <si>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</si>
  <si>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</si>
  <si>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</si>
  <si>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</si>
  <si>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</si>
  <si>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</si>
  <si>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</si>
  <si>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</si>
  <si>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</si>
  <si>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</si>
  <si>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</si>
  <si>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</si>
  <si>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</si>
  <si>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</si>
  <si>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</si>
  <si>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</si>
  <si>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</si>
  <si>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</si>
  <si>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</si>
  <si>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</si>
  <si>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</si>
  <si>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</si>
  <si>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</si>
  <si>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</si>
  <si>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</si>
  <si>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</si>
  <si>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</si>
  <si>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</si>
  <si>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</si>
  <si>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</si>
  <si>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</si>
  <si>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</si>
  <si>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</si>
  <si>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</si>
  <si>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</si>
  <si>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</si>
  <si>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</si>
  <si>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</si>
  <si>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</si>
  <si>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</si>
  <si>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</si>
  <si>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</si>
  <si>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</si>
  <si>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</si>
  <si>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</si>
  <si>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</si>
  <si>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</si>
  <si>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</si>
  <si>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</si>
  <si>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</si>
  <si>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</si>
  <si>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</si>
  <si>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</si>
  <si>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</si>
  <si>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</si>
  <si>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</si>
  <si>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</si>
  <si>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</si>
  <si>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</si>
  <si>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</si>
  <si>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</si>
  <si>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</si>
  <si>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</si>
  <si>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</si>
  <si>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</si>
  <si>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</si>
  <si>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</si>
  <si>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</si>
  <si>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</si>
  <si>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</si>
  <si>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</si>
  <si>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</si>
  <si>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</si>
  <si>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</si>
  <si>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</si>
  <si>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</si>
  <si>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</si>
  <si>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</si>
  <si>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</si>
  <si>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</si>
  <si>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</si>
  <si>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</si>
  <si>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</si>
  <si>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</si>
  <si>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</si>
  <si>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</si>
  <si>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</si>
  <si>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</si>
  <si>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</si>
  <si>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</si>
  <si>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</si>
  <si>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</si>
  <si>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</si>
  <si>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</si>
  <si>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</si>
  <si>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</si>
  <si>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</si>
  <si>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</si>
  <si>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</si>
  <si>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</si>
  <si>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</si>
  <si>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</si>
  <si>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</si>
  <si>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</si>
  <si>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</si>
  <si>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</si>
  <si>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</si>
  <si>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</si>
  <si>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</si>
  <si>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</si>
  <si>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</si>
  <si>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</si>
  <si>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</si>
  <si>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</si>
  <si>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</si>
  <si>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</si>
  <si>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</si>
  <si>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</si>
  <si>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</si>
  <si>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</si>
  <si>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</si>
  <si>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</si>
  <si>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</si>
  <si>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</si>
  <si>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</si>
  <si>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</si>
  <si>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</si>
  <si>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</si>
  <si>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</si>
  <si>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</si>
  <si>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</si>
  <si>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</si>
  <si>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</si>
  <si>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</si>
  <si>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</si>
  <si>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</si>
  <si>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</si>
  <si>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</si>
  <si>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</si>
  <si>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</si>
  <si>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</si>
  <si>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</si>
  <si>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</si>
  <si>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</si>
  <si>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</si>
  <si>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</si>
  <si>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</si>
  <si>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</si>
  <si>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</si>
  <si>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</si>
  <si>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</si>
  <si>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</si>
  <si>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</si>
  <si>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</si>
  <si>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</si>
  <si>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</si>
  <si>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</si>
  <si>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</si>
  <si>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</si>
  <si>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</si>
  <si>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</si>
  <si>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</si>
  <si>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</si>
  <si>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</si>
  <si>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</si>
  <si>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</si>
  <si>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</si>
  <si>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</si>
  <si>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</si>
  <si>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</si>
  <si>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</si>
  <si>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</si>
  <si>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</si>
  <si>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</si>
  <si>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</si>
  <si>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</si>
  <si>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</si>
  <si>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</si>
  <si>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</si>
  <si>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</si>
  <si>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</si>
  <si>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</si>
  <si>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</si>
  <si>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</si>
  <si>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</si>
  <si>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</si>
  <si>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</si>
  <si>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</si>
  <si>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</si>
  <si>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</si>
  <si>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</si>
  <si>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</si>
  <si>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</si>
  <si>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</si>
  <si>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</si>
  <si>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</si>
  <si>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</si>
  <si>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</si>
  <si>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</si>
  <si>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</si>
  <si>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</si>
  <si>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</si>
  <si>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</si>
  <si>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</si>
  <si>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</si>
  <si>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</si>
  <si>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</si>
  <si>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</si>
  <si>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</si>
  <si>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</si>
  <si>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</si>
  <si>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</si>
  <si>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</si>
  <si>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</si>
  <si>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</si>
  <si>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</si>
  <si>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</si>
  <si>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</si>
  <si>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</si>
  <si>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</si>
  <si>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</si>
  <si>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</si>
  <si>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</si>
  <si>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</si>
  <si>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</si>
  <si>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</si>
  <si>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</si>
  <si>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</si>
  <si>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</si>
  <si>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</si>
  <si>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</si>
  <si>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</si>
  <si>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</si>
  <si>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</si>
  <si>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</si>
  <si>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</si>
  <si>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</si>
  <si>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</si>
  <si>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</si>
  <si>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</si>
  <si>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</si>
  <si>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</si>
  <si>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</si>
  <si>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</si>
  <si>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</si>
  <si>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</si>
  <si>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</si>
  <si>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</si>
  <si>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</si>
  <si>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</si>
  <si>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</si>
  <si>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</si>
  <si>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</si>
  <si>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</si>
  <si>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</si>
  <si>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</si>
  <si>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</si>
  <si>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</si>
  <si>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</si>
  <si>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</si>
  <si>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</si>
  <si>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</si>
  <si>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</si>
  <si>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</si>
  <si>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</si>
  <si>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</si>
  <si>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</si>
  <si>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</si>
  <si>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</si>
  <si>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</si>
  <si>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</si>
  <si>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</si>
  <si>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</si>
  <si>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</si>
  <si>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</si>
  <si>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</si>
  <si>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</si>
  <si>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</si>
  <si>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</si>
  <si>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</si>
  <si>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</si>
  <si>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</si>
  <si>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</si>
  <si>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</si>
  <si>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</si>
  <si>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</si>
  <si>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</si>
  <si>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</si>
  <si>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</si>
  <si>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</si>
  <si>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</si>
  <si>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</si>
  <si>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</si>
  <si>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</si>
  <si>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</si>
  <si>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</si>
  <si>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</si>
  <si>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</si>
  <si>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</si>
  <si>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</si>
  <si>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</si>
  <si>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</si>
  <si>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</si>
  <si>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</si>
  <si>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</si>
  <si>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</si>
  <si>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</si>
  <si>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</si>
  <si>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</si>
  <si>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</si>
  <si>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</si>
  <si>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</si>
  <si>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</si>
  <si>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</si>
  <si>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</si>
  <si>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</si>
  <si>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</si>
  <si>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</si>
  <si>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</si>
  <si>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</si>
  <si>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</si>
  <si>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</si>
  <si>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</si>
  <si>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</si>
  <si>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</si>
  <si>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</si>
  <si>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</si>
  <si>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</si>
  <si>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</si>
  <si>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</si>
  <si>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</si>
  <si>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</si>
  <si>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</si>
  <si>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</si>
  <si>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</si>
  <si>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</si>
  <si>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</si>
  <si>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</si>
  <si>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</si>
  <si>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</si>
  <si>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</si>
  <si>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</si>
  <si>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</si>
  <si>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</si>
  <si>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</si>
  <si>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</si>
  <si>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</si>
  <si>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</si>
  <si>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</si>
  <si>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</si>
  <si>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</si>
  <si>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</si>
  <si>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</si>
  <si>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</si>
  <si>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</si>
  <si>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</si>
  <si>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</si>
  <si>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</si>
  <si>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</si>
  <si>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</si>
  <si>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</si>
  <si>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</si>
  <si>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</si>
  <si>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</si>
  <si>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</si>
  <si>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</si>
  <si>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</si>
  <si>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</si>
  <si>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</si>
  <si>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</si>
  <si>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</si>
  <si>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</si>
  <si>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</si>
  <si>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</si>
  <si>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</si>
  <si>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</si>
  <si>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</si>
  <si>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</si>
  <si>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</si>
  <si>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</si>
  <si>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</si>
  <si>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</si>
  <si>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</si>
  <si>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</si>
  <si>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</si>
  <si>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</si>
  <si>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</si>
  <si>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</si>
  <si>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</si>
  <si>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</si>
  <si>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</si>
  <si>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</si>
  <si>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</si>
  <si>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</si>
  <si>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</si>
  <si>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</si>
  <si>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</si>
  <si>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</si>
  <si>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</si>
  <si>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</si>
  <si>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</si>
  <si>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</si>
  <si>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</si>
  <si>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</si>
  <si>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</si>
  <si>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</si>
  <si>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</si>
  <si>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</si>
  <si>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</si>
  <si>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</si>
  <si>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</si>
  <si>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</si>
  <si>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</si>
  <si>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</si>
  <si>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</si>
  <si>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</si>
  <si>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</si>
  <si>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</si>
  <si>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</si>
  <si>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</si>
  <si>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</si>
  <si>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</si>
  <si>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</si>
  <si>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</si>
  <si>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</si>
  <si>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</si>
  <si>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</si>
  <si>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</si>
  <si>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</si>
  <si>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</si>
  <si>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</si>
  <si>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</si>
  <si>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</si>
  <si>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</si>
  <si>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</si>
  <si>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</si>
  <si>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</si>
  <si>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</si>
  <si>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</si>
  <si>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</si>
  <si>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</si>
  <si>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</si>
  <si>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</si>
  <si>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</si>
  <si>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</si>
  <si>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</si>
  <si>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</si>
  <si>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</si>
  <si>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</si>
  <si>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</si>
  <si>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</si>
  <si>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</si>
  <si>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</si>
  <si>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</si>
  <si>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</si>
  <si>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</si>
  <si>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</si>
  <si>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</si>
  <si>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</si>
  <si>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</si>
  <si>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</si>
  <si>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</si>
  <si>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</si>
  <si>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</si>
  <si>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</si>
  <si>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</si>
  <si>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</si>
  <si>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</si>
  <si>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</si>
  <si>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</si>
  <si>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</si>
  <si>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</si>
  <si>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</si>
  <si>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</si>
  <si>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</si>
  <si>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</si>
  <si>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</si>
  <si>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</si>
  <si>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</si>
  <si>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</si>
  <si>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</si>
  <si>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</si>
  <si>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</si>
  <si>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</si>
  <si>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</si>
  <si>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</si>
  <si>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</si>
  <si>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</si>
  <si>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</si>
  <si>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</si>
  <si>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</si>
  <si>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</si>
  <si>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</si>
  <si>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</si>
  <si>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</si>
  <si>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</si>
  <si>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</si>
  <si>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</si>
  <si>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</si>
  <si>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</si>
  <si>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</si>
  <si>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</si>
  <si>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</si>
  <si>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</si>
  <si>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</si>
  <si>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</si>
  <si>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</si>
  <si>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</si>
  <si>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</si>
  <si>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</si>
  <si>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</si>
  <si>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</si>
  <si>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</si>
  <si>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</si>
  <si>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</si>
  <si>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</si>
  <si>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</si>
  <si>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</si>
  <si>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</si>
  <si>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</si>
  <si>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</si>
  <si>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</si>
  <si>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</si>
  <si>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</si>
  <si>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</si>
  <si>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</si>
  <si>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</si>
  <si>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</si>
  <si>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</si>
  <si>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</si>
  <si>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</si>
  <si>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</si>
  <si>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</si>
  <si>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</si>
  <si>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</si>
  <si>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</si>
  <si>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</si>
  <si>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</si>
  <si>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</si>
  <si>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</si>
  <si>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</si>
  <si>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</si>
  <si>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</si>
  <si>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</si>
  <si>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</si>
  <si>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</si>
  <si>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</si>
  <si>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</si>
  <si>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</si>
  <si>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</si>
  <si>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</si>
  <si>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</si>
  <si>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</si>
  <si>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</si>
  <si>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</si>
  <si>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</si>
  <si>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</si>
  <si>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</si>
  <si>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</si>
  <si>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</si>
  <si>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</si>
  <si>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</si>
  <si>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</si>
  <si>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</si>
  <si>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</si>
  <si>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</si>
  <si>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</si>
  <si>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</si>
  <si>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</si>
  <si>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</si>
  <si>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</si>
  <si>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</si>
  <si>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</si>
  <si>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</si>
  <si>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</si>
  <si>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</si>
  <si>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</si>
  <si>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</si>
  <si>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</si>
  <si>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</si>
  <si>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</si>
  <si>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</si>
  <si>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</si>
  <si>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</si>
  <si>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</si>
  <si>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</si>
  <si>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</si>
  <si>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</si>
  <si>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</si>
  <si>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</si>
  <si>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</si>
  <si>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</si>
  <si>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</si>
  <si>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</si>
  <si>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</si>
  <si>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</si>
  <si>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</si>
  <si>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</si>
  <si>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</si>
  <si>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</si>
  <si>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</si>
  <si>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</si>
  <si>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</si>
  <si>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</si>
  <si>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</si>
  <si>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</si>
  <si>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</si>
  <si>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</si>
  <si>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</si>
  <si>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</si>
  <si>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</si>
  <si>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</si>
  <si>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</si>
  <si>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</si>
  <si>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</si>
  <si>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</si>
  <si>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</si>
  <si>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</si>
  <si>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</si>
  <si>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</si>
  <si>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</si>
  <si>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</si>
  <si>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</si>
  <si>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</si>
  <si>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</si>
  <si>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</si>
  <si>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</si>
  <si>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</si>
  <si>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</si>
  <si>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</si>
  <si>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</si>
  <si>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</si>
  <si>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</si>
  <si>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</si>
  <si>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</si>
  <si>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</si>
  <si>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</si>
  <si>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</si>
  <si>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</si>
  <si>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</si>
  <si>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</si>
  <si>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</si>
  <si>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</si>
  <si>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</si>
  <si>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</si>
  <si>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</si>
  <si>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</si>
  <si>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</si>
  <si>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</si>
  <si>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</si>
  <si>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</si>
  <si>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</si>
  <si>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</si>
  <si>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</si>
  <si>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</si>
  <si>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</si>
  <si>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</si>
  <si>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</si>
  <si>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</si>
  <si>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</si>
  <si>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</si>
  <si>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</si>
  <si>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</si>
  <si>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</si>
  <si>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</si>
  <si>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</si>
  <si>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</si>
  <si>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</si>
  <si>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</si>
  <si>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</si>
  <si>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</si>
  <si>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</si>
  <si>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</si>
  <si>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</si>
  <si>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</si>
  <si>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</si>
  <si>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</si>
  <si>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</si>
  <si>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</si>
  <si>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</si>
  <si>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</si>
  <si>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</si>
  <si>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</si>
  <si>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</si>
  <si>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</si>
  <si>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</si>
  <si>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</si>
  <si>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</si>
  <si>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</si>
  <si>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</si>
  <si>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</si>
  <si>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</si>
  <si>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</si>
  <si>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</si>
  <si>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</si>
  <si>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</si>
  <si>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</si>
  <si>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</si>
  <si>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</si>
  <si>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</si>
  <si>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</si>
  <si>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</si>
  <si>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</si>
  <si>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</si>
  <si>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</si>
  <si>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</si>
  <si>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</si>
  <si>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</si>
  <si>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</si>
  <si>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</si>
  <si>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</si>
  <si>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</si>
  <si>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</si>
  <si>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</si>
  <si>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</si>
  <si>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</si>
  <si>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</si>
  <si>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</si>
  <si>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</si>
  <si>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</si>
  <si>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</si>
  <si>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</si>
  <si>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</si>
  <si>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</si>
  <si>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</si>
  <si>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</si>
  <si>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</si>
  <si>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</si>
  <si>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</si>
  <si>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</si>
  <si>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</si>
  <si>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</si>
  <si>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</si>
  <si>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</si>
  <si>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</si>
  <si>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</si>
  <si>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</si>
  <si>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</si>
  <si>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</si>
  <si>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</si>
  <si>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</si>
  <si>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</si>
  <si>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</si>
  <si>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</si>
  <si>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</si>
  <si>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</si>
  <si>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</si>
  <si>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</si>
  <si>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</si>
  <si>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</si>
  <si>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</si>
  <si>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</si>
  <si>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</si>
  <si>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</si>
  <si>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</si>
  <si>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</si>
  <si>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</si>
  <si>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</si>
  <si>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</si>
  <si>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</si>
  <si>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</si>
  <si>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</si>
  <si>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</si>
  <si>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</si>
  <si>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</si>
  <si>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</si>
  <si>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</si>
  <si>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</si>
  <si>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</si>
  <si>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</si>
  <si>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</si>
  <si>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</si>
  <si>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</si>
  <si>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</si>
  <si>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</si>
  <si>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</si>
  <si>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</si>
  <si>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</si>
  <si>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</si>
  <si>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</si>
  <si>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</si>
  <si>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</si>
  <si>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</si>
  <si>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</si>
  <si>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</si>
  <si>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</si>
  <si>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</si>
  <si>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</si>
  <si>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</si>
  <si>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</si>
  <si>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</si>
  <si>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</si>
  <si>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</si>
  <si>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</si>
  <si>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</si>
  <si>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</si>
  <si>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</si>
  <si>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</si>
  <si>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</si>
  <si>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</si>
  <si>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</si>
  <si>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</si>
  <si>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</si>
  <si>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</si>
  <si>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</si>
  <si>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</si>
  <si>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</si>
  <si>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</si>
  <si>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</si>
  <si>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</si>
  <si>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</si>
  <si>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</si>
  <si>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</si>
  <si>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</si>
  <si>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</si>
  <si>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</si>
  <si>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</si>
  <si>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</si>
  <si>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</si>
  <si>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</si>
  <si>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</si>
  <si>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</si>
  <si>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</si>
  <si>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</si>
  <si>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</si>
  <si>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</si>
  <si>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</si>
  <si>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</si>
  <si>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</si>
  <si>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</si>
  <si>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</si>
  <si>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</si>
  <si>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</si>
  <si>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</si>
  <si>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</si>
  <si>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</si>
  <si>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</si>
  <si>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</si>
  <si>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</si>
  <si>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</si>
  <si>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</si>
  <si>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</si>
  <si>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</si>
  <si>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</si>
  <si>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</si>
  <si>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</si>
  <si>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</si>
  <si>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</si>
  <si>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</si>
  <si>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</si>
  <si>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</si>
  <si>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</si>
  <si>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</si>
  <si>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</si>
  <si>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</si>
  <si>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</si>
  <si>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</si>
  <si>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</si>
  <si>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</si>
  <si>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</si>
  <si>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</si>
  <si>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</si>
  <si>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</si>
  <si>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</si>
  <si>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</si>
  <si>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</si>
  <si>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</si>
  <si>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</si>
  <si>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</si>
  <si>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</si>
  <si>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</si>
  <si>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</si>
  <si>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</si>
  <si>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</si>
  <si>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</si>
  <si>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</si>
  <si>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</si>
  <si>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</si>
  <si>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</si>
  <si>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</si>
  <si>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</si>
  <si>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</si>
  <si>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</si>
  <si>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</si>
  <si>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</si>
  <si>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</si>
  <si>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</si>
  <si>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</si>
  <si>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</si>
  <si>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</si>
  <si>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</si>
  <si>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</si>
  <si>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</si>
  <si>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</si>
  <si>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</si>
  <si>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</si>
  <si>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</si>
  <si>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</si>
  <si>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</si>
  <si>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</si>
  <si>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</si>
  <si>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</si>
  <si>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</si>
  <si>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</si>
  <si>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</si>
  <si>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</si>
  <si>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</si>
  <si>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</si>
  <si>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</si>
  <si>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</si>
  <si>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</si>
  <si>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</si>
  <si>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</si>
  <si>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</si>
  <si>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</si>
  <si>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</si>
  <si>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</si>
  <si>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</si>
  <si>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</si>
  <si>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</si>
  <si>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</si>
  <si>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</si>
  <si>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</si>
  <si>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</si>
  <si>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</si>
  <si>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</si>
  <si>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</si>
  <si>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</si>
  <si>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</si>
  <si>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</si>
  <si>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</si>
  <si>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</si>
  <si>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</si>
  <si>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</si>
  <si>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</si>
  <si>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</si>
  <si>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</si>
  <si>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</si>
  <si>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</si>
  <si>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</si>
  <si>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</si>
  <si>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</si>
  <si>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</si>
  <si>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</si>
  <si>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</si>
  <si>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</si>
  <si>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</si>
  <si>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</si>
  <si>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</si>
  <si>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</si>
  <si>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</si>
  <si>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</si>
  <si>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</si>
  <si>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</si>
  <si>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</si>
  <si>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</si>
  <si>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</si>
  <si>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</si>
  <si>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</si>
  <si>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</si>
  <si>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</si>
  <si>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</si>
  <si>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</si>
  <si>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</si>
  <si>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</si>
  <si>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</si>
  <si>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</si>
  <si>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</si>
  <si>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</si>
  <si>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</si>
  <si>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</si>
  <si>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</si>
  <si>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</si>
  <si>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</si>
  <si>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</si>
  <si>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</si>
  <si>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</si>
  <si>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</si>
  <si>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</si>
  <si>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</si>
  <si>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</si>
  <si>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</si>
  <si>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</si>
  <si>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</si>
  <si>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</si>
  <si>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</si>
  <si>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</si>
  <si>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</si>
  <si>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</si>
  <si>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</si>
  <si>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</si>
  <si>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</si>
  <si>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</si>
  <si>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</si>
  <si>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</si>
  <si>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</si>
  <si>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</si>
  <si>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</si>
  <si>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</si>
  <si>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</si>
  <si>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</si>
  <si>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</si>
  <si>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</si>
  <si>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</si>
  <si>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</si>
  <si>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</si>
  <si>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</si>
  <si>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</si>
  <si>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</si>
  <si>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</si>
  <si>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</si>
  <si>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</si>
  <si>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</si>
  <si>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</si>
  <si>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</si>
  <si>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</si>
  <si>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</si>
  <si>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</si>
  <si>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</si>
  <si>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</si>
  <si>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</si>
  <si>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</si>
  <si>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</si>
  <si>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</si>
  <si>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</si>
  <si>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</si>
  <si>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</si>
  <si>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</si>
  <si>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</si>
  <si>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</si>
  <si>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</si>
  <si>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</si>
  <si>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</si>
  <si>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</si>
  <si>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</si>
  <si>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</si>
  <si>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</si>
  <si>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</si>
  <si>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</si>
  <si>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</si>
  <si>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</si>
  <si>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</si>
  <si>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</si>
  <si>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</si>
  <si>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</si>
  <si>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</si>
  <si>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</si>
  <si>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</si>
  <si>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</si>
  <si>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</si>
  <si>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</si>
  <si>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</si>
  <si>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</si>
  <si>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</si>
  <si>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</si>
  <si>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</si>
  <si>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</si>
  <si>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</si>
  <si>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</si>
  <si>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</si>
  <si>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</si>
  <si>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</si>
  <si>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</si>
  <si>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</si>
  <si>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</si>
  <si>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</si>
  <si>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</si>
  <si>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</si>
  <si>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</si>
  <si>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</si>
  <si>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</si>
  <si>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</si>
  <si>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</si>
  <si>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</si>
  <si>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</si>
  <si>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</si>
  <si>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</si>
  <si>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</si>
  <si>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</si>
  <si>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</si>
  <si>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</si>
  <si>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</si>
  <si>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</si>
  <si>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</si>
  <si>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</si>
  <si>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</si>
  <si>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</si>
  <si>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</si>
  <si>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</si>
  <si>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</si>
  <si>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</si>
  <si>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</si>
  <si>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</si>
  <si>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</si>
  <si>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</si>
  <si>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</si>
  <si>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</si>
  <si>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</si>
  <si>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</si>
  <si>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</si>
  <si>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</si>
  <si>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</si>
  <si>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</si>
  <si>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</si>
  <si>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</si>
  <si>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</si>
  <si>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</si>
  <si>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</si>
  <si>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</si>
  <si>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</si>
  <si>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</si>
  <si>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</si>
  <si>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</si>
  <si>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</si>
  <si>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</si>
  <si>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</si>
  <si>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</si>
  <si>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</si>
  <si>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</si>
  <si>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</si>
  <si>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</si>
  <si>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</si>
  <si>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</si>
  <si>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</si>
  <si>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</si>
  <si>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</si>
  <si>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</si>
  <si>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</si>
  <si>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</si>
  <si>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</si>
  <si>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</si>
  <si>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</si>
  <si>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</si>
  <si>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</si>
  <si>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</si>
  <si>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</si>
  <si>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</si>
  <si>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</si>
  <si>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</si>
  <si>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</si>
  <si>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</si>
  <si>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</si>
  <si>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</si>
  <si>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</si>
  <si>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</si>
  <si>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</si>
  <si>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</si>
  <si>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</si>
  <si>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</si>
  <si>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</si>
  <si>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</si>
  <si>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</si>
  <si>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</si>
  <si>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</si>
  <si>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</si>
  <si>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</si>
  <si>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</si>
  <si>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</si>
  <si>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</si>
  <si>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</si>
  <si>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</si>
  <si>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</si>
  <si>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</si>
  <si>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</si>
  <si>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</si>
  <si>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</si>
  <si>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</si>
  <si>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</si>
  <si>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</si>
  <si>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</si>
  <si>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</si>
  <si>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</si>
  <si>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</si>
  <si>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</si>
  <si>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</si>
  <si>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</si>
  <si>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</si>
  <si>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</si>
  <si>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</si>
  <si>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</si>
  <si>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</si>
  <si>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</si>
  <si>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</si>
  <si>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</si>
  <si>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</si>
  <si>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</si>
  <si>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</si>
  <si>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</si>
  <si>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</si>
  <si>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</si>
  <si>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</si>
  <si>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</si>
  <si>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</si>
  <si>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</si>
  <si>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</si>
  <si>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</si>
  <si>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</si>
  <si>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</si>
  <si>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</si>
  <si>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</si>
  <si>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</si>
  <si>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</si>
  <si>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</si>
  <si>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</si>
  <si>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</si>
  <si>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</si>
  <si>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</si>
  <si>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</si>
  <si>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</si>
  <si>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</si>
  <si>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</si>
  <si>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</si>
  <si>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</si>
  <si>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</si>
  <si>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</si>
  <si>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</si>
  <si>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</si>
  <si>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</si>
  <si>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</si>
  <si>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</si>
  <si>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</si>
  <si>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</si>
  <si>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</si>
  <si>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</si>
  <si>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</si>
  <si>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</si>
  <si>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</si>
  <si>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</si>
  <si>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</si>
  <si>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</si>
  <si>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</si>
  <si>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</si>
  <si>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</si>
  <si>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</si>
  <si>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</si>
  <si>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</si>
  <si>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</si>
  <si>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</si>
  <si>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</si>
  <si>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</si>
  <si>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</si>
  <si>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</si>
  <si>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</si>
  <si>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</si>
  <si>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</si>
  <si>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</si>
  <si>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</si>
  <si>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</si>
  <si>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</si>
  <si>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</si>
  <si>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</si>
  <si>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</si>
  <si>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</si>
  <si>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</si>
  <si>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</si>
  <si>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</si>
  <si>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</si>
  <si>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</si>
  <si>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</si>
  <si>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</si>
  <si>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</si>
  <si>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</si>
  <si>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</si>
  <si>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</si>
  <si>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</si>
  <si>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</si>
  <si>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</si>
  <si>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</si>
  <si>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</si>
  <si>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</si>
  <si>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</si>
  <si>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</si>
  <si>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</si>
  <si>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</si>
  <si>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</si>
  <si>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</si>
  <si>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</si>
  <si>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</si>
  <si>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</si>
  <si>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</si>
  <si>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</si>
  <si>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</si>
  <si>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</si>
  <si>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</si>
  <si>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</si>
  <si>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</si>
  <si>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</si>
  <si>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</si>
  <si>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</si>
  <si>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</si>
  <si>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</si>
  <si>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</si>
  <si>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</si>
  <si>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</si>
  <si>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</si>
  <si>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</si>
  <si>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</si>
  <si>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</si>
  <si>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</si>
  <si>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</si>
  <si>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</si>
  <si>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</si>
  <si>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</si>
  <si>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</si>
  <si>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</si>
  <si>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</si>
  <si>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</si>
  <si>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</si>
  <si>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</si>
  <si>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</si>
  <si>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</si>
  <si>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</si>
  <si>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</si>
  <si>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</si>
  <si>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</si>
  <si>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</si>
  <si>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</si>
  <si>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</si>
  <si>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</si>
  <si>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</si>
  <si>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</si>
  <si>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</si>
  <si>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</si>
  <si>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</si>
  <si>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</si>
  <si>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</si>
  <si>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</si>
  <si>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</si>
  <si>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</si>
  <si>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</si>
  <si>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</si>
  <si>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</si>
  <si>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</si>
  <si>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</si>
  <si>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</si>
  <si>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</si>
  <si>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</si>
  <si>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</si>
  <si>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</si>
  <si>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</si>
  <si>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</si>
  <si>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</si>
  <si>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</si>
  <si>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</si>
  <si>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</si>
  <si>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</si>
  <si>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</si>
  <si>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</si>
  <si>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</si>
  <si>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</si>
  <si>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</si>
  <si>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</si>
  <si>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</si>
  <si>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</si>
  <si>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</si>
  <si>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</si>
  <si>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</si>
  <si>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</si>
  <si>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</si>
  <si>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</si>
  <si>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</si>
  <si>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</si>
  <si>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</si>
  <si>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</si>
  <si>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</si>
  <si>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</si>
  <si>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</si>
  <si>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</si>
  <si>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</si>
  <si>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</si>
  <si>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</si>
  <si>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</si>
  <si>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</si>
  <si>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</si>
  <si>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</si>
  <si>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</si>
  <si>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</si>
  <si>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</si>
  <si>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</si>
  <si>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</si>
  <si>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</si>
  <si>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</si>
  <si>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</si>
  <si>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</si>
  <si>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</si>
  <si>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</si>
  <si>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</si>
  <si>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</si>
  <si>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</si>
  <si>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</si>
  <si>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</si>
  <si>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</si>
  <si>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</si>
  <si>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</si>
  <si>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</si>
  <si>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</si>
  <si>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</si>
  <si>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</si>
  <si>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</si>
  <si>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</si>
  <si>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</si>
  <si>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</si>
  <si>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</si>
  <si>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</si>
  <si>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</si>
  <si>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</si>
  <si>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</si>
  <si>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</si>
  <si>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</si>
  <si>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</si>
  <si>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</si>
  <si>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</si>
  <si>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</si>
  <si>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</si>
  <si>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</si>
  <si>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</si>
  <si>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</si>
  <si>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</si>
  <si>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</si>
  <si>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</si>
  <si>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</si>
  <si>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</si>
  <si>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</si>
  <si>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</si>
  <si>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</si>
  <si>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</si>
  <si>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</si>
  <si>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</si>
  <si>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</si>
  <si>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</si>
  <si>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</si>
  <si>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</si>
  <si>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</si>
  <si>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</si>
  <si>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</si>
  <si>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</si>
  <si>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</si>
  <si>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</si>
  <si>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</si>
  <si>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</si>
  <si>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</si>
  <si>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</si>
  <si>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</si>
  <si>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</si>
  <si>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</si>
  <si>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</si>
  <si>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</si>
  <si>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</si>
  <si>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</si>
  <si>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</si>
  <si>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</si>
  <si>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</si>
  <si>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</si>
  <si>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</si>
  <si>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</si>
  <si>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</si>
  <si>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</si>
  <si>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</si>
  <si>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</si>
  <si>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</si>
  <si>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</si>
  <si>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</si>
  <si>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</si>
  <si>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</si>
  <si>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</si>
  <si>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</si>
  <si>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</si>
  <si>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</si>
  <si>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</si>
  <si>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</si>
  <si>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</si>
  <si>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</si>
  <si>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</si>
  <si>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</si>
  <si>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</si>
  <si>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</si>
  <si>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</si>
  <si>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</si>
  <si>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</si>
  <si>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</si>
  <si>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</si>
  <si>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</si>
  <si>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</si>
  <si>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</si>
  <si>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</si>
  <si>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</si>
  <si>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</si>
  <si>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</si>
  <si>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</si>
  <si>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</si>
  <si>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</si>
  <si>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</si>
  <si>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</si>
  <si>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</si>
  <si>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</si>
  <si>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</si>
  <si>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</si>
  <si>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</si>
  <si>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</si>
  <si>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</si>
  <si>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</si>
  <si>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</si>
  <si>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</si>
  <si>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</si>
  <si>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</si>
  <si>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</si>
  <si>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</si>
  <si>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</si>
  <si>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</si>
  <si>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</si>
  <si>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</si>
  <si>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</si>
  <si>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</si>
  <si>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</si>
  <si>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</si>
  <si>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</si>
  <si>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</si>
  <si>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</si>
  <si>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</si>
  <si>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</si>
  <si>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</si>
  <si>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</si>
  <si>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</si>
  <si>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</si>
  <si>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</si>
  <si>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</si>
  <si>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</si>
  <si>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</si>
  <si>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</si>
  <si>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</si>
  <si>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</si>
  <si>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</si>
  <si>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</si>
  <si>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</si>
  <si>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</si>
  <si>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</si>
  <si>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</si>
  <si>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</si>
  <si>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</si>
  <si>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</si>
  <si>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</si>
  <si>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</si>
  <si>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</si>
  <si>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</si>
  <si>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</si>
  <si>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</si>
  <si>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</si>
  <si>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</si>
  <si>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</si>
  <si>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</si>
  <si>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</si>
  <si>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</si>
  <si>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</si>
  <si>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</si>
  <si>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</si>
  <si>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</si>
  <si>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</si>
  <si>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</si>
  <si>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</si>
  <si>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</si>
  <si>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</si>
  <si>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</si>
  <si>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</si>
  <si>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</si>
  <si>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</si>
  <si>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</si>
  <si>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</si>
  <si>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</si>
  <si>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</si>
  <si>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</si>
  <si>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</si>
  <si>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</si>
  <si>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</si>
  <si>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</si>
  <si>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</si>
  <si>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</si>
  <si>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</si>
  <si>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</si>
  <si>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</si>
  <si>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</si>
  <si>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</si>
  <si>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</si>
  <si>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</si>
  <si>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</si>
  <si>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</si>
  <si>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</si>
  <si>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</si>
  <si>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</si>
  <si>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</si>
  <si>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</si>
  <si>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</si>
  <si>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</si>
  <si>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</si>
  <si>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</si>
  <si>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</si>
  <si>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</si>
  <si>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</si>
  <si>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</si>
  <si>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</si>
  <si>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</si>
  <si>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</si>
  <si>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</si>
  <si>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</si>
  <si>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</si>
  <si>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</si>
  <si>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</si>
  <si>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</si>
  <si>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</si>
  <si>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</si>
  <si>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</si>
  <si>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</si>
  <si>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</si>
  <si>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</si>
  <si>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</si>
  <si>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</si>
  <si>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</si>
  <si>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</si>
  <si>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</si>
  <si>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</si>
  <si>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</si>
  <si>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</si>
  <si>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</si>
  <si>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</si>
  <si>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</si>
  <si>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</si>
  <si>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</si>
  <si>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</si>
  <si>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</si>
  <si>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</si>
  <si>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</si>
  <si>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</si>
  <si>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</si>
  <si>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</si>
  <si>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</si>
  <si>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</si>
  <si>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</si>
  <si>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</si>
  <si>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</si>
  <si>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</si>
  <si>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</si>
  <si>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</si>
  <si>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</si>
  <si>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</si>
  <si>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</si>
  <si>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</si>
  <si>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</si>
  <si>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</si>
  <si>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</si>
  <si>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</si>
  <si>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</si>
  <si>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</si>
  <si>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</si>
  <si>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</si>
  <si>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</si>
  <si>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</si>
  <si>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</si>
  <si>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</si>
  <si>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</si>
  <si>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</si>
  <si>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</si>
  <si>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</si>
  <si>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</si>
  <si>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</si>
  <si>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</si>
  <si>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</si>
  <si>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</si>
  <si>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</si>
  <si>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</si>
  <si>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</si>
  <si>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</si>
  <si>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</si>
  <si>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</si>
  <si>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</si>
  <si>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</si>
  <si>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</si>
  <si>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</si>
  <si>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</si>
  <si>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</si>
  <si>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</si>
  <si>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</si>
  <si>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</si>
  <si>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</si>
  <si>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</si>
  <si>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</si>
  <si>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</si>
  <si>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</si>
  <si>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</si>
  <si>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</si>
  <si>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</si>
  <si>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</si>
  <si>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</si>
  <si>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</si>
  <si>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</si>
  <si>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</si>
  <si>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</si>
  <si>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</si>
  <si>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</si>
  <si>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</si>
  <si>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</si>
  <si>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</si>
  <si>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</si>
  <si>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</si>
  <si>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</si>
  <si>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</si>
  <si>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</si>
  <si>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</si>
  <si>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</si>
  <si>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</si>
  <si>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</si>
  <si>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</si>
  <si>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</si>
  <si>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</si>
  <si>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</si>
  <si>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</si>
  <si>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</si>
  <si>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</si>
  <si>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</si>
  <si>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</si>
  <si>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</si>
  <si>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</si>
  <si>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</si>
  <si>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</si>
  <si>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</si>
  <si>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</si>
  <si>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</si>
  <si>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</si>
  <si>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</si>
  <si>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</si>
  <si>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</si>
  <si>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</si>
  <si>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</si>
  <si>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</si>
  <si>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</si>
  <si>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</si>
  <si>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</si>
  <si>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</si>
  <si>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</si>
  <si>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</si>
  <si>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</si>
  <si>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</si>
  <si>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</si>
  <si>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</si>
  <si>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</si>
  <si>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</si>
  <si>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</si>
  <si>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</si>
  <si>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</si>
  <si>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</si>
  <si>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</si>
  <si>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</si>
  <si>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</si>
  <si>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</si>
  <si>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</si>
  <si>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</si>
  <si>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</si>
  <si>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</si>
  <si>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</si>
  <si>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</si>
  <si>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</si>
  <si>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</si>
  <si>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</si>
  <si>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</si>
  <si>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</si>
  <si>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</si>
  <si>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</si>
  <si>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</si>
  <si>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</si>
  <si>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</si>
  <si>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</si>
  <si>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</si>
  <si>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</si>
  <si>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</si>
  <si>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</si>
  <si>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</si>
  <si>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</si>
  <si>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</si>
  <si>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</si>
  <si>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</si>
  <si>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</si>
  <si>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</si>
  <si>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</si>
  <si>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</si>
  <si>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</si>
  <si>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浙金信托</t>
    <phoneticPr fontId="6" type="noConversion"/>
  </si>
  <si>
    <t>王鹏</t>
  </si>
  <si>
    <t>郑燚</t>
  </si>
  <si>
    <t>抵押价格</t>
  </si>
  <si>
    <t>其他：</t>
  </si>
  <si>
    <t>四川省内江市</t>
    <phoneticPr fontId="6" type="noConversion"/>
  </si>
  <si>
    <t>企业</t>
  </si>
  <si>
    <t>内江祥澳置业有限公司</t>
  </si>
  <si>
    <t>住宅、商业</t>
  </si>
  <si>
    <t>住宅、商业</t>
    <phoneticPr fontId="6" type="noConversion"/>
  </si>
  <si>
    <t>商业</t>
  </si>
  <si>
    <t>场地平整</t>
  </si>
  <si>
    <t>居住项目</t>
  </si>
  <si>
    <t>内江经开区甜德街西侧，甜和街东侧A-5-2地块</t>
    <phoneticPr fontId="6" type="noConversion"/>
  </si>
  <si>
    <t>内江祥澳置业有限公司</t>
    <phoneticPr fontId="6" type="noConversion"/>
  </si>
  <si>
    <t>否</t>
  </si>
  <si>
    <t>情况3</t>
  </si>
  <si>
    <t>正常</t>
  </si>
  <si>
    <t>自行开发建设</t>
  </si>
  <si>
    <t>出让金+开发费</t>
  </si>
  <si>
    <t>1号楼</t>
    <phoneticPr fontId="3" type="noConversion"/>
  </si>
  <si>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</si>
  <si>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</si>
  <si>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</si>
  <si>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</si>
  <si>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</si>
  <si>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</si>
  <si>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</si>
  <si>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</si>
  <si>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</si>
  <si>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</si>
  <si>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</si>
  <si>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</si>
  <si>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</si>
  <si>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</si>
  <si>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</si>
  <si>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</si>
  <si>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</si>
  <si>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</si>
  <si>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</si>
  <si>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</si>
  <si>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</si>
  <si>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</si>
  <si>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</si>
  <si>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地上</t>
  </si>
  <si>
    <t>洋房</t>
  </si>
  <si>
    <t>平层住宅</t>
  </si>
  <si>
    <t>11层</t>
    <phoneticPr fontId="3" type="noConversion"/>
  </si>
  <si>
    <t>23层</t>
    <phoneticPr fontId="3" type="noConversion"/>
  </si>
  <si>
    <t>22层</t>
    <phoneticPr fontId="3" type="noConversion"/>
  </si>
  <si>
    <t>2层</t>
    <phoneticPr fontId="3" type="noConversion"/>
  </si>
  <si>
    <t>3层</t>
    <phoneticPr fontId="3" type="noConversion"/>
  </si>
  <si>
    <t>1层</t>
    <phoneticPr fontId="3" type="noConversion"/>
  </si>
  <si>
    <t>地下室</t>
    <phoneticPr fontId="3" type="noConversion"/>
  </si>
  <si>
    <t>底商</t>
  </si>
  <si>
    <t>地下</t>
  </si>
  <si>
    <t>车库</t>
  </si>
  <si>
    <t>规证合计</t>
    <phoneticPr fontId="3" type="noConversion"/>
  </si>
  <si>
    <t>高层</t>
  </si>
  <si>
    <t>高层</t>
    <phoneticPr fontId="7" type="noConversion"/>
  </si>
  <si>
    <t>洋房</t>
    <phoneticPr fontId="7" type="noConversion"/>
  </si>
  <si>
    <t>商业</t>
    <phoneticPr fontId="7" type="noConversion"/>
  </si>
  <si>
    <t>地下车库</t>
    <phoneticPr fontId="7" type="noConversion"/>
  </si>
  <si>
    <t>多层</t>
    <phoneticPr fontId="3" type="noConversion"/>
  </si>
  <si>
    <t>小高层</t>
    <phoneticPr fontId="3" type="noConversion"/>
  </si>
  <si>
    <t>高层</t>
    <phoneticPr fontId="3" type="noConversion"/>
  </si>
  <si>
    <t>成都</t>
    <phoneticPr fontId="3" type="noConversion"/>
  </si>
  <si>
    <t>不动产收益法-车库</t>
  </si>
  <si>
    <t>不动产收益法-商业</t>
  </si>
  <si>
    <r>
      <rPr>
        <sz val="11"/>
        <color indexed="8"/>
        <rFont val="仿宋_GB2312"/>
        <family val="3"/>
        <charset val="134"/>
      </rPr>
      <t>不动产比较法</t>
    </r>
    <r>
      <rPr>
        <sz val="11"/>
        <color indexed="8"/>
        <rFont val="Arial"/>
        <family val="2"/>
      </rPr>
      <t>-</t>
    </r>
    <r>
      <rPr>
        <sz val="11"/>
        <color indexed="8"/>
        <rFont val="仿宋_GB2312"/>
        <family val="3"/>
        <charset val="134"/>
      </rPr>
      <t>高层</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</si>
  <si>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洋房</t>
    </r>
    <phoneticPr fontId="14" type="noConversion"/>
  </si>
  <si>
    <t>售价</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</si>
  <si>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</si>
  <si>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</si>
  <si>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</si>
  <si>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</si>
  <si>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</si>
  <si>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</si>
  <si>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</si>
  <si>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</si>
  <si>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</si>
  <si>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</si>
  <si>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</si>
  <si>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</si>
  <si>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</si>
  <si>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</si>
  <si>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</si>
  <si>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</si>
  <si>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</si>
  <si>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</si>
  <si>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</si>
  <si>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</si>
  <si>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</si>
  <si>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</si>
  <si>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</si>
  <si>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</si>
  <si>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</si>
  <si>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</si>
  <si>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</si>
  <si>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</si>
  <si>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</si>
  <si>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</si>
  <si>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</si>
  <si>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</si>
  <si>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</si>
  <si>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</si>
  <si>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</si>
  <si>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</si>
  <si>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</si>
  <si>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</si>
  <si>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</si>
  <si>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</si>
  <si>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</si>
  <si>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</si>
  <si>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</si>
  <si>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</si>
  <si>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</si>
  <si>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内江汉安湖片区A-05、A-06、A-07地块,青龙路东侧,横一路北侧</t>
  </si>
  <si>
    <t>内江市</t>
  </si>
  <si>
    <t>住宅用地</t>
  </si>
  <si>
    <t>东兴区</t>
  </si>
  <si>
    <t>拍卖</t>
  </si>
  <si>
    <t>内地拍(2020)24号</t>
  </si>
  <si>
    <t>城镇住宅-普通商品住房用地</t>
  </si>
  <si>
    <t>大于或等于1并且小于或等于3</t>
  </si>
  <si>
    <t>小于或等于35</t>
  </si>
  <si>
    <t>小于或等于80</t>
  </si>
  <si>
    <t>未开工</t>
  </si>
  <si>
    <t>2020-11-25</t>
  </si>
  <si>
    <t>2020-12-25</t>
  </si>
  <si>
    <t>内公资土拍告[2020]34号</t>
  </si>
  <si>
    <t>已成交</t>
  </si>
  <si>
    <t>内江万达文化旅游置业有限公司</t>
  </si>
  <si>
    <t>70年</t>
  </si>
  <si>
    <t>0星</t>
  </si>
  <si>
    <t>内江新城中心区谢家河片区b2-1</t>
  </si>
  <si>
    <t>内地拍(2020)20号</t>
  </si>
  <si>
    <t>大于1并且小于或等于1.2</t>
  </si>
  <si>
    <t>小于或等于30</t>
  </si>
  <si>
    <t>小于或等于20</t>
  </si>
  <si>
    <t>2020-11-24</t>
  </si>
  <si>
    <t>2020-12-15</t>
  </si>
  <si>
    <t>内公资土拍告[2020]33号</t>
  </si>
  <si>
    <t>内江建工集团有限责任公司</t>
  </si>
  <si>
    <t>内江经开区甜城大道西侧、甜福路北侧</t>
  </si>
  <si>
    <t>市中区</t>
  </si>
  <si>
    <t>内地拍(2020)05号</t>
  </si>
  <si>
    <t>大于或等于1并且小于或等于2.9</t>
  </si>
  <si>
    <t>小于或等于100</t>
  </si>
  <si>
    <t>2020-11-23</t>
  </si>
  <si>
    <t>2020-12-12</t>
  </si>
  <si>
    <t>内公资土拍告[2020]32号</t>
  </si>
  <si>
    <t>内江兴元实业集团有限责任公司</t>
  </si>
  <si>
    <t>内江经开区甜城大道西侧、汉安大道北侧</t>
  </si>
  <si>
    <t>内地拍(2020)17号</t>
  </si>
  <si>
    <t>小于或等于22</t>
  </si>
  <si>
    <t>2020-11-17</t>
  </si>
  <si>
    <t>2020-12-08</t>
  </si>
  <si>
    <t>内公资土拍告[2020]31号</t>
  </si>
  <si>
    <t>内江高新区白马园区BM03-C18、BM03-C19地块</t>
  </si>
  <si>
    <t>综合用地(含住宅)</t>
  </si>
  <si>
    <t>内地拍(2020)07号</t>
  </si>
  <si>
    <t>综合用地</t>
  </si>
  <si>
    <t>大于1并且小于或等于1.8</t>
  </si>
  <si>
    <t>小于或等于36</t>
  </si>
  <si>
    <t>2020-11-13</t>
  </si>
  <si>
    <t>2020-12-03</t>
  </si>
  <si>
    <t>内公资土拍告[2020]30号</t>
  </si>
  <si>
    <t>内江路桥集团有限公司</t>
  </si>
  <si>
    <t>住宅70年,商业40年</t>
  </si>
  <si>
    <t>东兴区西林大道东侧、玉屏街南侧</t>
  </si>
  <si>
    <t>内地拍(2020)16号</t>
  </si>
  <si>
    <t>大于1并且小于或等于2.5</t>
  </si>
  <si>
    <t>2020-11-06</t>
  </si>
  <si>
    <t>2020-11-27</t>
  </si>
  <si>
    <t>内公资土拍告[2020]29号</t>
  </si>
  <si>
    <t>内江邦泰乐居置业有限公司</t>
  </si>
  <si>
    <t>内江市城南乐贤片区C18-03/01地块,位于内江市城南新区塔山路南段南侧、三元路西侧、新光路南段北侧</t>
  </si>
  <si>
    <t>内市中地拍(2020)06号</t>
  </si>
  <si>
    <t>大于1并且小于或等于2.2</t>
  </si>
  <si>
    <t>小于或等于54</t>
  </si>
  <si>
    <t>2020-10-29</t>
  </si>
  <si>
    <t>2020-11-18</t>
  </si>
  <si>
    <t>内公资土拍告[2020]26号</t>
  </si>
  <si>
    <t>内江市鑫泰利房地产开发有限责任公司</t>
  </si>
  <si>
    <t>内江鑫隆国有资产经营有限责任公司</t>
  </si>
  <si>
    <t>内江市东兴区汉安大道南侧,小青龙河西侧</t>
  </si>
  <si>
    <t>内市东地拍(2020)01号</t>
  </si>
  <si>
    <t>大于或等于1并且小于或等于2.5</t>
  </si>
  <si>
    <t>大于或等于35</t>
  </si>
  <si>
    <t>2020-10-26</t>
  </si>
  <si>
    <t>内公资土拍告[2020]25号</t>
  </si>
  <si>
    <t>内江邦泰置业有限公司</t>
  </si>
  <si>
    <t>四川邦泰置业有限公司</t>
  </si>
  <si>
    <t>内江经开区甜城大道东侧、顺江路西侧、康宁路北侧</t>
  </si>
  <si>
    <t>内地拍(2020)15号</t>
  </si>
  <si>
    <t>大于或等于1并且小于或等于3.1</t>
  </si>
  <si>
    <t>2020-09-16</t>
  </si>
  <si>
    <t>2020-10-10</t>
  </si>
  <si>
    <t>内公资土拍告[2020]23号</t>
  </si>
  <si>
    <t>内江市嘉宏城建集团有限公司</t>
  </si>
  <si>
    <t>内江投资控股集团有限公司</t>
  </si>
  <si>
    <t>内江经开区甜城大道东侧、迎霞路南侧、顺江路西侧</t>
  </si>
  <si>
    <t>壕子口街道</t>
  </si>
  <si>
    <t>内地拍(2020)14号</t>
  </si>
  <si>
    <t>商品房-普通商品住房</t>
  </si>
  <si>
    <t>大于1并且小于或等于3.1</t>
  </si>
  <si>
    <t>2020-09-08</t>
  </si>
  <si>
    <t>2020-09-28</t>
  </si>
  <si>
    <t>内公资土拍告[2020]21号</t>
  </si>
  <si>
    <t>内江市宏旭置业有限公司</t>
  </si>
  <si>
    <t>四川和喜安筑置业集团有限公司</t>
  </si>
  <si>
    <t>3星</t>
  </si>
  <si>
    <t>内江高新区高桥园区C-6-1地块</t>
  </si>
  <si>
    <t>孟塘镇</t>
  </si>
  <si>
    <t>内地拍(2020)04号</t>
  </si>
  <si>
    <t>城镇住宅用地</t>
  </si>
  <si>
    <t>大于1并且小于或等于1.3</t>
  </si>
  <si>
    <t>小于或等于27</t>
  </si>
  <si>
    <t>2020-08-26</t>
  </si>
  <si>
    <t>内公资土拍告[2020]20号</t>
  </si>
  <si>
    <t>四川瑞尊房地产开发有限公司</t>
  </si>
  <si>
    <t>1星</t>
  </si>
  <si>
    <t>内江市城南乐贤片区C05-07/01地块</t>
  </si>
  <si>
    <t>交通乡</t>
  </si>
  <si>
    <t>内市中地拍(2020)04号</t>
  </si>
  <si>
    <t>城镇住宅(兼容商服)用地</t>
  </si>
  <si>
    <t>2020-07-22</t>
  </si>
  <si>
    <t>2020-08-11</t>
  </si>
  <si>
    <t>内公资土拍告[2020]16号</t>
  </si>
  <si>
    <t>内江城南新区建设有限公司</t>
  </si>
  <si>
    <t>居住70年,商业40年</t>
  </si>
  <si>
    <t>4星</t>
  </si>
  <si>
    <t>内江汉安湖片区A-01、A-02、A-03、C-03地块位于汉安大道南侧及北侧</t>
  </si>
  <si>
    <t>西林街道</t>
  </si>
  <si>
    <t>内地拍(2020)11号</t>
  </si>
  <si>
    <t>2020-06-02</t>
  </si>
  <si>
    <t>2020-06-23</t>
  </si>
  <si>
    <t>内公资土拍告[2020]12号</t>
  </si>
  <si>
    <t>万达地产集团有限公司</t>
  </si>
  <si>
    <t>东兴区玉屏街北侧、五星路西侧(补录)</t>
  </si>
  <si>
    <t>内地拍(2020)01号(补录)</t>
  </si>
  <si>
    <t>开工中</t>
  </si>
  <si>
    <t>2020-04-30</t>
  </si>
  <si>
    <t>内公资土拍告[2020]06(补录</t>
  </si>
  <si>
    <t>东兴区华清路北侧、大千路西侧</t>
  </si>
  <si>
    <t>内地拍(2019)07号</t>
  </si>
  <si>
    <t>大于或等于1并且小于或等于1.5</t>
  </si>
  <si>
    <t>2020-03-18</t>
  </si>
  <si>
    <t>2020-04-08</t>
  </si>
  <si>
    <t>内公资土拍告[2020]04号</t>
  </si>
  <si>
    <t>广安金泽房地产开发有限公司</t>
  </si>
  <si>
    <t>内江市城南新区石羊大道南侧、三元路西侧</t>
  </si>
  <si>
    <t>牌楼街道</t>
  </si>
  <si>
    <t>内市中地拍(2019)10号</t>
  </si>
  <si>
    <t>2019-12-27</t>
  </si>
  <si>
    <t>2020-01-16</t>
  </si>
  <si>
    <t>内公资土拍告[2019]46号</t>
  </si>
  <si>
    <t>资阳万为房地产开发有限公司</t>
  </si>
  <si>
    <t>融信中国控股有限公司,泸州万为房地产开发有限公司</t>
  </si>
  <si>
    <t>内江市东兴区汉安大道南侧</t>
  </si>
  <si>
    <t>挂牌</t>
  </si>
  <si>
    <t>内市东地拍(2019)13号</t>
  </si>
  <si>
    <t>2019-12-20</t>
  </si>
  <si>
    <t>2020-01-10</t>
  </si>
  <si>
    <t>内公资土拍告[2019]44号</t>
  </si>
  <si>
    <t>内江传化置业有限公司</t>
  </si>
  <si>
    <t>汉安大道南侧、青龙路东侧、赛峨路西侧</t>
  </si>
  <si>
    <t>内市东地拍(2019)11号</t>
  </si>
  <si>
    <t>2019-12-10</t>
  </si>
  <si>
    <t>2019-12-31</t>
  </si>
  <si>
    <t>内公资土拍告[2019]41号</t>
  </si>
  <si>
    <t>内江邦泰雅居置业有限公司</t>
  </si>
  <si>
    <t>东兴区玉屏街北侧、晨望路东侧</t>
  </si>
  <si>
    <t>椑木镇</t>
  </si>
  <si>
    <t>内地拍(2019)10号</t>
  </si>
  <si>
    <t>大于或等于1并且小于或等于2</t>
  </si>
  <si>
    <t>2019-09-05</t>
  </si>
  <si>
    <t>2019-11-01</t>
  </si>
  <si>
    <t>内公资土拍告[2019]23号</t>
  </si>
  <si>
    <t>赖昶安</t>
  </si>
  <si>
    <t>环城路与内椑北路交叉口东南侧</t>
  </si>
  <si>
    <t>内地拍(2019)04号</t>
  </si>
  <si>
    <t>大于或等于1并且小于或等于2.3</t>
  </si>
  <si>
    <t>2019-08-09</t>
  </si>
  <si>
    <t>2019-08-29</t>
  </si>
  <si>
    <t>内公资土拍告[2019]22号</t>
  </si>
  <si>
    <t>内江投资控股集团有限公司、内江建工集团有限责任公司</t>
  </si>
  <si>
    <t>内江建工集团有限责任公司,内江投资控股集团有限公司</t>
  </si>
  <si>
    <t>内江市城南乐贤片区C12-02/01、C12-04/01地块</t>
  </si>
  <si>
    <t>乐贤镇</t>
  </si>
  <si>
    <t>内市中地拍(2019)04号</t>
  </si>
  <si>
    <t>城镇住宅用地、商业商务用地</t>
  </si>
  <si>
    <t>2019-07-05</t>
  </si>
  <si>
    <t>2019-07-25</t>
  </si>
  <si>
    <t>内江市市中区自然资源和规划局国有土地使用权拍卖出让公告(内公资土拍告[2019]15号)</t>
  </si>
  <si>
    <t>内江新华维港置业有限公司</t>
  </si>
  <si>
    <t>商业商务用地40年,居住用地70年</t>
  </si>
  <si>
    <t>2星</t>
  </si>
  <si>
    <t>内江市城南乐贤片区C13-01/01、C14-01/01、C14-02/01地块</t>
  </si>
  <si>
    <t>内市中地拍(2019)01号</t>
  </si>
  <si>
    <t>≥1,≤2.5</t>
  </si>
  <si>
    <t>≤35%</t>
  </si>
  <si>
    <t>≤80米</t>
  </si>
  <si>
    <t>2019-05-21</t>
  </si>
  <si>
    <t>2019-06-11</t>
  </si>
  <si>
    <t>内公资土拍告[2019]14号-1</t>
  </si>
  <si>
    <t>新城控股集团企业管理有限公司</t>
  </si>
  <si>
    <t>新城发展控股有限公司</t>
  </si>
  <si>
    <t>经开区甜德街西侧,甜和街东侧A-5-2地块</t>
  </si>
  <si>
    <t>城东街道</t>
  </si>
  <si>
    <t>内地拍(2018)05号</t>
  </si>
  <si>
    <t>≥1,≤2.2</t>
  </si>
  <si>
    <t>≤25%</t>
  </si>
  <si>
    <t>≤70米</t>
  </si>
  <si>
    <t>2019-05-08</t>
  </si>
  <si>
    <t>2019-05-28</t>
  </si>
  <si>
    <t>内公资土拍告[2019]12号-2</t>
  </si>
  <si>
    <t>金科地产集团股份有限公司</t>
  </si>
  <si>
    <t>经开区甜城大道西侧,甜福路南侧A-5-3地块</t>
  </si>
  <si>
    <t>内公资土拍告[2019]12号-1</t>
  </si>
  <si>
    <t>内江高新区高铁片区A7-2地块</t>
  </si>
  <si>
    <t>胜利镇</t>
  </si>
  <si>
    <t>内地拍(2018)10号</t>
  </si>
  <si>
    <t>≥1且≤3</t>
  </si>
  <si>
    <t>≤20%</t>
  </si>
  <si>
    <t>2019-04-02</t>
  </si>
  <si>
    <t>2019-04-23</t>
  </si>
  <si>
    <t>内公资土拍告[2019]10号</t>
  </si>
  <si>
    <t>内江高新区D-01-06地块</t>
  </si>
  <si>
    <t>高桥镇</t>
  </si>
  <si>
    <t>内市东地拍【2019】02号</t>
  </si>
  <si>
    <t>2019-03-12</t>
  </si>
  <si>
    <t>内公资土拍告[2019]9号</t>
  </si>
  <si>
    <t>内江市远景置业有限公司</t>
  </si>
  <si>
    <t>商业、商务用地40年,居住用地70年</t>
  </si>
  <si>
    <t>西林大道东侧,复兴路北侧A5-1地块</t>
  </si>
  <si>
    <t>内地拍【2018】06号</t>
  </si>
  <si>
    <t>城镇住宅用地、商业、商务</t>
  </si>
  <si>
    <t>≥1且≤2</t>
  </si>
  <si>
    <t>2019-02-26</t>
  </si>
  <si>
    <t>2019-03-19</t>
  </si>
  <si>
    <t>内公资土拍告[2019]8号</t>
  </si>
  <si>
    <t>商业、商务用地40年,住宅用地70年</t>
  </si>
  <si>
    <t>汉安大道北侧、国道路西侧</t>
  </si>
  <si>
    <t>内地拍【2018】11号</t>
  </si>
  <si>
    <t>城镇住宅用地、商业、商务用地</t>
  </si>
  <si>
    <t>2019-02-01</t>
  </si>
  <si>
    <t>2019-02-22</t>
  </si>
  <si>
    <t>内公资土拍告[2019]5号</t>
  </si>
  <si>
    <t>金科</t>
  </si>
  <si>
    <t>内江市城南乐贤片区C04-01/01地块</t>
  </si>
  <si>
    <t>内市中地拍(2018)04号</t>
  </si>
  <si>
    <t>居住、商业商务</t>
  </si>
  <si>
    <t>≤30%</t>
  </si>
  <si>
    <t>≤60米</t>
  </si>
  <si>
    <t>2019-01-07</t>
  </si>
  <si>
    <t>2019-01-29</t>
  </si>
  <si>
    <t>内公资土拍告[2019]3号</t>
  </si>
  <si>
    <t>成都昌建房地产有限公司</t>
  </si>
  <si>
    <t>昌建控股集团有限公司</t>
  </si>
  <si>
    <t>内江经济技术开发区甜城大道西侧,晨晖路北侧B-5-3地块</t>
  </si>
  <si>
    <t>内地拍(2018)07号</t>
  </si>
  <si>
    <t>其他普通商品住房用地</t>
  </si>
  <si>
    <t>≥1且≤2.05</t>
  </si>
  <si>
    <t>2019-01-03</t>
  </si>
  <si>
    <t>2019-01-23</t>
  </si>
  <si>
    <t>内公资土拍告[2019]2号</t>
  </si>
  <si>
    <t>40年</t>
  </si>
  <si>
    <t>内江新城中心组团高铁片区,复兴路南侧,汉安大道北侧,平安路东侧高铁片区3.5.6号地块</t>
  </si>
  <si>
    <t>内市东地拍【2018】02号</t>
  </si>
  <si>
    <t>≥1且≤3.15</t>
  </si>
  <si>
    <t>≤50%</t>
  </si>
  <si>
    <t>2018-11-09</t>
  </si>
  <si>
    <t>2018-12-19</t>
  </si>
  <si>
    <t>内公资土拍告[2018]32号</t>
  </si>
  <si>
    <t>传化物流集团有限公司</t>
  </si>
  <si>
    <t>住宅70年、商业40年</t>
  </si>
  <si>
    <t>谢家河片区A1-3地块</t>
  </si>
  <si>
    <t>东兴街道</t>
  </si>
  <si>
    <t>内地拍(2018)08号</t>
  </si>
  <si>
    <t>2018-10-31</t>
  </si>
  <si>
    <t>2018-11-22</t>
  </si>
  <si>
    <t>内公资土拍告[2018]30号</t>
  </si>
  <si>
    <t>内江市国有资产经营管理有限责任公司</t>
  </si>
  <si>
    <t>汉安大道南侧A-7-6,A-7-7地块</t>
  </si>
  <si>
    <t>内市东地拍【2018】01号</t>
  </si>
  <si>
    <t>居住可兼容商业、商务用地</t>
  </si>
  <si>
    <t>2018-09-07</t>
  </si>
  <si>
    <t>2018-09-27</t>
  </si>
  <si>
    <t>内公资土拍告[2018]24号</t>
  </si>
  <si>
    <t>内江嘉宏城建集团有限公司</t>
  </si>
  <si>
    <t>商业商务40年、住宅70年</t>
  </si>
  <si>
    <t>内江市城南乐贤片区C15-11/01地块</t>
  </si>
  <si>
    <t>内市中地拍(2018)03号</t>
  </si>
  <si>
    <t>住宅、商服</t>
  </si>
  <si>
    <t>≥1且≤1.5</t>
  </si>
  <si>
    <t>2018-07-05</t>
  </si>
  <si>
    <t>2018-07-26</t>
  </si>
  <si>
    <t>内公资土拍告[2018]20号</t>
  </si>
  <si>
    <t>内江天睿房地产开发有限公司</t>
  </si>
  <si>
    <t>住宅70年、商服40年</t>
  </si>
  <si>
    <t>红牌路南侧E3-1地块</t>
  </si>
  <si>
    <t>内地拍(2018)03号</t>
  </si>
  <si>
    <t>≥1且≤2.5</t>
  </si>
  <si>
    <t>≤50米</t>
  </si>
  <si>
    <t>2018-06-26</t>
  </si>
  <si>
    <t>2018-07-17</t>
  </si>
  <si>
    <t>内公资土拍告[2018]17号</t>
  </si>
  <si>
    <t>成都世茂新城房地产开发有限公司</t>
  </si>
  <si>
    <t>世茂集团控股有限公司</t>
  </si>
  <si>
    <t>内江市城南乐贤片区C11-01/01、C09-01/01地块</t>
  </si>
  <si>
    <t>内市中地拍(2018)02号</t>
  </si>
  <si>
    <t>2018-04-19</t>
  </si>
  <si>
    <t>2018-05-11</t>
  </si>
  <si>
    <t>内公资土拍告[2018]13号</t>
  </si>
  <si>
    <t>四川碧桂园置业有限公司</t>
  </si>
  <si>
    <t>碧桂园控股有限公司</t>
  </si>
  <si>
    <t>内江经开区甜城大道与汉渝大道交叉口北侧B-8-6地块</t>
  </si>
  <si>
    <t>内地拍(2017)09号</t>
  </si>
  <si>
    <t>≤100米</t>
  </si>
  <si>
    <t>2018-01-19</t>
  </si>
  <si>
    <t>2018-02-08</t>
  </si>
  <si>
    <t>内公资土拍告[2018]7号</t>
  </si>
  <si>
    <t>沈立</t>
  </si>
  <si>
    <t>商服40年、住宅70年</t>
  </si>
  <si>
    <t>东兴旧城片区A5-6、A6-5地块</t>
  </si>
  <si>
    <t>内地拍(2018)01号</t>
  </si>
  <si>
    <t>2018-01-11</t>
  </si>
  <si>
    <t>2018-02-01</t>
  </si>
  <si>
    <t>内公资土拍告[2018]05号</t>
  </si>
  <si>
    <t>东兴区华清路南侧、双凤路东侧A5-1地块</t>
  </si>
  <si>
    <t>内地拍(2018)09号</t>
  </si>
  <si>
    <t>≤30米</t>
  </si>
  <si>
    <t>已完工</t>
  </si>
  <si>
    <t>2018-12-27</t>
  </si>
  <si>
    <t>2018-01-17</t>
  </si>
  <si>
    <t>内公资土拍告[2018]40号</t>
  </si>
  <si>
    <t>城南新区石羊大道北段东侧、新光路北段西侧、金盾街南侧、永兴街北侧C10-02/01地块</t>
  </si>
  <si>
    <t>内市中地拍(2017)04号</t>
  </si>
  <si>
    <t>2017-11-08</t>
  </si>
  <si>
    <t>2017-11-28</t>
  </si>
  <si>
    <t>内公资土拍告[2017]25号</t>
  </si>
  <si>
    <t>李大刚、四川兴恒利房地产开发有限公司</t>
  </si>
  <si>
    <t>商业40年、住宅70年</t>
  </si>
  <si>
    <t>内江市高新区高桥园区,东侧为内江六中新校区,北侧为内江师院新校区</t>
  </si>
  <si>
    <t>内市东地拍【2017】05号</t>
  </si>
  <si>
    <t>≥1,≤3</t>
  </si>
  <si>
    <t>内公资土拍告[2017]24号</t>
  </si>
  <si>
    <t>四川万晟房地产有限公司</t>
  </si>
  <si>
    <t>内江经开区甜都大道西侧、二支路北侧A-5-2A地块</t>
  </si>
  <si>
    <t>内地拍(2017)02号</t>
  </si>
  <si>
    <t>2017-09-28</t>
  </si>
  <si>
    <t>2017-10-18</t>
  </si>
  <si>
    <t>内公资土拍告[2017]21号-1</t>
  </si>
  <si>
    <t>朱维军</t>
  </si>
  <si>
    <t>内江经开区甜都大道西侧、二支路北侧A-5-2B地块</t>
  </si>
  <si>
    <t>内地拍(2017)03号</t>
  </si>
  <si>
    <t>内公资土拍告[2017]21号-2</t>
  </si>
  <si>
    <t>眉山市阳光置业房地产开发有限公司</t>
  </si>
  <si>
    <t>阳光大地置业集团有限公司</t>
  </si>
  <si>
    <t>内江市汉安大道东段南侧A-7-1至A-7-4地块</t>
  </si>
  <si>
    <t>内市东地拍(2017)02号</t>
  </si>
  <si>
    <t>其他普通商品住房用地:土地用途为居住可兼容商业、商务用地</t>
  </si>
  <si>
    <t>2017-09-07</t>
  </si>
  <si>
    <t>内公资土拍告[2017]19号</t>
  </si>
  <si>
    <t>东兴区汉安大道南侧、大千路西侧B地块</t>
  </si>
  <si>
    <t>内地拍(2017)07号</t>
  </si>
  <si>
    <t>≥1,≤2</t>
  </si>
  <si>
    <t>2017-07-20</t>
  </si>
  <si>
    <t>2017-08-10</t>
  </si>
  <si>
    <t>内公资土拍告[2017]12号</t>
  </si>
  <si>
    <t>四川兆信房地产开发集团有限公司</t>
  </si>
  <si>
    <t>城南新区F08-01/01地块</t>
  </si>
  <si>
    <t>内市中地拍(2016)06号</t>
  </si>
  <si>
    <t>其他普通商品住房</t>
  </si>
  <si>
    <t>2017-07-13</t>
  </si>
  <si>
    <t>2017-08-01</t>
  </si>
  <si>
    <t>内公资土拍告[2017]10号</t>
  </si>
  <si>
    <t>王建宏</t>
  </si>
  <si>
    <t>谢家河片区北环路北侧/栖霞路东侧E4-2至E4-4地块</t>
  </si>
  <si>
    <t>内地拍(2017)01号</t>
  </si>
  <si>
    <t>≤40%</t>
  </si>
  <si>
    <t>2017-04-07</t>
  </si>
  <si>
    <t>2017-04-27</t>
  </si>
  <si>
    <t>内公资土拍告[2017]03号</t>
  </si>
  <si>
    <t>成都奥旋企业管理有限公司</t>
  </si>
  <si>
    <t>城南乐贤片区B04-03/01地块</t>
  </si>
  <si>
    <t>内市中地拍(2016)08号</t>
  </si>
  <si>
    <t>≤30</t>
  </si>
  <si>
    <t>等于80</t>
  </si>
  <si>
    <t>2016-11-29</t>
  </si>
  <si>
    <t>2016-12-20</t>
  </si>
  <si>
    <t>内公资土拍告[2016]20号-2</t>
  </si>
  <si>
    <t>城南乐贤片区C07-02/01地块</t>
  </si>
  <si>
    <t>内市中地拍(2016)07号</t>
  </si>
  <si>
    <t>≤35</t>
  </si>
  <si>
    <t>等于60</t>
  </si>
  <si>
    <t>内公资土拍告[2016]20号-1</t>
  </si>
  <si>
    <t>内江经济技术开发区甜都大道D地块</t>
  </si>
  <si>
    <t>内地拍(2016)04号</t>
  </si>
  <si>
    <t>≥1且≤3.48</t>
  </si>
  <si>
    <t>2016-07-28</t>
  </si>
  <si>
    <t>2016-08-17</t>
  </si>
  <si>
    <t>内公资土挂告[2016]7号-2</t>
  </si>
  <si>
    <t>四川省内江浩盛建设有限责任公司</t>
  </si>
  <si>
    <t>楼面地价</t>
  </si>
  <si>
    <t>金科•集美星辰</t>
    <phoneticPr fontId="3" type="noConversion"/>
  </si>
  <si>
    <t>内江市</t>
    <phoneticPr fontId="3" type="noConversion"/>
  </si>
  <si>
    <t>住宅</t>
    <phoneticPr fontId="26" type="noConversion"/>
  </si>
  <si>
    <t>70</t>
    <phoneticPr fontId="26" type="noConversion"/>
  </si>
  <si>
    <t>70</t>
    <phoneticPr fontId="26" type="noConversion"/>
  </si>
  <si>
    <t>类型</t>
    <phoneticPr fontId="3" type="noConversion"/>
  </si>
  <si>
    <t>售价</t>
    <phoneticPr fontId="3" type="noConversion"/>
  </si>
  <si>
    <t>高层</t>
    <phoneticPr fontId="3" type="noConversion"/>
  </si>
  <si>
    <t>洋房</t>
    <phoneticPr fontId="3" type="noConversion"/>
  </si>
  <si>
    <t>商业</t>
    <phoneticPr fontId="3" type="noConversion"/>
  </si>
  <si>
    <t>车库</t>
    <phoneticPr fontId="3" type="noConversion"/>
  </si>
  <si>
    <t>8万</t>
    <phoneticPr fontId="3" type="noConversion"/>
  </si>
  <si>
    <t>好</t>
  </si>
  <si>
    <t>较好</t>
  </si>
  <si>
    <t>一般</t>
  </si>
  <si>
    <t>较差</t>
  </si>
  <si>
    <t>差</t>
  </si>
  <si>
    <t>七通</t>
  </si>
  <si>
    <t>六通</t>
  </si>
  <si>
    <t>五通</t>
  </si>
  <si>
    <t>四通</t>
  </si>
  <si>
    <t>三通</t>
  </si>
  <si>
    <t>规则</t>
    <phoneticPr fontId="26" type="noConversion"/>
  </si>
  <si>
    <t>较规则</t>
  </si>
  <si>
    <t>较规则</t>
    <phoneticPr fontId="26" type="noConversion"/>
  </si>
  <si>
    <t>较不规则</t>
    <phoneticPr fontId="26" type="noConversion"/>
  </si>
  <si>
    <t>不规则</t>
    <phoneticPr fontId="26" type="noConversion"/>
  </si>
  <si>
    <r>
      <rPr>
        <sz val="11"/>
        <color indexed="8"/>
        <rFont val="宋体"/>
        <family val="3"/>
        <charset val="134"/>
      </rPr>
      <t>城市次干道</t>
    </r>
    <r>
      <rPr>
        <sz val="11"/>
        <color indexed="8"/>
        <rFont val="Arial"/>
        <family val="2"/>
      </rPr>
      <t>-</t>
    </r>
    <r>
      <rPr>
        <sz val="11"/>
        <color indexed="8"/>
        <rFont val="宋体"/>
        <family val="3"/>
        <charset val="134"/>
      </rPr>
      <t>甜城大道</t>
    </r>
    <phoneticPr fontId="26" type="noConversion"/>
  </si>
  <si>
    <t>城市次干道-甜城大道</t>
  </si>
  <si>
    <t>双面临街</t>
  </si>
  <si>
    <t>住宅</t>
    <phoneticPr fontId="21" type="noConversion"/>
  </si>
  <si>
    <t>60-70（含）</t>
  </si>
  <si>
    <r>
      <rPr>
        <sz val="11"/>
        <color indexed="8"/>
        <rFont val="仿宋_GB2312"/>
        <family val="3"/>
        <charset val="134"/>
      </rPr>
      <t>正常</t>
    </r>
    <phoneticPr fontId="3" type="noConversion"/>
  </si>
  <si>
    <t>洋房</t>
    <phoneticPr fontId="21" type="noConversion"/>
  </si>
  <si>
    <t>高层</t>
    <phoneticPr fontId="21" type="noConversion"/>
  </si>
  <si>
    <t>钢混</t>
  </si>
  <si>
    <t>钢混</t>
    <phoneticPr fontId="21"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</si>
  <si>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</si>
  <si>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</si>
  <si>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</si>
  <si>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</si>
  <si>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</si>
  <si>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</si>
  <si>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</si>
  <si>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</si>
  <si>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品牌</t>
    <phoneticPr fontId="3" type="noConversion"/>
  </si>
  <si>
    <t>专业</t>
    <phoneticPr fontId="3" type="noConversion"/>
  </si>
  <si>
    <t>精装修</t>
  </si>
  <si>
    <t>普通装修</t>
  </si>
  <si>
    <t>简单装修</t>
  </si>
  <si>
    <t>毛坯</t>
  </si>
  <si>
    <t>中高档</t>
  </si>
  <si>
    <t>品牌</t>
  </si>
  <si>
    <t>阳光天麓</t>
    <phoneticPr fontId="3" type="noConversion"/>
  </si>
  <si>
    <t>鸿通翡翠华庭</t>
    <phoneticPr fontId="3" type="noConversion"/>
  </si>
  <si>
    <t>金科集美天宸</t>
    <phoneticPr fontId="3" type="noConversion"/>
  </si>
  <si>
    <t>押一</t>
  </si>
  <si>
    <t>按租金收入计税</t>
  </si>
  <si>
    <t>自定义</t>
  </si>
  <si>
    <t>土地</t>
  </si>
  <si>
    <t>项目全部</t>
  </si>
  <si>
    <t>剩余法-待开发</t>
  </si>
  <si>
    <t>比较法-住宅、综合</t>
  </si>
  <si>
    <t>已部分缴纳</t>
  </si>
  <si>
    <t>非个人房产</t>
  </si>
  <si>
    <t>内江项目</t>
    <phoneticPr fontId="228" type="noConversion"/>
  </si>
  <si>
    <r>
      <t>攀枝花5</t>
    </r>
    <r>
      <rPr>
        <sz val="11"/>
        <color theme="1"/>
        <rFont val="宋体"/>
        <family val="3"/>
        <charset val="134"/>
        <scheme val="minor"/>
      </rPr>
      <t>2亩住宅项目</t>
    </r>
    <phoneticPr fontId="228" type="noConversion"/>
  </si>
  <si>
    <t>攀枝花263亩住宅项目</t>
    <phoneticPr fontId="228" type="noConversion"/>
  </si>
  <si>
    <t>攀枝花263亩商业项目</t>
    <phoneticPr fontId="228" type="noConversion"/>
  </si>
  <si>
    <t>合计</t>
    <phoneticPr fontId="228" type="noConversion"/>
  </si>
  <si>
    <t>评估总值（万元）</t>
    <phoneticPr fontId="228" type="noConversion"/>
  </si>
  <si>
    <t>评估净值（万元）</t>
    <phoneticPr fontId="228" type="noConversion"/>
  </si>
  <si>
    <t>住宅小计</t>
    <phoneticPr fontId="228" type="noConversion"/>
  </si>
  <si>
    <t>项目名称</t>
    <phoneticPr fontId="228" type="noConversion"/>
  </si>
  <si>
    <t>https://www.neijiang.gov.cn/news/show/1270798</t>
    <phoneticPr fontId="3" type="noConversion"/>
  </si>
  <si>
    <t>内江经开区甜城大道西侧、汉安大道北侧</t>
    <phoneticPr fontId="228" type="noConversion"/>
  </si>
  <si>
    <t>内江经开区甜城大道东侧、顺江路西侧、康宁路北侧</t>
    <phoneticPr fontId="228" type="noConversion"/>
  </si>
  <si>
    <t>内江经开区甜城大道东侧、迎霞路南侧、顺江路西侧</t>
    <phoneticPr fontId="228" type="noConversion"/>
  </si>
  <si>
    <t>土地（套用方法）</t>
  </si>
  <si>
    <t>阳光天麓</t>
    <phoneticPr fontId="3" type="noConversion"/>
  </si>
  <si>
    <t>鸿通翡翠华庭</t>
    <phoneticPr fontId="3" type="noConversion"/>
  </si>
  <si>
    <t>金科集美天宸</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</si>
</sst>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81" fillId="0" borderId="2"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0" fontId="152"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82" fillId="5" borderId="0" xfId="0" applyNumberFormat="1" applyFont="1" applyFill="1" applyAlignment="1" applyProtection="1">
      <alignment horizontal="center" vertical="center"/>
      <protection locked="0"/>
    </xf>
    <xf numFmtId="0" fontId="82" fillId="5" borderId="0" xfId="0" applyNumberFormat="1" applyFont="1" applyFill="1" applyAlignment="1" applyProtection="1">
      <alignment vertical="center"/>
      <protection locked="0"/>
    </xf>
    <xf numFmtId="0" fontId="81" fillId="5" borderId="0" xfId="0" applyNumberFormat="1" applyFont="1" applyFill="1" applyAlignment="1" applyProtection="1">
      <alignment vertical="center"/>
      <protection locked="0"/>
    </xf>
    <xf numFmtId="0" fontId="76" fillId="5" borderId="0" xfId="0" applyNumberFormat="1" applyFont="1" applyFill="1" applyAlignment="1" applyProtection="1">
      <alignment vertical="center"/>
      <protection locked="0"/>
    </xf>
    <xf numFmtId="0" fontId="71" fillId="0" borderId="11" xfId="0" applyNumberFormat="1" applyFont="1" applyBorder="1" applyAlignment="1" applyProtection="1">
      <alignment vertical="center"/>
      <protection locked="0"/>
    </xf>
    <xf numFmtId="10" fontId="71" fillId="0" borderId="2" xfId="0" applyNumberFormat="1" applyFont="1" applyBorder="1" applyAlignment="1" applyProtection="1">
      <alignment vertical="center"/>
      <protection locked="0"/>
    </xf>
    <xf numFmtId="0" fontId="86" fillId="0" borderId="0" xfId="0" applyFont="1" applyAlignment="1"/>
    <xf numFmtId="0" fontId="158" fillId="0" borderId="0" xfId="0" applyFont="1" applyAlignment="1"/>
    <xf numFmtId="0" fontId="164" fillId="0" borderId="0" xfId="0" applyFont="1" applyAlignment="1"/>
    <xf numFmtId="0" fontId="164" fillId="6" borderId="0" xfId="0" applyFont="1" applyFill="1" applyAlignment="1"/>
    <xf numFmtId="0" fontId="144" fillId="0" borderId="6" xfId="0" applyNumberFormat="1" applyFont="1" applyFill="1" applyBorder="1" applyAlignment="1" applyProtection="1">
      <alignment horizontal="center" vertical="center" wrapText="1"/>
      <protection locked="0"/>
    </xf>
    <xf numFmtId="180" fontId="81" fillId="0" borderId="2" xfId="0" applyNumberFormat="1" applyFont="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126" fillId="0" borderId="2" xfId="0" applyNumberFormat="1" applyFont="1" applyBorder="1" applyAlignment="1" applyProtection="1">
      <alignment vertical="center" wrapText="1"/>
      <protection locked="0"/>
    </xf>
    <xf numFmtId="177" fontId="126" fillId="0" borderId="2" xfId="0" applyNumberFormat="1" applyFont="1" applyBorder="1" applyAlignment="1" applyProtection="1">
      <alignment horizontal="center" vertical="center" wrapText="1"/>
      <protection locked="0"/>
    </xf>
    <xf numFmtId="0" fontId="126" fillId="0" borderId="2" xfId="0" applyFont="1" applyBorder="1" applyAlignment="1" applyProtection="1">
      <alignment horizontal="center" vertical="center" wrapText="1"/>
      <protection locked="0"/>
    </xf>
    <xf numFmtId="0" fontId="145" fillId="0" borderId="2" xfId="0" applyFont="1" applyBorder="1">
      <alignment vertical="center"/>
    </xf>
    <xf numFmtId="0" fontId="0" fillId="0" borderId="2" xfId="0" applyBorder="1">
      <alignment vertical="center"/>
    </xf>
    <xf numFmtId="0" fontId="210" fillId="0" borderId="0" xfId="0" applyFont="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30</xdr:col>
      <xdr:colOff>2093901</xdr:colOff>
      <xdr:row>108</xdr:row>
      <xdr:rowOff>27505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62900"/>
          <a:ext cx="12800001" cy="8561905"/>
        </a:xfrm>
        <a:prstGeom prst="rect">
          <a:avLst/>
        </a:prstGeom>
      </xdr:spPr>
    </xdr:pic>
    <xdr:clientData/>
  </xdr:twoCellAnchor>
  <xdr:twoCellAnchor editAs="oneCell">
    <xdr:from>
      <xdr:col>0</xdr:col>
      <xdr:colOff>0</xdr:colOff>
      <xdr:row>109</xdr:row>
      <xdr:rowOff>0</xdr:rowOff>
    </xdr:from>
    <xdr:to>
      <xdr:col>11</xdr:col>
      <xdr:colOff>780098</xdr:colOff>
      <xdr:row>122</xdr:row>
      <xdr:rowOff>9276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649700"/>
          <a:ext cx="7619048" cy="1990476"/>
        </a:xfrm>
        <a:prstGeom prst="rect">
          <a:avLst/>
        </a:prstGeom>
      </xdr:spPr>
    </xdr:pic>
    <xdr:clientData/>
  </xdr:twoCellAnchor>
  <xdr:twoCellAnchor editAs="oneCell">
    <xdr:from>
      <xdr:col>0</xdr:col>
      <xdr:colOff>0</xdr:colOff>
      <xdr:row>123</xdr:row>
      <xdr:rowOff>0</xdr:rowOff>
    </xdr:from>
    <xdr:to>
      <xdr:col>11</xdr:col>
      <xdr:colOff>1237241</xdr:colOff>
      <xdr:row>137</xdr:row>
      <xdr:rowOff>9257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783300"/>
          <a:ext cx="8076191" cy="2142857"/>
        </a:xfrm>
        <a:prstGeom prst="rect">
          <a:avLst/>
        </a:prstGeom>
      </xdr:spPr>
    </xdr:pic>
    <xdr:clientData/>
  </xdr:twoCellAnchor>
  <xdr:twoCellAnchor editAs="oneCell">
    <xdr:from>
      <xdr:col>0</xdr:col>
      <xdr:colOff>0</xdr:colOff>
      <xdr:row>138</xdr:row>
      <xdr:rowOff>0</xdr:rowOff>
    </xdr:from>
    <xdr:to>
      <xdr:col>26</xdr:col>
      <xdr:colOff>75108</xdr:colOff>
      <xdr:row>159</xdr:row>
      <xdr:rowOff>142457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1069300"/>
          <a:ext cx="8742858" cy="33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四川省内江市内江经开区甜德街西侧，甜和街东侧A-5-2地块出让国有建设用地使用权抵押价格预评估</v>
      </c>
      <c r="AX2" s="2611"/>
      <c r="AZ2" s="2611"/>
      <c r="BA2" s="2612"/>
      <c r="BC2" s="2612"/>
    </row>
    <row r="3" spans="1:55" s="2613" customFormat="1">
      <c r="A3" s="2592" t="s">
        <v>2641</v>
      </c>
      <c r="B3" s="2595" t="str">
        <f>'预评函-封皮'!B40</f>
        <v>浙金信托</v>
      </c>
    </row>
    <row r="4" spans="1:55" s="2594" customFormat="1">
      <c r="A4" s="2592" t="s">
        <v>2642</v>
      </c>
      <c r="B4" s="2593" t="str">
        <f>'预评函-封皮'!B46</f>
        <v>王鹏、郑燚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受贵公司委托，我公司对四川省内江市内江经开区甜德街西侧，甜和街东侧A-5-2地块出让国有建设用地使用权抵押价格进行了预评估。</v>
      </c>
      <c r="AM6" s="2617"/>
    </row>
    <row r="7" spans="1:55" s="2591" customFormat="1">
      <c r="A7" s="2592" t="s">
        <v>2637</v>
      </c>
      <c r="B7" s="2593" t="str">
        <f>'预评函-1'!A6</f>
        <v>估价对象为内江祥澳置业有限公司使用的、位于四川省内江市内江经开区甜德街西侧，甜和街东侧A-5-2地块出让国有建设用地使用权。根据《国有土地使用证》[]，估价对象（分摊）出让国有建设用地使用权面积为59775.26平方米。根据《建设工程规划许可证》[]、《出让合同》[]，估价对象规划建筑面积为172032.86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2639</v>
      </c>
      <c r="B10" s="2593" t="str">
        <f>'预评函-1'!A11</f>
        <v>2021年2月27日（评估专业人员勘察现场之日）</v>
      </c>
    </row>
    <row r="11" spans="1:55" s="2591" customFormat="1">
      <c r="A11" s="2592" t="s">
        <v>2645</v>
      </c>
      <c r="B11" s="2593" t="str">
        <f>'预评函-1'!A14</f>
        <v>根据《国有土地使用证》[]，本次评估估价对象证载（地类）用途为住宅、商业。</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根据《国有土地使用证》[]，估价对象（分摊）出让国有建设用地使用权面积为59775.26平方米。根据《建设工程规划许可证》[]、《出让合同》[]，估价对象规划建筑面积为172032.86平方米。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10日、商业2059年12月10日地下车库2059年12月10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估价期日：2021年2月27日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t="str">
        <f>'预评函-2'!E5</f>
        <v>住宅、商业</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红线外七通、宗地红线内场地平整</v>
      </c>
    </row>
    <row r="39" spans="1:2">
      <c r="A39" s="2592" t="s">
        <v>2699</v>
      </c>
      <c r="B39" s="2593" t="str">
        <f>'预评函-2'!L5</f>
        <v>红线外七通、宗地红线内场地</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59775.26</v>
      </c>
    </row>
    <row r="44" spans="1:2">
      <c r="A44" s="2592" t="s">
        <v>2720</v>
      </c>
      <c r="B44" s="2593" t="str">
        <f>'预评函-2'!O3</f>
        <v>规划建筑面积/㎡</v>
      </c>
    </row>
    <row r="45" spans="1:2">
      <c r="A45" s="2592" t="s">
        <v>2702</v>
      </c>
      <c r="B45" s="2593">
        <f>'预评函-2'!O5</f>
        <v>172032.86</v>
      </c>
    </row>
    <row r="46" spans="1:2">
      <c r="A46" s="2592" t="s">
        <v>2703</v>
      </c>
      <c r="B46" s="2593">
        <f ca="1">'预评函-2'!P5</f>
        <v>5057</v>
      </c>
    </row>
    <row r="47" spans="1:2">
      <c r="A47" s="2592" t="s">
        <v>2704</v>
      </c>
      <c r="B47" s="2593">
        <f ca="1">'预评函-2'!Q5</f>
        <v>1757</v>
      </c>
    </row>
    <row r="48" spans="1:2">
      <c r="A48" s="2592" t="s">
        <v>2705</v>
      </c>
      <c r="B48" s="2593">
        <f ca="1">'预评函-2'!R5</f>
        <v>30230</v>
      </c>
    </row>
    <row r="49" spans="1:2">
      <c r="A49" s="2592" t="s">
        <v>2721</v>
      </c>
      <c r="B49" s="2593" t="str">
        <f>'预评函-2'!A6</f>
        <v>抵押价格</v>
      </c>
    </row>
    <row r="50" spans="1:2">
      <c r="A50" s="2592" t="s">
        <v>2706</v>
      </c>
      <c r="B50" s="2593">
        <f ca="1">'预评函-2'!R6</f>
        <v>30230</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28632</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2.基础设施条件：估价对象实际开发程度为红线外七通、宗地红线内场地平整；本次评估设定开发程度为红线外七通、宗地红线内场地。</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王鹏</v>
      </c>
    </row>
    <row r="70" spans="1:2">
      <c r="A70" s="2592" t="s">
        <v>2670</v>
      </c>
      <c r="B70" s="2599">
        <f ca="1">'预评函-3'!B20</f>
        <v>2002110030</v>
      </c>
    </row>
    <row r="71" spans="1:2">
      <c r="A71" s="2592" t="s">
        <v>2671</v>
      </c>
      <c r="B71" s="2593" t="str">
        <f>'预评函-3'!A21</f>
        <v>郑燚</v>
      </c>
    </row>
    <row r="72" spans="1:2" s="2607" customFormat="1" ht="15" thickBot="1">
      <c r="A72" s="2614" t="s">
        <v>2671</v>
      </c>
      <c r="B72" s="2620">
        <f ca="1">'预评函-3'!B21</f>
        <v>2014110011</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I26" sqref="I26"/>
    </sheetView>
  </sheetViews>
  <sheetFormatPr defaultColWidth="10" defaultRowHeight="14.25"/>
  <cols>
    <col min="1" max="1" width="15.375" style="1610" customWidth="1"/>
    <col min="2" max="2" width="14.25" style="1610" customWidth="1"/>
    <col min="3" max="3" width="14.75" style="1610" customWidth="1"/>
    <col min="4" max="4" width="14.8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3" customWidth="1"/>
    <col min="12" max="13" width="10" style="3064" customWidth="1"/>
    <col min="14" max="14" width="10" style="3049" customWidth="1"/>
    <col min="15" max="15" width="10" style="3065" customWidth="1"/>
    <col min="16" max="17" width="10" style="3049"/>
    <col min="18" max="18" width="10" style="3049" customWidth="1"/>
    <col min="19" max="28" width="10" style="3049"/>
    <col min="29" max="16384" width="10" style="1610"/>
  </cols>
  <sheetData>
    <row r="1" spans="1:21" ht="15" thickBot="1">
      <c r="A1" s="1583" t="s">
        <v>1925</v>
      </c>
      <c r="B1" s="3350" t="str">
        <f>IF(B10="北京市","北京市",C10)&amp;F10&amp;B16&amp;"国有建设用地使用权"&amp;B9&amp;"预评估"</f>
        <v>四川省内江市内江经开区甜德街西侧，甜和街东侧A-5-2地块出让国有建设用地使用权抵押价格预评估</v>
      </c>
      <c r="C1" s="3351"/>
      <c r="D1" s="3351"/>
      <c r="E1" s="3351"/>
      <c r="F1" s="3351"/>
      <c r="G1" s="3351"/>
      <c r="H1" s="3351"/>
      <c r="I1" s="3352"/>
      <c r="J1" s="3067"/>
      <c r="K1" s="2307" t="str">
        <f>IF(B10="北京市","北京市",C10)&amp;F10&amp;B16&amp;"国有建设用地使用权"&amp;B9</f>
        <v>四川省内江市内江经开区甜德街西侧，甜和街东侧A-5-2地块出让国有建设用地使用权抵押价格</v>
      </c>
      <c r="L1" s="3046"/>
      <c r="M1" s="3046"/>
      <c r="N1" s="3047"/>
      <c r="O1" s="3048"/>
      <c r="P1" s="3047"/>
      <c r="Q1" s="3047"/>
      <c r="R1" s="3047"/>
      <c r="S1" s="3047"/>
      <c r="T1" s="3047"/>
      <c r="U1" s="3047"/>
    </row>
    <row r="2" spans="1:21">
      <c r="A2" s="1584" t="s">
        <v>1926</v>
      </c>
      <c r="B2" s="1752"/>
      <c r="D2" s="3067"/>
      <c r="E2" s="3067"/>
      <c r="F2" s="3067"/>
      <c r="G2" s="3067"/>
      <c r="H2" s="3068"/>
      <c r="I2" s="3069"/>
      <c r="J2" s="3067"/>
      <c r="K2" s="2307" t="str">
        <f>IF(B10="北京市","北京市",C10)&amp;F10&amp;B16&amp;"国有建设用地使用权"</f>
        <v>四川省内江市内江经开区甜德街西侧，甜和街东侧A-5-2地块出让国有建设用地使用权</v>
      </c>
      <c r="L2" s="3046"/>
      <c r="M2" s="3046"/>
      <c r="N2" s="3047"/>
      <c r="O2" s="3048"/>
      <c r="P2" s="3047"/>
      <c r="Q2" s="3047"/>
      <c r="R2" s="3047"/>
      <c r="S2" s="3047"/>
      <c r="T2" s="3047"/>
      <c r="U2" s="3047"/>
    </row>
    <row r="3" spans="1:21">
      <c r="A3" s="1585" t="s">
        <v>1927</v>
      </c>
      <c r="B3" s="1586">
        <v>44254</v>
      </c>
      <c r="C3" s="2990" t="s">
        <v>1983</v>
      </c>
      <c r="D3" s="1586">
        <f>B3</f>
        <v>44254</v>
      </c>
      <c r="E3" s="3067"/>
      <c r="F3" s="3067"/>
      <c r="G3" s="3067"/>
      <c r="H3" s="3068"/>
      <c r="I3" s="3069"/>
      <c r="J3" s="3067"/>
      <c r="K3" s="3050"/>
      <c r="L3" s="3046"/>
      <c r="M3" s="3046"/>
      <c r="N3" s="3047"/>
      <c r="O3" s="3048"/>
      <c r="P3" s="3047"/>
      <c r="Q3" s="3047"/>
      <c r="R3" s="3047"/>
      <c r="S3" s="3047"/>
      <c r="T3" s="3047"/>
      <c r="U3" s="3047"/>
    </row>
    <row r="4" spans="1:21" ht="15" thickBot="1">
      <c r="A4" s="1588" t="s">
        <v>1928</v>
      </c>
      <c r="B4" s="1753" t="s">
        <v>3003</v>
      </c>
      <c r="C4" s="1756">
        <f ca="1">SUMIF(土地估价师,B4,估价师及机构信息!E3:E16)</f>
        <v>2002110030</v>
      </c>
      <c r="D4" s="1753" t="s">
        <v>3004</v>
      </c>
      <c r="E4" s="1756">
        <f ca="1">SUMIF(土地估价师,D4,估价师及机构信息!E3:E16)</f>
        <v>2014110011</v>
      </c>
      <c r="F4" s="1753" t="s">
        <v>942</v>
      </c>
      <c r="G4" s="1756">
        <f>SUMIF(土地估价师,F4,估价师及机构信息!E3:E16)</f>
        <v>0</v>
      </c>
      <c r="H4" s="1753" t="s">
        <v>942</v>
      </c>
      <c r="I4" s="1756">
        <f>SUMIF(土地估价师,H4,估价师及机构信息!E3:E16)</f>
        <v>0</v>
      </c>
      <c r="J4" s="3067"/>
      <c r="K4" s="2307" t="str">
        <f>IF(AND(F4="——",H4="——"),B4&amp;"、"&amp;D4,IF(AND(F4&lt;&gt;"——",H4="——"),B4&amp;"、"&amp;D4&amp;"、"&amp;F4,B4&amp;"、"&amp;D4&amp;"、"&amp;F4&amp;"、"&amp;H4))</f>
        <v>王鹏、郑燚</v>
      </c>
      <c r="L4" s="3046"/>
      <c r="M4" s="3046"/>
      <c r="N4" s="3047"/>
      <c r="O4" s="3048"/>
      <c r="P4" s="3047"/>
      <c r="Q4" s="3047"/>
      <c r="R4" s="3047"/>
      <c r="S4" s="3047"/>
      <c r="T4" s="3047"/>
      <c r="U4" s="3047"/>
    </row>
    <row r="5" spans="1:21" ht="15" thickTop="1">
      <c r="A5" s="1589" t="s">
        <v>1929</v>
      </c>
      <c r="B5" s="1700" t="s">
        <v>3002</v>
      </c>
      <c r="C5" s="1590"/>
      <c r="D5" s="1591"/>
      <c r="E5" s="3067"/>
      <c r="F5" s="3067"/>
      <c r="G5" s="3067"/>
      <c r="H5" s="3068"/>
      <c r="I5" s="3069"/>
      <c r="J5" s="3067"/>
      <c r="K5" s="3050"/>
      <c r="L5" s="3046"/>
      <c r="M5" s="3046"/>
      <c r="N5" s="3047"/>
      <c r="O5" s="3048"/>
      <c r="P5" s="3047"/>
      <c r="Q5" s="3047"/>
      <c r="R5" s="3047"/>
      <c r="S5" s="3047"/>
      <c r="T5" s="3047"/>
      <c r="U5" s="3047"/>
    </row>
    <row r="6" spans="1:21" ht="26.25">
      <c r="A6" s="1587" t="s">
        <v>2686</v>
      </c>
      <c r="B6" s="1700"/>
      <c r="C6" s="1675"/>
      <c r="D6" s="1592"/>
      <c r="E6" s="3067"/>
      <c r="F6" s="3067"/>
      <c r="G6" s="3067"/>
      <c r="H6" s="3068"/>
      <c r="I6" s="3069"/>
      <c r="J6" s="3067"/>
      <c r="K6" s="3051" t="str">
        <f>IF(COUNTIF(B6,"*上海银行*"),"上海银行","")</f>
        <v/>
      </c>
      <c r="L6" s="3046"/>
      <c r="M6" s="3046"/>
      <c r="N6" s="3047"/>
      <c r="O6" s="3048"/>
      <c r="P6" s="3047"/>
      <c r="Q6" s="3047"/>
      <c r="R6" s="3047"/>
      <c r="S6" s="3047"/>
      <c r="T6" s="3047"/>
      <c r="U6" s="3047"/>
    </row>
    <row r="7" spans="1:21">
      <c r="A7" s="1593" t="s">
        <v>2687</v>
      </c>
      <c r="B7" s="1700"/>
      <c r="C7" s="1675"/>
      <c r="D7" s="1592"/>
      <c r="E7" s="3067"/>
      <c r="F7" s="3067"/>
      <c r="G7" s="3067"/>
      <c r="H7" s="3068"/>
      <c r="I7" s="3069"/>
      <c r="J7" s="3067"/>
      <c r="K7" s="3050"/>
      <c r="L7" s="3046"/>
      <c r="M7" s="3046"/>
      <c r="N7" s="3047"/>
      <c r="O7" s="3048"/>
      <c r="P7" s="3047"/>
      <c r="Q7" s="3047"/>
      <c r="R7" s="3047"/>
      <c r="S7" s="3047"/>
      <c r="T7" s="3047"/>
      <c r="U7" s="3047"/>
    </row>
    <row r="8" spans="1:21">
      <c r="A8" s="2991" t="s">
        <v>1930</v>
      </c>
      <c r="B8" s="1594" t="s">
        <v>2955</v>
      </c>
      <c r="C8" s="1595"/>
      <c r="D8" s="3356" t="s">
        <v>1932</v>
      </c>
      <c r="E8" s="1754" t="s">
        <v>3005</v>
      </c>
      <c r="F8" s="1596"/>
      <c r="G8" s="3068"/>
      <c r="H8" s="3068"/>
      <c r="I8" s="3071"/>
      <c r="J8" s="3067"/>
      <c r="K8" s="3050"/>
      <c r="L8" s="3046"/>
      <c r="M8" s="3046"/>
      <c r="N8" s="3047"/>
      <c r="O8" s="3048"/>
      <c r="P8" s="3047"/>
      <c r="Q8" s="3047"/>
      <c r="R8" s="3047"/>
      <c r="S8" s="3047"/>
      <c r="T8" s="3047"/>
      <c r="U8" s="3047"/>
    </row>
    <row r="9" spans="1:21" ht="15" thickBot="1">
      <c r="A9" s="2992" t="s">
        <v>1931</v>
      </c>
      <c r="B9" s="1597" t="s">
        <v>3005</v>
      </c>
      <c r="C9" s="1598"/>
      <c r="D9" s="3357"/>
      <c r="E9" s="1597" t="s">
        <v>2833</v>
      </c>
      <c r="F9" s="1661"/>
      <c r="G9" s="3072"/>
      <c r="H9" s="3072"/>
      <c r="I9" s="3073"/>
      <c r="J9" s="3067"/>
      <c r="K9" s="3050"/>
      <c r="L9" s="3046"/>
      <c r="M9" s="3046"/>
      <c r="N9" s="3047"/>
      <c r="O9" s="3048"/>
      <c r="P9" s="3047"/>
      <c r="Q9" s="3047"/>
      <c r="R9" s="3047"/>
      <c r="S9" s="3047"/>
      <c r="T9" s="3047"/>
      <c r="U9" s="3047"/>
    </row>
    <row r="10" spans="1:21" ht="15" thickTop="1">
      <c r="A10" s="2993" t="s">
        <v>1987</v>
      </c>
      <c r="B10" s="1637" t="s">
        <v>3006</v>
      </c>
      <c r="C10" s="1599" t="s">
        <v>3007</v>
      </c>
      <c r="D10" s="1591"/>
      <c r="E10" s="1600" t="s">
        <v>1934</v>
      </c>
      <c r="F10" s="1601" t="s">
        <v>3015</v>
      </c>
      <c r="G10" s="1659"/>
      <c r="H10" s="1660"/>
      <c r="I10" s="1591"/>
      <c r="J10" s="3067"/>
      <c r="K10" s="3050"/>
      <c r="L10" s="3046"/>
      <c r="M10" s="3046"/>
      <c r="N10" s="3047"/>
      <c r="O10" s="3048"/>
      <c r="P10" s="3047"/>
      <c r="Q10" s="3047"/>
      <c r="R10" s="3047"/>
      <c r="S10" s="3047"/>
      <c r="T10" s="3047"/>
      <c r="U10" s="3047"/>
    </row>
    <row r="11" spans="1:21" ht="28.5">
      <c r="A11" s="2994" t="s">
        <v>1988</v>
      </c>
      <c r="B11" s="1616" t="s">
        <v>3008</v>
      </c>
      <c r="C11" s="1602" t="s">
        <v>3016</v>
      </c>
      <c r="D11" s="1676"/>
      <c r="E11" s="3066"/>
      <c r="F11" s="3066"/>
      <c r="G11" s="3066"/>
      <c r="H11" s="3066"/>
      <c r="I11" s="3066"/>
      <c r="J11" s="3067"/>
      <c r="K11" s="3050"/>
      <c r="L11" s="3046"/>
      <c r="M11" s="3046"/>
      <c r="N11" s="3047"/>
      <c r="O11" s="3048"/>
      <c r="P11" s="3047"/>
      <c r="Q11" s="3047"/>
      <c r="R11" s="3047"/>
      <c r="S11" s="3047"/>
      <c r="T11" s="3047"/>
      <c r="U11" s="3047"/>
    </row>
    <row r="12" spans="1:21">
      <c r="A12" s="1696" t="s">
        <v>2046</v>
      </c>
      <c r="B12" s="3353" t="s">
        <v>3011</v>
      </c>
      <c r="C12" s="3354"/>
      <c r="D12" s="3355"/>
      <c r="E12" s="1617" t="s">
        <v>2049</v>
      </c>
      <c r="F12" s="3371" t="s">
        <v>2867</v>
      </c>
      <c r="G12" s="3372"/>
      <c r="H12" s="3372"/>
      <c r="I12" s="3373"/>
      <c r="J12" s="3067"/>
      <c r="K12" s="3050"/>
      <c r="L12" s="3046"/>
      <c r="M12" s="3046"/>
      <c r="N12" s="3047"/>
      <c r="O12" s="3048"/>
      <c r="P12" s="3047"/>
      <c r="Q12" s="3047"/>
      <c r="R12" s="3047"/>
      <c r="S12" s="3047"/>
      <c r="T12" s="3047"/>
      <c r="U12" s="3047"/>
    </row>
    <row r="13" spans="1:21">
      <c r="A13" s="1608" t="s">
        <v>2047</v>
      </c>
      <c r="B13" s="3353"/>
      <c r="C13" s="3354"/>
      <c r="D13" s="3355"/>
      <c r="E13" s="1617" t="s">
        <v>2049</v>
      </c>
      <c r="F13" s="3371" t="s">
        <v>2868</v>
      </c>
      <c r="G13" s="3372"/>
      <c r="H13" s="3372"/>
      <c r="I13" s="3373"/>
      <c r="J13" s="3067"/>
      <c r="K13" s="3050"/>
      <c r="L13" s="3046"/>
      <c r="M13" s="3046"/>
      <c r="N13" s="3047"/>
      <c r="O13" s="3048"/>
      <c r="P13" s="3047"/>
      <c r="Q13" s="3047"/>
      <c r="R13" s="3047"/>
      <c r="S13" s="3047"/>
      <c r="T13" s="3047"/>
      <c r="U13" s="3047"/>
    </row>
    <row r="14" spans="1:21">
      <c r="A14" s="1585" t="s">
        <v>2050</v>
      </c>
      <c r="B14" s="1617"/>
      <c r="C14" s="1755"/>
      <c r="D14" s="1651" t="str">
        <f>IF(C14="不一致","是否符合证载地类范围","")</f>
        <v/>
      </c>
      <c r="E14" s="1617"/>
      <c r="F14" s="1701"/>
      <c r="G14" s="1646"/>
      <c r="H14" s="1646"/>
      <c r="I14" s="1748"/>
      <c r="J14" s="3067"/>
      <c r="K14" s="3050"/>
      <c r="L14" s="3046"/>
      <c r="M14" s="3046"/>
      <c r="N14" s="3047"/>
      <c r="O14" s="3048"/>
      <c r="P14" s="3047"/>
      <c r="Q14" s="3047"/>
      <c r="R14" s="3047"/>
      <c r="S14" s="3047"/>
      <c r="T14" s="3047"/>
      <c r="U14" s="3047"/>
    </row>
    <row r="15" spans="1:21" hidden="1">
      <c r="A15" s="2484"/>
      <c r="B15" s="1587"/>
      <c r="C15" s="1587"/>
      <c r="D15" s="1680" t="s">
        <v>1937</v>
      </c>
      <c r="E15" s="1680" t="s">
        <v>1938</v>
      </c>
      <c r="F15" s="1680" t="s">
        <v>1939</v>
      </c>
      <c r="G15" s="1607" t="s">
        <v>1940</v>
      </c>
      <c r="H15" s="1607" t="s">
        <v>1941</v>
      </c>
      <c r="I15" s="1607" t="s">
        <v>1942</v>
      </c>
      <c r="J15" s="3067"/>
      <c r="K15" s="3050"/>
      <c r="L15" s="3046"/>
      <c r="M15" s="3046"/>
      <c r="N15" s="3047"/>
      <c r="O15" s="3048"/>
      <c r="P15" s="3047"/>
      <c r="Q15" s="3047"/>
      <c r="R15" s="3047"/>
      <c r="S15" s="3047"/>
      <c r="T15" s="3047"/>
      <c r="U15" s="3047"/>
    </row>
    <row r="16" spans="1:21" ht="42.75">
      <c r="A16" s="2995" t="s">
        <v>1935</v>
      </c>
      <c r="B16" s="1603" t="s">
        <v>2950</v>
      </c>
      <c r="C16" s="1617" t="s">
        <v>1936</v>
      </c>
      <c r="D16" s="2485" t="s">
        <v>1937</v>
      </c>
      <c r="E16" s="1640" t="s">
        <v>3012</v>
      </c>
      <c r="F16" s="1640"/>
      <c r="G16" s="1640" t="s">
        <v>35</v>
      </c>
      <c r="H16" s="1640"/>
      <c r="I16" s="1607" t="s">
        <v>1942</v>
      </c>
      <c r="J16" s="3067"/>
      <c r="K16" s="2308" t="str">
        <f>IF(D17="","",D16&amp;TEXT(D17,"yyyy年m月d日;;"))</f>
        <v>住宅2089年12月10日</v>
      </c>
      <c r="L16" s="1617" t="str">
        <f>IF(OR(K16="",M16=""),"","、")</f>
        <v>、</v>
      </c>
      <c r="M16" s="2308" t="str">
        <f>IF(E17="","",E16&amp;TEXT(E17,"yyyy年m月d日;;"))</f>
        <v>商业2059年12月10日</v>
      </c>
      <c r="N16" s="1617" t="str">
        <f>IF(OR(M16="",O16=""),"","、")</f>
        <v/>
      </c>
      <c r="O16" s="2308" t="str">
        <f>IF(F17="","",F16&amp;TEXT(F17,"yyyy年m月d日;;"))</f>
        <v/>
      </c>
      <c r="P16" s="1617" t="str">
        <f>IF(OR(O16="",Q16=""),"","、")</f>
        <v/>
      </c>
      <c r="Q16" s="2308" t="str">
        <f>IF(G17="","",G16&amp;TEXT(G17,"yyyy年m月d日;;"))</f>
        <v>地下车库2059年12月10日</v>
      </c>
      <c r="R16" s="1617" t="str">
        <f>IF(OR(Q16="",S16=""),"","、")</f>
        <v/>
      </c>
      <c r="S16" s="2308" t="str">
        <f>IF(H17="","",H16&amp;TEXT(H17,"yyyy年m月d日;;"))</f>
        <v/>
      </c>
      <c r="T16" s="1617" t="str">
        <f>IF(OR(S16="",U16=""),"","、")</f>
        <v/>
      </c>
      <c r="U16" s="2308" t="str">
        <f>IF(I17="","",I16&amp;TEXT(I17,"yyyy年m月d日;;"))</f>
        <v/>
      </c>
    </row>
    <row r="17" spans="1:21">
      <c r="A17" s="1677"/>
      <c r="B17" s="1604"/>
      <c r="C17" s="2996" t="s">
        <v>1943</v>
      </c>
      <c r="D17" s="1618">
        <v>69377</v>
      </c>
      <c r="E17" s="1618">
        <v>58419</v>
      </c>
      <c r="F17" s="1618"/>
      <c r="G17" s="1618">
        <f>E17</f>
        <v>58419</v>
      </c>
      <c r="H17" s="1618"/>
      <c r="I17" s="1618"/>
      <c r="J17" s="3067"/>
      <c r="K17" s="3045" t="str">
        <f>CONCATENATE(K16,L16,M16,N16,O16,P16,Q16,R16,S16,T16,,U16)</f>
        <v>住宅2089年12月10日、商业2059年12月10日地下车库2059年12月10日</v>
      </c>
      <c r="L17" s="3046"/>
      <c r="M17" s="3046"/>
      <c r="N17" s="3047"/>
      <c r="O17" s="3048"/>
      <c r="P17" s="3047"/>
      <c r="Q17" s="3047"/>
      <c r="R17" s="3047"/>
      <c r="S17" s="3047"/>
      <c r="T17" s="3047"/>
      <c r="U17" s="3047"/>
    </row>
    <row r="18" spans="1:21">
      <c r="A18" s="1677"/>
      <c r="B18" s="1604"/>
      <c r="C18" s="2996" t="s">
        <v>1944</v>
      </c>
      <c r="D18" s="1605">
        <v>70</v>
      </c>
      <c r="E18" s="1605">
        <v>40</v>
      </c>
      <c r="F18" s="1605"/>
      <c r="G18" s="1605">
        <v>40</v>
      </c>
      <c r="H18" s="1605"/>
      <c r="I18" s="1605"/>
      <c r="J18" s="3067"/>
      <c r="K18" s="3050"/>
      <c r="L18" s="3046"/>
      <c r="M18" s="3046"/>
      <c r="N18" s="3047"/>
      <c r="O18" s="3048"/>
      <c r="P18" s="3047"/>
      <c r="Q18" s="3047"/>
      <c r="R18" s="3047"/>
      <c r="S18" s="3047"/>
      <c r="T18" s="3047"/>
      <c r="U18" s="3047"/>
    </row>
    <row r="19" spans="1:21">
      <c r="A19" s="1677"/>
      <c r="B19" s="1604"/>
      <c r="C19" s="1584" t="s">
        <v>1945</v>
      </c>
      <c r="D19" s="1672">
        <f>IF(B16="出让",IF(D17="","",ROUNDDOWN(MIN((D17-$D$3)/365,D18),2)),D18)</f>
        <v>68.83</v>
      </c>
      <c r="E19" s="1606">
        <f>IF(B16="出让",IF(E17="","",ROUNDDOWN(MIN((E17-$D$3)/365,E18),2)),E18)</f>
        <v>38.799999999999997</v>
      </c>
      <c r="F19" s="1606" t="str">
        <f>IF(B16="出让",IF(F17="","",ROUNDDOWN(MIN((F17-$D$3)/365,F18),2)),F18)</f>
        <v/>
      </c>
      <c r="G19" s="1606">
        <f>IF(B16="出让",IF(G17="","",ROUNDDOWN(MIN((G17-$D$3)/365,G18),2)),G18)</f>
        <v>38.799999999999997</v>
      </c>
      <c r="H19" s="1606" t="str">
        <f>IF(B16="出让",IF(H17="","",ROUNDDOWN(MIN((H17-$D$3)/365,H18),2)),H18)</f>
        <v/>
      </c>
      <c r="I19" s="1606" t="str">
        <f>IF(B16="出让",IF(I17="","",ROUNDDOWN(MIN((I17-$D$3)/365,I18),2)),I18)</f>
        <v/>
      </c>
      <c r="J19" s="3067"/>
      <c r="K19" s="3050"/>
      <c r="L19" s="3046"/>
      <c r="M19" s="3046"/>
      <c r="N19" s="3047"/>
      <c r="O19" s="3048"/>
      <c r="P19" s="3047"/>
      <c r="Q19" s="3047"/>
      <c r="R19" s="3047"/>
      <c r="S19" s="3047"/>
      <c r="T19" s="3047"/>
      <c r="U19" s="3047"/>
    </row>
    <row r="20" spans="1:21">
      <c r="A20" s="1697"/>
      <c r="B20" s="1698"/>
      <c r="C20" s="1699" t="s">
        <v>2048</v>
      </c>
      <c r="D20" s="3368"/>
      <c r="E20" s="3369"/>
      <c r="F20" s="3369"/>
      <c r="G20" s="3369"/>
      <c r="H20" s="3369"/>
      <c r="I20" s="3370"/>
      <c r="J20" s="3067"/>
      <c r="K20" s="3050"/>
      <c r="L20" s="3046"/>
      <c r="M20" s="3046"/>
      <c r="N20" s="3047"/>
      <c r="O20" s="3048"/>
      <c r="P20" s="3047"/>
      <c r="Q20" s="3047"/>
      <c r="R20" s="3047"/>
      <c r="S20" s="3047"/>
      <c r="T20" s="3047"/>
      <c r="U20" s="3047"/>
    </row>
    <row r="21" spans="1:21">
      <c r="A21" s="1677" t="s">
        <v>1946</v>
      </c>
      <c r="B21" s="1678" t="s">
        <v>1947</v>
      </c>
      <c r="C21" s="1673">
        <f>'数据-汇总表'!E3</f>
        <v>172032.86</v>
      </c>
      <c r="D21" s="1674" t="s">
        <v>1948</v>
      </c>
      <c r="E21" s="3358" t="s">
        <v>1986</v>
      </c>
      <c r="F21" s="3359"/>
      <c r="G21" s="3359"/>
      <c r="H21" s="3359"/>
      <c r="I21" s="3360"/>
      <c r="J21" s="3067"/>
      <c r="K21" s="3050"/>
      <c r="L21" s="3046"/>
      <c r="M21" s="3046"/>
      <c r="N21" s="3047"/>
      <c r="O21" s="3048"/>
      <c r="P21" s="3047"/>
      <c r="Q21" s="3047"/>
      <c r="R21" s="3047"/>
      <c r="S21" s="3047"/>
      <c r="T21" s="3047"/>
      <c r="U21" s="3047"/>
    </row>
    <row r="22" spans="1:21">
      <c r="A22" s="2795" t="s">
        <v>942</v>
      </c>
      <c r="B22" s="1585" t="s">
        <v>1949</v>
      </c>
      <c r="C22" s="1607">
        <f>'数据-汇总表'!D3</f>
        <v>59775.26</v>
      </c>
      <c r="D22" s="1608" t="s">
        <v>1948</v>
      </c>
      <c r="E22" s="3358" t="s">
        <v>2869</v>
      </c>
      <c r="F22" s="3359"/>
      <c r="G22" s="3359"/>
      <c r="H22" s="3359"/>
      <c r="I22" s="3360"/>
      <c r="J22" s="3067"/>
      <c r="K22" s="3050"/>
      <c r="L22" s="3046"/>
      <c r="M22" s="3046"/>
      <c r="N22" s="3047"/>
      <c r="O22" s="3048"/>
      <c r="P22" s="3047"/>
      <c r="Q22" s="3047"/>
      <c r="R22" s="3047"/>
      <c r="S22" s="3047"/>
      <c r="T22" s="3047"/>
      <c r="U22" s="3047"/>
    </row>
    <row r="23" spans="1:21" ht="29.25" thickBot="1">
      <c r="A23" s="1679" t="s">
        <v>1950</v>
      </c>
      <c r="B23" s="1619" t="s">
        <v>1951</v>
      </c>
      <c r="C23" s="1620"/>
      <c r="D23" s="1621" t="s">
        <v>1952</v>
      </c>
      <c r="E23" s="1622"/>
      <c r="F23" s="1623" t="str">
        <f>IF(AND(C23="是",E23="否"),"是否提供他项权证或相关说明","")</f>
        <v/>
      </c>
      <c r="G23" s="1624"/>
      <c r="H23" s="3067"/>
      <c r="I23" s="3071"/>
      <c r="J23" s="3067"/>
      <c r="K23" s="3050"/>
      <c r="L23" s="3046"/>
      <c r="M23" s="3046"/>
      <c r="N23" s="3047"/>
      <c r="O23" s="3048"/>
      <c r="P23" s="3047"/>
      <c r="Q23" s="3047"/>
      <c r="R23" s="3047"/>
      <c r="S23" s="3047"/>
      <c r="T23" s="3047"/>
      <c r="U23" s="3047"/>
    </row>
    <row r="24" spans="1:21">
      <c r="A24" s="1664" t="s">
        <v>1953</v>
      </c>
      <c r="B24" s="3361" t="s">
        <v>1954</v>
      </c>
      <c r="C24" s="3362"/>
      <c r="D24" s="3363" t="s">
        <v>1955</v>
      </c>
      <c r="E24" s="3364"/>
      <c r="F24" s="1626" t="s">
        <v>1956</v>
      </c>
      <c r="G24" s="3067"/>
      <c r="H24" s="3067"/>
      <c r="I24" s="3071"/>
      <c r="J24" s="3067"/>
      <c r="K24" s="3349" t="s">
        <v>1957</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7"/>
      <c r="O24" s="3048"/>
      <c r="P24" s="3047"/>
      <c r="Q24" s="3047"/>
      <c r="R24" s="3047"/>
      <c r="S24" s="3047"/>
      <c r="T24" s="3047"/>
      <c r="U24" s="3047"/>
    </row>
    <row r="25" spans="1:21" ht="28.5">
      <c r="A25" s="1665"/>
      <c r="B25" s="1662" t="s">
        <v>2312</v>
      </c>
      <c r="C25" s="1627" t="s">
        <v>1958</v>
      </c>
      <c r="D25" s="1628"/>
      <c r="E25" s="1629" t="s">
        <v>942</v>
      </c>
      <c r="F25" s="1630"/>
      <c r="G25" s="3067"/>
      <c r="H25" s="3067"/>
      <c r="I25" s="3071"/>
      <c r="J25" s="3067"/>
      <c r="K25" s="3349"/>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7"/>
      <c r="O25" s="3048"/>
      <c r="P25" s="3047"/>
      <c r="Q25" s="3047"/>
      <c r="R25" s="3047"/>
      <c r="S25" s="3047"/>
      <c r="T25" s="3047"/>
      <c r="U25" s="3047"/>
    </row>
    <row r="26" spans="1:21" ht="29.25" thickBot="1">
      <c r="A26" s="1666"/>
      <c r="B26" s="1663" t="s">
        <v>1959</v>
      </c>
      <c r="C26" s="1627" t="s">
        <v>2313</v>
      </c>
      <c r="D26" s="3068"/>
      <c r="E26" s="3068"/>
      <c r="F26" s="3074"/>
      <c r="G26" s="3067"/>
      <c r="H26" s="3067"/>
      <c r="I26" s="3071"/>
      <c r="J26" s="3067"/>
      <c r="K26" s="3349"/>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7"/>
      <c r="O26" s="3048"/>
      <c r="P26" s="3047"/>
      <c r="Q26" s="3047"/>
      <c r="R26" s="3047"/>
      <c r="S26" s="3047"/>
      <c r="T26" s="3047"/>
      <c r="U26" s="3047"/>
    </row>
    <row r="27" spans="1:21">
      <c r="A27" s="1669" t="s">
        <v>1960</v>
      </c>
      <c r="B27" s="1667" t="s">
        <v>1961</v>
      </c>
      <c r="C27" s="1631"/>
      <c r="D27" s="2490" t="s">
        <v>1961</v>
      </c>
      <c r="E27" s="1632"/>
      <c r="F27" s="3074"/>
      <c r="G27" s="3067"/>
      <c r="H27" s="3067"/>
      <c r="I27" s="3071"/>
      <c r="J27" s="3067"/>
      <c r="K27" s="3050"/>
      <c r="L27" s="3046"/>
      <c r="M27" s="3046"/>
      <c r="N27" s="3047"/>
      <c r="O27" s="3048"/>
      <c r="P27" s="3047"/>
      <c r="Q27" s="3047"/>
      <c r="R27" s="3047"/>
      <c r="S27" s="3047"/>
      <c r="T27" s="3047"/>
      <c r="U27" s="3047"/>
    </row>
    <row r="28" spans="1:21">
      <c r="A28" s="1670"/>
      <c r="B28" s="1667" t="s">
        <v>1962</v>
      </c>
      <c r="C28" s="1633"/>
      <c r="D28" s="2491" t="s">
        <v>1962</v>
      </c>
      <c r="E28" s="1634"/>
      <c r="F28" s="3074"/>
      <c r="G28" s="3067"/>
      <c r="H28" s="3067"/>
      <c r="I28" s="3071"/>
      <c r="J28" s="3067"/>
      <c r="K28" s="3050"/>
      <c r="L28" s="3046"/>
      <c r="M28" s="3046"/>
      <c r="N28" s="3047"/>
      <c r="O28" s="3048"/>
      <c r="P28" s="3047"/>
      <c r="Q28" s="3047"/>
      <c r="R28" s="3047"/>
      <c r="S28" s="3047"/>
      <c r="T28" s="3047"/>
      <c r="U28" s="3047"/>
    </row>
    <row r="29" spans="1:21">
      <c r="A29" s="1670"/>
      <c r="B29" s="1667" t="s">
        <v>1963</v>
      </c>
      <c r="C29" s="1633"/>
      <c r="D29" s="2491" t="s">
        <v>1963</v>
      </c>
      <c r="E29" s="1634"/>
      <c r="F29" s="3074"/>
      <c r="G29" s="3067"/>
      <c r="H29" s="3067"/>
      <c r="I29" s="3071"/>
      <c r="J29" s="3067"/>
      <c r="K29" s="3050"/>
      <c r="L29" s="3046"/>
      <c r="M29" s="3046"/>
      <c r="N29" s="3047"/>
      <c r="O29" s="3048"/>
      <c r="P29" s="3047"/>
      <c r="Q29" s="3047"/>
      <c r="R29" s="3047"/>
      <c r="S29" s="3047"/>
      <c r="T29" s="3047"/>
      <c r="U29" s="3047"/>
    </row>
    <row r="30" spans="1:21" ht="15" thickBot="1">
      <c r="A30" s="1671"/>
      <c r="B30" s="1668" t="s">
        <v>1964</v>
      </c>
      <c r="C30" s="1635"/>
      <c r="D30" s="2492" t="s">
        <v>1964</v>
      </c>
      <c r="E30" s="1636"/>
      <c r="F30" s="3075"/>
      <c r="G30" s="3072"/>
      <c r="H30" s="3072"/>
      <c r="I30" s="3073"/>
      <c r="J30" s="3067"/>
      <c r="K30" s="3050"/>
      <c r="L30" s="3046"/>
      <c r="M30" s="3046"/>
      <c r="N30" s="3047"/>
      <c r="O30" s="3048"/>
      <c r="P30" s="3047"/>
      <c r="Q30" s="3047"/>
      <c r="R30" s="3047"/>
      <c r="S30" s="3047"/>
      <c r="T30" s="3047"/>
      <c r="U30" s="3047"/>
    </row>
    <row r="31" spans="1:21" ht="15" thickTop="1">
      <c r="A31" s="3376" t="s">
        <v>1989</v>
      </c>
      <c r="B31" s="1678" t="s">
        <v>1990</v>
      </c>
      <c r="C31" s="3374" t="s">
        <v>3014</v>
      </c>
      <c r="D31" s="3375"/>
      <c r="E31" s="3067"/>
      <c r="F31" s="3067"/>
      <c r="G31" s="3067"/>
      <c r="H31" s="3067"/>
      <c r="I31" s="3071"/>
      <c r="J31" s="3067"/>
      <c r="K31" s="3053"/>
      <c r="L31" s="3047"/>
      <c r="M31" s="3047"/>
      <c r="N31" s="3047"/>
      <c r="O31" s="3047"/>
      <c r="P31" s="3047"/>
      <c r="Q31" s="3047"/>
      <c r="R31" s="3047"/>
      <c r="S31" s="3047"/>
      <c r="T31" s="3047"/>
      <c r="U31" s="3047"/>
    </row>
    <row r="32" spans="1:21">
      <c r="A32" s="3376"/>
      <c r="B32" s="1585" t="s">
        <v>1991</v>
      </c>
      <c r="C32" s="1637"/>
      <c r="D32" s="1638"/>
      <c r="E32" s="3067"/>
      <c r="F32" s="3067"/>
      <c r="G32" s="3067"/>
      <c r="H32" s="3067"/>
      <c r="I32" s="3071"/>
      <c r="J32" s="3067"/>
      <c r="K32" s="3053"/>
      <c r="L32" s="3047"/>
      <c r="M32" s="3047"/>
      <c r="N32" s="3047"/>
      <c r="O32" s="3047"/>
      <c r="P32" s="3047"/>
      <c r="Q32" s="3047"/>
      <c r="R32" s="3047"/>
      <c r="S32" s="3047"/>
      <c r="T32" s="3047"/>
      <c r="U32" s="3047"/>
    </row>
    <row r="33" spans="1:28">
      <c r="A33" s="3376"/>
      <c r="B33" s="1585" t="s">
        <v>1992</v>
      </c>
      <c r="C33" s="1639"/>
      <c r="D33" s="1749"/>
      <c r="E33" s="3067"/>
      <c r="F33" s="3067"/>
      <c r="G33" s="3067"/>
      <c r="H33" s="3067"/>
      <c r="I33" s="3071"/>
      <c r="J33" s="3067"/>
      <c r="K33" s="3053"/>
      <c r="L33" s="3047"/>
      <c r="M33" s="3047"/>
      <c r="N33" s="3047"/>
      <c r="O33" s="3047"/>
      <c r="P33" s="3047"/>
      <c r="Q33" s="3047"/>
      <c r="R33" s="3047"/>
      <c r="S33" s="3047"/>
      <c r="T33" s="3047"/>
      <c r="U33" s="3047"/>
    </row>
    <row r="34" spans="1:28">
      <c r="A34" s="3377"/>
      <c r="B34" s="1585" t="s">
        <v>1993</v>
      </c>
      <c r="C34" s="3378"/>
      <c r="D34" s="3379"/>
      <c r="E34" s="3067"/>
      <c r="F34" s="3067"/>
      <c r="G34" s="3067"/>
      <c r="H34" s="3067"/>
      <c r="I34" s="3071"/>
      <c r="J34" s="3067"/>
      <c r="K34" s="3053"/>
      <c r="L34" s="3047"/>
      <c r="M34" s="3047"/>
      <c r="N34" s="3047"/>
      <c r="O34" s="3047"/>
      <c r="P34" s="3047"/>
      <c r="Q34" s="3047"/>
      <c r="R34" s="3047"/>
      <c r="S34" s="3047"/>
      <c r="T34" s="3047"/>
      <c r="U34" s="3047"/>
    </row>
    <row r="35" spans="1:28">
      <c r="A35" s="3380" t="s">
        <v>838</v>
      </c>
      <c r="B35" s="1640" t="s">
        <v>3013</v>
      </c>
      <c r="C35" s="1687" t="str">
        <f>IF(B35="场地平整","——","具体情况：")</f>
        <v>——</v>
      </c>
      <c r="D35" s="3382"/>
      <c r="E35" s="3383"/>
      <c r="F35" s="3383"/>
      <c r="G35" s="3383"/>
      <c r="H35" s="3383"/>
      <c r="I35" s="3384"/>
      <c r="J35" s="3067"/>
      <c r="K35" s="3054"/>
      <c r="L35" s="3046"/>
      <c r="M35" s="3046"/>
      <c r="N35" s="3047"/>
      <c r="O35" s="3048"/>
      <c r="P35" s="3047"/>
      <c r="Q35" s="3047"/>
      <c r="R35" s="3047"/>
      <c r="S35" s="3047"/>
      <c r="T35" s="3047"/>
      <c r="U35" s="3047"/>
    </row>
    <row r="36" spans="1:28">
      <c r="A36" s="3376"/>
      <c r="B36" s="3385" t="s">
        <v>2042</v>
      </c>
      <c r="C36" s="3386"/>
      <c r="D36" s="1703"/>
      <c r="E36" s="3387"/>
      <c r="F36" s="3387"/>
      <c r="G36" s="1608" t="str">
        <f>IF(B35="场地未平整","估价结果处理","")</f>
        <v/>
      </c>
      <c r="H36" s="3388"/>
      <c r="I36" s="3388"/>
      <c r="J36" s="3067"/>
      <c r="K36" s="3054"/>
      <c r="L36" s="3046"/>
      <c r="M36" s="3046"/>
      <c r="N36" s="3047"/>
      <c r="O36" s="3048"/>
      <c r="P36" s="3047"/>
      <c r="Q36" s="3047"/>
      <c r="R36" s="3047"/>
      <c r="S36" s="3047"/>
      <c r="T36" s="3047"/>
      <c r="U36" s="3047"/>
    </row>
    <row r="37" spans="1:28">
      <c r="A37" s="3376"/>
      <c r="B37" s="3365" t="s">
        <v>839</v>
      </c>
      <c r="C37" s="1642" t="s">
        <v>840</v>
      </c>
      <c r="D37" s="1643"/>
      <c r="E37" s="1644"/>
      <c r="F37" s="3067"/>
      <c r="G37" s="3067"/>
      <c r="H37" s="3067"/>
      <c r="I37" s="3071"/>
      <c r="J37" s="3067"/>
      <c r="K37" s="3054"/>
      <c r="L37" s="3047"/>
      <c r="M37" s="3047"/>
      <c r="N37" s="3047"/>
      <c r="O37" s="3047"/>
      <c r="P37" s="3047"/>
      <c r="Q37" s="3047"/>
      <c r="R37" s="3047"/>
      <c r="S37" s="3047"/>
      <c r="T37" s="3047"/>
      <c r="U37" s="3047"/>
    </row>
    <row r="38" spans="1:28">
      <c r="A38" s="3376"/>
      <c r="B38" s="3366"/>
      <c r="C38" s="1593" t="s">
        <v>841</v>
      </c>
      <c r="D38" s="1702">
        <f>ROUNDDOWN(MIN(('数据-取费表'!$B$2-D37)/365,D34),1)</f>
        <v>121.2</v>
      </c>
      <c r="E38" s="1645" t="s">
        <v>842</v>
      </c>
      <c r="F38" s="3067"/>
      <c r="G38" s="3067"/>
      <c r="H38" s="3067"/>
      <c r="I38" s="3071"/>
      <c r="J38" s="3067"/>
      <c r="K38" s="3054"/>
      <c r="L38" s="3047"/>
      <c r="M38" s="3047"/>
      <c r="N38" s="3047"/>
      <c r="O38" s="3047"/>
      <c r="P38" s="3047"/>
      <c r="Q38" s="3047"/>
      <c r="R38" s="3047"/>
      <c r="S38" s="3047"/>
      <c r="T38" s="3047"/>
      <c r="U38" s="3047"/>
    </row>
    <row r="39" spans="1:28">
      <c r="A39" s="3377"/>
      <c r="B39" s="3367"/>
      <c r="C39" s="1615" t="str">
        <f>IF(D38&lt;1,"不存在土地闲置",IF(B35="宗地内已开工建设","已开工，不存在土地闲置","估价对象已涉嫌土地闲置"))</f>
        <v>估价对象已涉嫌土地闲置</v>
      </c>
      <c r="D39" s="1646"/>
      <c r="E39" s="1647"/>
      <c r="F39" s="3067"/>
      <c r="G39" s="3067"/>
      <c r="H39" s="3067"/>
      <c r="I39" s="3071"/>
      <c r="J39" s="3067"/>
      <c r="K39" s="3050"/>
      <c r="L39" s="3046"/>
      <c r="M39" s="3046"/>
      <c r="N39" s="3047"/>
      <c r="O39" s="3048"/>
      <c r="P39" s="3047"/>
      <c r="Q39" s="3047"/>
      <c r="R39" s="3047"/>
      <c r="S39" s="3047"/>
      <c r="T39" s="3047"/>
      <c r="U39" s="3047"/>
    </row>
    <row r="40" spans="1:28">
      <c r="A40" s="1608" t="s">
        <v>1965</v>
      </c>
      <c r="B40" s="1609"/>
      <c r="C40" s="1609"/>
      <c r="D40" s="1609"/>
      <c r="E40" s="1609"/>
      <c r="F40" s="1609"/>
      <c r="G40" s="1609"/>
      <c r="H40" s="1609"/>
      <c r="I40" s="3071"/>
      <c r="J40" s="3067"/>
      <c r="K40" s="3015">
        <f>COUNTIF(B40:H40,"——")</f>
        <v>0</v>
      </c>
      <c r="L40" s="1617" t="s">
        <v>1966</v>
      </c>
      <c r="M40" s="1614" t="s">
        <v>1967</v>
      </c>
      <c r="N40" s="1614" t="s">
        <v>1968</v>
      </c>
      <c r="O40" s="1614" t="s">
        <v>1969</v>
      </c>
      <c r="P40" s="1614" t="s">
        <v>1970</v>
      </c>
      <c r="Q40" s="1614" t="s">
        <v>1971</v>
      </c>
      <c r="R40" s="1614" t="s">
        <v>1972</v>
      </c>
      <c r="S40" s="3348" t="s">
        <v>1973</v>
      </c>
      <c r="T40" s="1649" t="str">
        <f>NUMBERSTRING(7-K40,1)&amp;"通"</f>
        <v>七通</v>
      </c>
      <c r="U40" s="3047"/>
    </row>
    <row r="41" spans="1:28" ht="28.5">
      <c r="A41" s="1587"/>
      <c r="B41" s="3381" t="s">
        <v>1711</v>
      </c>
      <c r="C41" s="3381"/>
      <c r="D41" s="3381"/>
      <c r="E41" s="3381"/>
      <c r="F41" s="1650" t="str">
        <f>C10</f>
        <v>四川省内江市</v>
      </c>
      <c r="G41" s="3067"/>
      <c r="H41" s="3067"/>
      <c r="I41" s="3071"/>
      <c r="J41" s="3067"/>
      <c r="K41" s="1617"/>
      <c r="L41" s="1614">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348"/>
      <c r="T41" s="1651" t="str">
        <f>IF(T40="一通",L41,IF(T40="二通",M41,IF(T40="三通",N41,IF(T40="四通",O41,IF(T40="五通",P41,IF(T40="六通",Q41,R41))))))</f>
        <v>、、、、、、</v>
      </c>
      <c r="U41" s="3047"/>
    </row>
    <row r="42" spans="1:28">
      <c r="A42" s="1653"/>
      <c r="B42" s="1680" t="s">
        <v>1887</v>
      </c>
      <c r="C42" s="1680" t="s">
        <v>1888</v>
      </c>
      <c r="D42" s="1680" t="s">
        <v>1889</v>
      </c>
      <c r="E42" s="1617" t="s">
        <v>1890</v>
      </c>
      <c r="F42" s="1654"/>
      <c r="G42" s="3067"/>
      <c r="H42" s="3067"/>
      <c r="I42" s="3071"/>
      <c r="J42" s="3067"/>
      <c r="K42" s="3050"/>
      <c r="L42" s="3046"/>
      <c r="M42" s="3046"/>
      <c r="N42" s="3047"/>
      <c r="O42" s="3048"/>
      <c r="P42" s="3047"/>
      <c r="Q42" s="3047"/>
      <c r="R42" s="3047"/>
      <c r="S42" s="3047"/>
      <c r="T42" s="3047"/>
      <c r="U42" s="3047"/>
    </row>
    <row r="43" spans="1:28">
      <c r="A43" s="3018" t="s">
        <v>1696</v>
      </c>
      <c r="B43" s="1655"/>
      <c r="C43" s="1655"/>
      <c r="D43" s="1655"/>
      <c r="E43" s="1655"/>
      <c r="F43" s="1656"/>
      <c r="G43" s="3067"/>
      <c r="H43" s="3067"/>
      <c r="I43" s="3071"/>
      <c r="J43" s="3067"/>
      <c r="K43" s="3050"/>
      <c r="L43" s="3046"/>
      <c r="M43" s="3046"/>
      <c r="N43" s="3047"/>
      <c r="O43" s="3048"/>
      <c r="P43" s="3047"/>
      <c r="Q43" s="3047"/>
      <c r="R43" s="3047"/>
      <c r="S43" s="3047"/>
      <c r="T43" s="3047"/>
      <c r="U43" s="3047"/>
    </row>
    <row r="44" spans="1:28">
      <c r="A44" s="3018" t="s">
        <v>1697</v>
      </c>
      <c r="B44" s="1655"/>
      <c r="C44" s="1655"/>
      <c r="D44" s="1655"/>
      <c r="E44" s="1703"/>
      <c r="F44" s="1656"/>
      <c r="G44" s="3067"/>
      <c r="H44" s="3067"/>
      <c r="I44" s="3071"/>
      <c r="J44" s="3067"/>
      <c r="K44" s="3050"/>
      <c r="L44" s="3046"/>
      <c r="M44" s="3046"/>
      <c r="N44" s="3047"/>
      <c r="O44" s="3048"/>
      <c r="P44" s="3047"/>
      <c r="Q44" s="3047"/>
      <c r="R44" s="3047"/>
      <c r="S44" s="3047"/>
      <c r="T44" s="3047"/>
      <c r="U44" s="3047"/>
    </row>
    <row r="45" spans="1:28" s="2766" customFormat="1" ht="21" thickBot="1">
      <c r="A45" s="2767" t="s">
        <v>2870</v>
      </c>
      <c r="B45" s="2765"/>
      <c r="C45" s="2765"/>
      <c r="D45" s="2765"/>
      <c r="E45" s="2765"/>
      <c r="F45" s="2765"/>
      <c r="G45" s="3057"/>
      <c r="H45" s="3057"/>
      <c r="I45" s="3058"/>
      <c r="J45" s="3070"/>
      <c r="K45" s="3055"/>
      <c r="L45" s="3056"/>
      <c r="M45" s="3056"/>
      <c r="N45" s="3057"/>
      <c r="O45" s="3058"/>
      <c r="P45" s="3057"/>
      <c r="Q45" s="3057"/>
      <c r="R45" s="3057"/>
      <c r="S45" s="3057"/>
      <c r="T45" s="3057"/>
      <c r="U45" s="3057"/>
      <c r="V45" s="3059"/>
      <c r="W45" s="3059"/>
      <c r="X45" s="3059"/>
      <c r="Y45" s="3059"/>
      <c r="Z45" s="3059"/>
      <c r="AA45" s="3059"/>
      <c r="AB45" s="3059"/>
    </row>
    <row r="46" spans="1:28">
      <c r="A46" s="1612"/>
      <c r="B46" s="1612"/>
      <c r="C46" s="1612"/>
      <c r="D46" s="1612"/>
      <c r="E46" s="1612"/>
      <c r="F46" s="1612"/>
      <c r="G46" s="1612"/>
      <c r="H46" s="1612"/>
      <c r="I46" s="1625"/>
      <c r="J46" s="1612"/>
      <c r="K46" s="3050"/>
      <c r="L46" s="3046"/>
      <c r="M46" s="3046"/>
      <c r="N46" s="3047"/>
      <c r="O46" s="3048"/>
      <c r="P46" s="3047"/>
      <c r="Q46" s="3047"/>
      <c r="R46" s="3047"/>
      <c r="S46" s="3047"/>
      <c r="T46" s="3047"/>
      <c r="U46" s="3047"/>
    </row>
    <row r="47" spans="1:28">
      <c r="A47" s="1657" t="s">
        <v>1994</v>
      </c>
      <c r="B47" s="1658"/>
      <c r="C47" s="1647"/>
      <c r="D47" s="1612"/>
      <c r="E47" s="1612"/>
      <c r="F47" s="1612"/>
      <c r="G47" s="1612"/>
      <c r="H47" s="1612"/>
      <c r="I47" s="1613"/>
      <c r="J47" s="1612"/>
      <c r="K47" s="3050"/>
      <c r="L47" s="3046"/>
      <c r="M47" s="3046"/>
      <c r="N47" s="3047"/>
      <c r="O47" s="3048"/>
      <c r="P47" s="3047"/>
      <c r="Q47" s="3047"/>
      <c r="R47" s="3047"/>
      <c r="S47" s="3047"/>
      <c r="T47" s="3047"/>
      <c r="U47" s="3047"/>
    </row>
    <row r="48" spans="1:28" ht="28.5">
      <c r="A48" s="1617" t="s">
        <v>1995</v>
      </c>
      <c r="B48" s="1607" t="s">
        <v>1996</v>
      </c>
      <c r="C48" s="1607" t="s">
        <v>1997</v>
      </c>
      <c r="D48" s="1607" t="s">
        <v>1998</v>
      </c>
      <c r="E48" s="1607" t="s">
        <v>1999</v>
      </c>
      <c r="F48" s="1607" t="s">
        <v>2000</v>
      </c>
      <c r="G48" s="1607" t="s">
        <v>2001</v>
      </c>
      <c r="H48" s="1607" t="s">
        <v>2002</v>
      </c>
      <c r="I48" s="1607" t="s">
        <v>2003</v>
      </c>
      <c r="J48" s="1686" t="s">
        <v>2004</v>
      </c>
      <c r="K48" s="3060" t="s">
        <v>2005</v>
      </c>
      <c r="L48" s="3060" t="s">
        <v>2006</v>
      </c>
      <c r="M48" s="3060" t="s">
        <v>2007</v>
      </c>
      <c r="N48" s="3061" t="s">
        <v>2008</v>
      </c>
      <c r="O48" s="3061" t="s">
        <v>2009</v>
      </c>
      <c r="P48" s="3061" t="s">
        <v>2010</v>
      </c>
      <c r="Q48" s="3052" t="s">
        <v>2011</v>
      </c>
      <c r="R48" s="3052" t="s">
        <v>2012</v>
      </c>
      <c r="S48" s="3047"/>
      <c r="T48" s="3047"/>
      <c r="U48" s="3047"/>
    </row>
    <row r="49" spans="1:21">
      <c r="A49" s="1614"/>
      <c r="B49" s="1648"/>
      <c r="C49" s="1648"/>
      <c r="D49" s="1648"/>
      <c r="E49" s="1648"/>
      <c r="F49" s="1648"/>
      <c r="G49" s="1648"/>
      <c r="H49" s="1648"/>
      <c r="I49" s="1648"/>
      <c r="J49" s="1750"/>
      <c r="K49" s="3062"/>
      <c r="L49" s="3062"/>
      <c r="M49" s="1654"/>
      <c r="N49" s="1654"/>
      <c r="O49" s="1654"/>
      <c r="P49" s="1654"/>
      <c r="Q49" s="1654"/>
      <c r="R49" s="1654"/>
      <c r="S49" s="3047"/>
      <c r="T49" s="3047"/>
      <c r="U49" s="3047"/>
    </row>
    <row r="50" spans="1:21">
      <c r="A50" s="1614"/>
      <c r="B50" s="1614"/>
      <c r="C50" s="1648"/>
      <c r="D50" s="1648"/>
      <c r="E50" s="1648"/>
      <c r="F50" s="1648"/>
      <c r="G50" s="1648"/>
      <c r="H50" s="1648"/>
      <c r="I50" s="1648"/>
      <c r="J50" s="1750"/>
      <c r="K50" s="3062"/>
      <c r="L50" s="3062"/>
      <c r="M50" s="1654"/>
      <c r="N50" s="1654"/>
      <c r="O50" s="1654"/>
      <c r="P50" s="1654"/>
      <c r="Q50" s="1654"/>
      <c r="R50" s="1654"/>
      <c r="S50" s="3047"/>
      <c r="T50" s="3047"/>
      <c r="U50" s="3047"/>
    </row>
    <row r="51" spans="1:21">
      <c r="A51" s="1614"/>
      <c r="B51" s="1614"/>
      <c r="C51" s="1648"/>
      <c r="D51" s="1648"/>
      <c r="E51" s="1648"/>
      <c r="F51" s="1648"/>
      <c r="G51" s="1648"/>
      <c r="H51" s="1648"/>
      <c r="I51" s="1648"/>
      <c r="J51" s="1750"/>
      <c r="K51" s="3062"/>
      <c r="L51" s="3062"/>
      <c r="M51" s="1654"/>
      <c r="N51" s="1654"/>
      <c r="O51" s="1654"/>
      <c r="P51" s="1654"/>
      <c r="Q51" s="1654"/>
      <c r="R51" s="1654"/>
      <c r="S51" s="3047"/>
      <c r="T51" s="3047"/>
      <c r="U51" s="3047"/>
    </row>
    <row r="52" spans="1:21">
      <c r="A52" s="1614"/>
      <c r="B52" s="1614"/>
      <c r="C52" s="1648"/>
      <c r="D52" s="1648"/>
      <c r="E52" s="1648"/>
      <c r="F52" s="1648"/>
      <c r="G52" s="1648"/>
      <c r="H52" s="1648"/>
      <c r="I52" s="1648"/>
      <c r="J52" s="1750"/>
      <c r="K52" s="3062"/>
      <c r="L52" s="3062"/>
      <c r="M52" s="1654"/>
      <c r="N52" s="1654"/>
      <c r="O52" s="1654"/>
      <c r="P52" s="1654"/>
      <c r="Q52" s="1654"/>
      <c r="R52" s="1654"/>
      <c r="S52" s="3047"/>
      <c r="T52" s="3047"/>
      <c r="U52" s="3047"/>
    </row>
    <row r="53" spans="1:21">
      <c r="A53" s="1614"/>
      <c r="B53" s="1614"/>
      <c r="C53" s="1648"/>
      <c r="D53" s="1648"/>
      <c r="E53" s="1648"/>
      <c r="F53" s="1648"/>
      <c r="G53" s="1648"/>
      <c r="H53" s="1648"/>
      <c r="I53" s="1648"/>
      <c r="J53" s="1750"/>
      <c r="K53" s="3062"/>
      <c r="L53" s="3062"/>
      <c r="M53" s="1654"/>
      <c r="N53" s="1654"/>
      <c r="O53" s="1654"/>
      <c r="P53" s="1654"/>
      <c r="Q53" s="1654"/>
      <c r="R53" s="1654"/>
      <c r="S53" s="3047"/>
      <c r="T53" s="3047"/>
      <c r="U53" s="3047"/>
    </row>
    <row r="54" spans="1:21">
      <c r="A54" s="1614"/>
      <c r="B54" s="1614"/>
      <c r="C54" s="1614"/>
      <c r="D54" s="1614"/>
      <c r="E54" s="1614"/>
      <c r="F54" s="1648"/>
      <c r="G54" s="1614"/>
      <c r="H54" s="1614"/>
      <c r="I54" s="1614"/>
      <c r="J54" s="1751"/>
      <c r="K54" s="3062"/>
      <c r="L54" s="3062"/>
      <c r="M54" s="3062"/>
      <c r="N54" s="3014"/>
      <c r="O54" s="3014"/>
      <c r="P54" s="3014"/>
      <c r="Q54" s="3014"/>
      <c r="R54" s="3014"/>
      <c r="S54" s="3047"/>
      <c r="T54" s="3047"/>
      <c r="U54" s="3047"/>
    </row>
    <row r="55" spans="1:21">
      <c r="A55" s="1614"/>
      <c r="B55" s="1614"/>
      <c r="C55" s="1614"/>
      <c r="D55" s="1614"/>
      <c r="E55" s="1614"/>
      <c r="F55" s="1648"/>
      <c r="G55" s="1614"/>
      <c r="H55" s="1614"/>
      <c r="I55" s="1614"/>
      <c r="J55" s="1751"/>
      <c r="K55" s="3062"/>
      <c r="L55" s="3062"/>
      <c r="M55" s="3062"/>
      <c r="N55" s="3014"/>
      <c r="O55" s="3014"/>
      <c r="P55" s="3014"/>
      <c r="Q55" s="3014"/>
      <c r="R55" s="3014"/>
      <c r="S55" s="3047"/>
      <c r="T55" s="3047"/>
      <c r="U55" s="3047"/>
    </row>
    <row r="56" spans="1:21">
      <c r="A56" s="1614"/>
      <c r="B56" s="1614"/>
      <c r="C56" s="1614"/>
      <c r="D56" s="1614"/>
      <c r="E56" s="1614"/>
      <c r="F56" s="1648"/>
      <c r="G56" s="1614"/>
      <c r="H56" s="1614"/>
      <c r="I56" s="1614"/>
      <c r="J56" s="1751"/>
      <c r="K56" s="3062"/>
      <c r="L56" s="3062"/>
      <c r="M56" s="3062"/>
      <c r="N56" s="3014"/>
      <c r="O56" s="3014"/>
      <c r="P56" s="3014"/>
      <c r="Q56" s="3014"/>
      <c r="R56" s="3014"/>
      <c r="S56" s="3047"/>
      <c r="T56" s="3047"/>
      <c r="U56" s="3047"/>
    </row>
    <row r="57" spans="1:21">
      <c r="A57" s="1614"/>
      <c r="B57" s="1614"/>
      <c r="C57" s="1614"/>
      <c r="D57" s="1614"/>
      <c r="E57" s="1614"/>
      <c r="F57" s="1648"/>
      <c r="G57" s="1614"/>
      <c r="H57" s="1614"/>
      <c r="I57" s="1614"/>
      <c r="J57" s="1751"/>
      <c r="K57" s="3062"/>
      <c r="L57" s="3062"/>
      <c r="M57" s="3062"/>
      <c r="N57" s="3014"/>
      <c r="O57" s="3014"/>
      <c r="P57" s="3014"/>
      <c r="Q57" s="3014"/>
      <c r="R57" s="3014"/>
      <c r="S57" s="3047"/>
      <c r="T57" s="3047"/>
      <c r="U57" s="3047"/>
    </row>
    <row r="58" spans="1:21">
      <c r="A58" s="1614"/>
      <c r="B58" s="1614"/>
      <c r="C58" s="1614"/>
      <c r="D58" s="1614"/>
      <c r="E58" s="1614"/>
      <c r="F58" s="1648"/>
      <c r="G58" s="1614"/>
      <c r="H58" s="1614"/>
      <c r="I58" s="1614"/>
      <c r="J58" s="1751"/>
      <c r="K58" s="3062"/>
      <c r="L58" s="3062"/>
      <c r="M58" s="3062"/>
      <c r="N58" s="3014"/>
      <c r="O58" s="3014"/>
      <c r="P58" s="3014"/>
      <c r="Q58" s="3014"/>
      <c r="R58" s="3014"/>
      <c r="S58" s="3047"/>
      <c r="T58" s="3047"/>
      <c r="U58" s="304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7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5" width="9.5" style="15" hidden="1" customWidth="1"/>
    <col min="36" max="36" width="9.5" style="15" customWidth="1"/>
    <col min="37" max="37" width="9.5" style="15" hidden="1" customWidth="1"/>
    <col min="38" max="38" width="9.5" style="15" customWidth="1"/>
    <col min="39"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166</v>
      </c>
      <c r="AZ2" s="2216" t="s">
        <v>2320</v>
      </c>
      <c r="BA2" s="2217"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59775.26</v>
      </c>
      <c r="B3" s="22">
        <f>IF(C3="否",G5-AT5,G5)</f>
        <v>172032.86</v>
      </c>
      <c r="C3" s="23" t="s">
        <v>3017</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8"/>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167</v>
      </c>
      <c r="B5" s="976"/>
      <c r="C5" s="976"/>
      <c r="D5" s="983"/>
      <c r="E5" s="27" t="s">
        <v>1</v>
      </c>
      <c r="F5" s="27">
        <f>SUM(F13:F572)</f>
        <v>0</v>
      </c>
      <c r="G5" s="27">
        <f>SUM(G13:G572)</f>
        <v>172032.86</v>
      </c>
      <c r="H5" s="27">
        <f t="shared" ref="H5:AT5" si="0">SUM(H13:H641)</f>
        <v>167311.87999999998</v>
      </c>
      <c r="I5" s="27">
        <f t="shared" si="0"/>
        <v>86678.549999999988</v>
      </c>
      <c r="J5" s="27">
        <f t="shared" si="0"/>
        <v>0</v>
      </c>
      <c r="K5" s="27">
        <f t="shared" si="0"/>
        <v>36384.65</v>
      </c>
      <c r="L5" s="27">
        <f t="shared" si="0"/>
        <v>0</v>
      </c>
      <c r="M5" s="27">
        <f t="shared" si="0"/>
        <v>6189.98</v>
      </c>
      <c r="N5" s="27">
        <f t="shared" si="0"/>
        <v>0</v>
      </c>
      <c r="O5" s="27">
        <f t="shared" si="0"/>
        <v>38058.699999999997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4720.9799999999996</v>
      </c>
      <c r="AD5" s="27">
        <f t="shared" si="0"/>
        <v>1926.63</v>
      </c>
      <c r="AE5" s="27">
        <f t="shared" si="0"/>
        <v>0</v>
      </c>
      <c r="AF5" s="27">
        <f t="shared" si="0"/>
        <v>884.27</v>
      </c>
      <c r="AG5" s="27">
        <f t="shared" si="0"/>
        <v>0</v>
      </c>
      <c r="AH5" s="27">
        <f t="shared" si="0"/>
        <v>236.43</v>
      </c>
      <c r="AI5" s="27">
        <f t="shared" si="0"/>
        <v>0</v>
      </c>
      <c r="AJ5" s="27">
        <f t="shared" si="0"/>
        <v>203.63</v>
      </c>
      <c r="AK5" s="27">
        <f t="shared" si="0"/>
        <v>0</v>
      </c>
      <c r="AL5" s="27">
        <f t="shared" si="0"/>
        <v>415.11000000000007</v>
      </c>
      <c r="AM5" s="27">
        <f t="shared" si="0"/>
        <v>0</v>
      </c>
      <c r="AN5" s="27">
        <f t="shared" si="0"/>
        <v>1054.9100000000001</v>
      </c>
      <c r="AO5" s="27">
        <f t="shared" si="0"/>
        <v>0</v>
      </c>
      <c r="AP5" s="27">
        <f t="shared" si="0"/>
        <v>0</v>
      </c>
      <c r="AQ5" s="27">
        <f t="shared" si="0"/>
        <v>0</v>
      </c>
      <c r="AR5" s="27">
        <f t="shared" si="0"/>
        <v>0</v>
      </c>
      <c r="AS5" s="27">
        <f t="shared" si="0"/>
        <v>0</v>
      </c>
      <c r="AT5" s="27">
        <f t="shared" si="0"/>
        <v>0</v>
      </c>
      <c r="AU5" s="975"/>
      <c r="AV5" s="26" t="s">
        <v>167</v>
      </c>
      <c r="AW5" s="976"/>
      <c r="AX5" s="976"/>
      <c r="AY5" s="28" t="s">
        <v>3</v>
      </c>
      <c r="AZ5" s="29">
        <f t="shared" ref="AZ5:BT5" si="1">SUM(AZ13:AZ641)</f>
        <v>172032.86</v>
      </c>
      <c r="BA5" s="29">
        <f t="shared" si="1"/>
        <v>167311.87999999998</v>
      </c>
      <c r="BB5" s="29">
        <f t="shared" si="1"/>
        <v>86678.549999999988</v>
      </c>
      <c r="BC5" s="29">
        <f t="shared" si="1"/>
        <v>36384.65</v>
      </c>
      <c r="BD5" s="29">
        <f t="shared" si="1"/>
        <v>6189.98</v>
      </c>
      <c r="BE5" s="29">
        <f t="shared" si="1"/>
        <v>38058.699999999997</v>
      </c>
      <c r="BF5" s="29">
        <f t="shared" si="1"/>
        <v>0</v>
      </c>
      <c r="BG5" s="29">
        <f t="shared" si="1"/>
        <v>0</v>
      </c>
      <c r="BH5" s="29">
        <f t="shared" si="1"/>
        <v>0</v>
      </c>
      <c r="BI5" s="29">
        <f t="shared" si="1"/>
        <v>0</v>
      </c>
      <c r="BJ5" s="29">
        <f t="shared" si="1"/>
        <v>0</v>
      </c>
      <c r="BK5" s="29">
        <f t="shared" si="1"/>
        <v>0</v>
      </c>
      <c r="BL5" s="29">
        <f t="shared" si="1"/>
        <v>4720.9799999999996</v>
      </c>
      <c r="BM5" s="29">
        <f t="shared" si="1"/>
        <v>1926.63</v>
      </c>
      <c r="BN5" s="29">
        <f t="shared" si="1"/>
        <v>884.27</v>
      </c>
      <c r="BO5" s="29">
        <f t="shared" si="1"/>
        <v>236.43</v>
      </c>
      <c r="BP5" s="29">
        <f t="shared" si="1"/>
        <v>203.63</v>
      </c>
      <c r="BQ5" s="29">
        <f t="shared" si="1"/>
        <v>415.11000000000007</v>
      </c>
      <c r="BR5" s="29">
        <f t="shared" si="1"/>
        <v>1054.9100000000001</v>
      </c>
      <c r="BS5" s="29">
        <f t="shared" si="1"/>
        <v>0</v>
      </c>
      <c r="BT5" s="30">
        <f t="shared" si="1"/>
        <v>0</v>
      </c>
    </row>
    <row r="6" spans="1:72" s="37" customFormat="1" ht="12.75">
      <c r="A6" s="26" t="s">
        <v>168</v>
      </c>
      <c r="B6" s="31"/>
      <c r="C6" s="31"/>
      <c r="D6" s="32"/>
      <c r="E6" s="27">
        <f>H6+AC6+AT6</f>
        <v>59775.250000000007</v>
      </c>
      <c r="F6" s="27" t="s">
        <v>1</v>
      </c>
      <c r="G6" s="27" t="s">
        <v>2</v>
      </c>
      <c r="H6" s="33">
        <f>SUMIF(I$12:AB$12,"总值",I6:AB6)</f>
        <v>58134.890000000007</v>
      </c>
      <c r="I6" s="27">
        <f t="shared" ref="I6:AB6" si="2">ROUND($A$3*I5/$B$3,2)</f>
        <v>30117.69</v>
      </c>
      <c r="J6" s="27">
        <f t="shared" si="2"/>
        <v>0</v>
      </c>
      <c r="K6" s="27">
        <f t="shared" si="2"/>
        <v>12642.36</v>
      </c>
      <c r="L6" s="27">
        <f t="shared" si="2"/>
        <v>0</v>
      </c>
      <c r="M6" s="27">
        <f t="shared" si="2"/>
        <v>2150.8000000000002</v>
      </c>
      <c r="N6" s="27">
        <f t="shared" si="2"/>
        <v>0</v>
      </c>
      <c r="O6" s="27">
        <f t="shared" si="2"/>
        <v>13224.04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1640.36</v>
      </c>
      <c r="AD6" s="27">
        <f t="shared" ref="AD6:AS6" si="3">ROUND($A$3*AD5/$B$3,2)</f>
        <v>669.43</v>
      </c>
      <c r="AE6" s="27">
        <f t="shared" si="3"/>
        <v>0</v>
      </c>
      <c r="AF6" s="27">
        <f t="shared" si="3"/>
        <v>307.25</v>
      </c>
      <c r="AG6" s="27">
        <f t="shared" si="3"/>
        <v>0</v>
      </c>
      <c r="AH6" s="27">
        <f t="shared" si="3"/>
        <v>82.15</v>
      </c>
      <c r="AI6" s="27">
        <f t="shared" si="3"/>
        <v>0</v>
      </c>
      <c r="AJ6" s="27">
        <f t="shared" si="3"/>
        <v>70.75</v>
      </c>
      <c r="AK6" s="27">
        <f t="shared" si="3"/>
        <v>0</v>
      </c>
      <c r="AL6" s="27">
        <f t="shared" si="3"/>
        <v>144.24</v>
      </c>
      <c r="AM6" s="27">
        <f t="shared" si="3"/>
        <v>0</v>
      </c>
      <c r="AN6" s="27">
        <f t="shared" si="3"/>
        <v>366.54</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59775.26</v>
      </c>
      <c r="AZ6" s="27" t="s">
        <v>3</v>
      </c>
      <c r="BA6" s="27">
        <f>ROUND($AY$6*BA5/$AZ$5,2)</f>
        <v>58134.89</v>
      </c>
      <c r="BB6" s="27">
        <f>ROUND($AY$6*BB5/$AZ$5,2)</f>
        <v>30117.69</v>
      </c>
      <c r="BC6" s="27">
        <f t="shared" ref="BC6:BH6" si="4">ROUND($AY$6*BC5/$AZ$5,2)</f>
        <v>12642.36</v>
      </c>
      <c r="BD6" s="27">
        <f t="shared" si="4"/>
        <v>2150.8000000000002</v>
      </c>
      <c r="BE6" s="27">
        <f t="shared" si="4"/>
        <v>13224.04</v>
      </c>
      <c r="BF6" s="27">
        <f t="shared" si="4"/>
        <v>0</v>
      </c>
      <c r="BG6" s="27">
        <f t="shared" si="4"/>
        <v>0</v>
      </c>
      <c r="BH6" s="27">
        <f t="shared" si="4"/>
        <v>0</v>
      </c>
      <c r="BI6" s="27">
        <f t="shared" ref="BI6:BT6" si="5">ROUND($AY$6*BI5/$AZ$5,2)</f>
        <v>0</v>
      </c>
      <c r="BJ6" s="27">
        <f t="shared" si="5"/>
        <v>0</v>
      </c>
      <c r="BK6" s="27">
        <f t="shared" si="5"/>
        <v>0</v>
      </c>
      <c r="BL6" s="27">
        <f t="shared" si="5"/>
        <v>1640.37</v>
      </c>
      <c r="BM6" s="27">
        <f t="shared" si="5"/>
        <v>669.43</v>
      </c>
      <c r="BN6" s="27">
        <f t="shared" si="5"/>
        <v>307.25</v>
      </c>
      <c r="BO6" s="27">
        <f t="shared" si="5"/>
        <v>82.15</v>
      </c>
      <c r="BP6" s="27">
        <f t="shared" si="5"/>
        <v>70.75</v>
      </c>
      <c r="BQ6" s="27">
        <f t="shared" si="5"/>
        <v>144.24</v>
      </c>
      <c r="BR6" s="27">
        <f t="shared" si="5"/>
        <v>366.54</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176</v>
      </c>
      <c r="AV7" s="41" t="s">
        <v>177</v>
      </c>
      <c r="AW7" s="42" t="s">
        <v>178</v>
      </c>
      <c r="AX7" s="41" t="s">
        <v>179</v>
      </c>
      <c r="AY7" s="976"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88"/>
      <c r="K8" s="988"/>
      <c r="L8" s="988"/>
      <c r="M8" s="988"/>
      <c r="N8" s="988"/>
      <c r="O8" s="988"/>
      <c r="P8" s="988"/>
      <c r="Q8" s="988"/>
      <c r="R8" s="988"/>
      <c r="S8" s="988"/>
      <c r="T8" s="988"/>
      <c r="U8" s="988"/>
      <c r="V8" s="49"/>
      <c r="W8" s="988"/>
      <c r="X8" s="988"/>
      <c r="Y8" s="988"/>
      <c r="Z8" s="988"/>
      <c r="AA8" s="49"/>
      <c r="AB8" s="50"/>
      <c r="AC8" s="51" t="s">
        <v>183</v>
      </c>
      <c r="AD8" s="52"/>
      <c r="AE8" s="43"/>
      <c r="AF8" s="988"/>
      <c r="AG8" s="988"/>
      <c r="AH8" s="988"/>
      <c r="AI8" s="988"/>
      <c r="AJ8" s="988"/>
      <c r="AK8" s="988"/>
      <c r="AL8" s="988"/>
      <c r="AM8" s="988"/>
      <c r="AN8" s="988"/>
      <c r="AO8" s="988"/>
      <c r="AP8" s="988"/>
      <c r="AQ8" s="988"/>
      <c r="AR8" s="988"/>
      <c r="AS8" s="2174"/>
      <c r="AT8" s="2205" t="s">
        <v>846</v>
      </c>
      <c r="AU8" s="45" t="s">
        <v>184</v>
      </c>
      <c r="AV8" s="55"/>
      <c r="AW8" s="990"/>
      <c r="AX8" s="55"/>
      <c r="AY8" s="42" t="s">
        <v>185</v>
      </c>
      <c r="AZ8" s="987" t="s">
        <v>186</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187</v>
      </c>
      <c r="I9" s="2727" t="s">
        <v>3046</v>
      </c>
      <c r="J9" s="51"/>
      <c r="K9" s="2727" t="s">
        <v>3046</v>
      </c>
      <c r="L9" s="51"/>
      <c r="M9" s="2727" t="s">
        <v>3046</v>
      </c>
      <c r="N9" s="51"/>
      <c r="O9" s="59" t="s">
        <v>3057</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69" t="s">
        <v>190</v>
      </c>
      <c r="AQ9" s="1171"/>
      <c r="AR9" s="1169" t="s">
        <v>191</v>
      </c>
      <c r="AS9" s="2206"/>
      <c r="AT9" s="45"/>
      <c r="AU9" s="45" t="s">
        <v>193</v>
      </c>
      <c r="AV9" s="55"/>
      <c r="AW9" s="990"/>
      <c r="AX9" s="55"/>
      <c r="AY9" s="62"/>
      <c r="AZ9" s="62" t="s">
        <v>194</v>
      </c>
      <c r="BA9" s="63" t="s">
        <v>195</v>
      </c>
      <c r="BB9" s="64"/>
      <c r="BC9" s="982"/>
      <c r="BD9" s="982"/>
      <c r="BE9" s="982"/>
      <c r="BF9" s="982"/>
      <c r="BG9" s="982"/>
      <c r="BH9" s="982"/>
      <c r="BI9" s="982"/>
      <c r="BJ9" s="982"/>
      <c r="BK9" s="65"/>
      <c r="BL9" s="26" t="s">
        <v>196</v>
      </c>
      <c r="BM9" s="988"/>
      <c r="BN9" s="48"/>
      <c r="BO9" s="988"/>
      <c r="BP9" s="988"/>
      <c r="BQ9" s="988"/>
      <c r="BR9" s="988"/>
      <c r="BS9" s="988"/>
      <c r="BT9" s="56"/>
    </row>
    <row r="10" spans="1:72" s="57" customFormat="1" ht="12.75">
      <c r="A10" s="45"/>
      <c r="B10" s="45"/>
      <c r="C10" s="45"/>
      <c r="D10" s="45"/>
      <c r="E10" s="45"/>
      <c r="F10" s="45"/>
      <c r="G10" s="55"/>
      <c r="H10" s="62"/>
      <c r="I10" s="2727" t="s">
        <v>913</v>
      </c>
      <c r="J10" s="51"/>
      <c r="K10" s="2729" t="s">
        <v>913</v>
      </c>
      <c r="L10" s="51"/>
      <c r="M10" s="2729" t="s">
        <v>3012</v>
      </c>
      <c r="N10" s="51"/>
      <c r="O10" s="66" t="s">
        <v>3058</v>
      </c>
      <c r="P10" s="51"/>
      <c r="Q10" s="66"/>
      <c r="R10" s="51"/>
      <c r="S10" s="66"/>
      <c r="T10" s="51"/>
      <c r="U10" s="66"/>
      <c r="V10" s="51"/>
      <c r="W10" s="66"/>
      <c r="X10" s="51"/>
      <c r="Y10" s="66"/>
      <c r="Z10" s="51"/>
      <c r="AA10" s="66"/>
      <c r="AB10" s="51"/>
      <c r="AC10" s="55"/>
      <c r="AD10" s="2191" t="s">
        <v>2304</v>
      </c>
      <c r="AE10" s="2213"/>
      <c r="AF10" s="2191" t="s">
        <v>2304</v>
      </c>
      <c r="AG10" s="2213"/>
      <c r="AH10" s="2191" t="s">
        <v>2305</v>
      </c>
      <c r="AI10" s="2213"/>
      <c r="AJ10" s="26" t="s">
        <v>2318</v>
      </c>
      <c r="AK10" s="2210"/>
      <c r="AL10" s="2191" t="s">
        <v>2306</v>
      </c>
      <c r="AM10" s="2192"/>
      <c r="AN10" s="26" t="s">
        <v>197</v>
      </c>
      <c r="AO10" s="61"/>
      <c r="AP10" s="1169" t="s">
        <v>198</v>
      </c>
      <c r="AQ10" s="1171"/>
      <c r="AR10" s="1169" t="s">
        <v>198</v>
      </c>
      <c r="AS10" s="1171"/>
      <c r="AT10" s="45"/>
      <c r="AU10" s="45"/>
      <c r="AV10" s="55"/>
      <c r="AW10" s="990"/>
      <c r="AX10" s="55"/>
      <c r="AY10" s="62"/>
      <c r="AZ10" s="62"/>
      <c r="BA10" s="67" t="s">
        <v>192</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192</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28" t="s">
        <v>3047</v>
      </c>
      <c r="J11" s="71"/>
      <c r="K11" s="2728" t="s">
        <v>3048</v>
      </c>
      <c r="L11" s="71"/>
      <c r="M11" s="70" t="s">
        <v>3056</v>
      </c>
      <c r="N11" s="71"/>
      <c r="O11" s="70" t="s">
        <v>3058</v>
      </c>
      <c r="P11" s="71"/>
      <c r="Q11" s="70"/>
      <c r="R11" s="71"/>
      <c r="S11" s="70"/>
      <c r="T11" s="71"/>
      <c r="U11" s="70"/>
      <c r="V11" s="71"/>
      <c r="W11" s="70"/>
      <c r="X11" s="71"/>
      <c r="Y11" s="70"/>
      <c r="Z11" s="71"/>
      <c r="AA11" s="70"/>
      <c r="AB11" s="71"/>
      <c r="AC11" s="55"/>
      <c r="AD11" s="2211" t="s">
        <v>2317</v>
      </c>
      <c r="AE11" s="989"/>
      <c r="AF11" s="2211" t="s">
        <v>2317</v>
      </c>
      <c r="AG11" s="989"/>
      <c r="AH11" s="2211" t="s">
        <v>2316</v>
      </c>
      <c r="AI11" s="2212"/>
      <c r="AJ11" s="2211" t="s">
        <v>2316</v>
      </c>
      <c r="AK11" s="2210"/>
      <c r="AL11" s="987"/>
      <c r="AM11" s="989"/>
      <c r="AN11" s="987"/>
      <c r="AO11" s="989"/>
      <c r="AP11" s="1170"/>
      <c r="AQ11" s="1172"/>
      <c r="AR11" s="1170"/>
      <c r="AS11" s="1172"/>
      <c r="AT11" s="990"/>
      <c r="AU11" s="45"/>
      <c r="AV11" s="55"/>
      <c r="AW11" s="990"/>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5" t="s">
        <v>200</v>
      </c>
      <c r="W12" s="17" t="s">
        <v>199</v>
      </c>
      <c r="X12" s="17" t="s">
        <v>200</v>
      </c>
      <c r="Y12" s="17" t="s">
        <v>199</v>
      </c>
      <c r="Z12" s="17" t="s">
        <v>200</v>
      </c>
      <c r="AA12" s="17" t="s">
        <v>199</v>
      </c>
      <c r="AB12" s="17" t="s">
        <v>200</v>
      </c>
      <c r="AC12" s="75"/>
      <c r="AD12" s="983" t="s">
        <v>199</v>
      </c>
      <c r="AE12" s="17" t="s">
        <v>200</v>
      </c>
      <c r="AF12" s="17" t="s">
        <v>199</v>
      </c>
      <c r="AG12" s="17" t="s">
        <v>200</v>
      </c>
      <c r="AH12" s="17" t="s">
        <v>199</v>
      </c>
      <c r="AI12" s="17" t="s">
        <v>200</v>
      </c>
      <c r="AJ12" s="17" t="s">
        <v>199</v>
      </c>
      <c r="AK12" s="17" t="s">
        <v>200</v>
      </c>
      <c r="AL12" s="17" t="s">
        <v>199</v>
      </c>
      <c r="AM12" s="17" t="s">
        <v>200</v>
      </c>
      <c r="AN12" s="17" t="s">
        <v>199</v>
      </c>
      <c r="AO12" s="17" t="s">
        <v>200</v>
      </c>
      <c r="AP12" s="1168" t="s">
        <v>199</v>
      </c>
      <c r="AQ12" s="1168" t="s">
        <v>200</v>
      </c>
      <c r="AR12" s="1174" t="s">
        <v>199</v>
      </c>
      <c r="AS12" s="1173" t="s">
        <v>200</v>
      </c>
      <c r="AT12" s="76"/>
      <c r="AU12" s="72"/>
      <c r="AV12" s="77"/>
      <c r="AW12" s="42"/>
      <c r="AX12" s="77"/>
      <c r="AY12" s="78"/>
      <c r="AZ12" s="62"/>
      <c r="BA12" s="67"/>
      <c r="BB12" s="53" t="str">
        <f>I11</f>
        <v>洋房</v>
      </c>
      <c r="BC12" s="79" t="str">
        <f>K11</f>
        <v>平层住宅</v>
      </c>
      <c r="BD12" s="79" t="str">
        <f>M11</f>
        <v>底商</v>
      </c>
      <c r="BE12" s="50" t="str">
        <f>O11</f>
        <v>车库</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t="s">
        <v>3049</v>
      </c>
      <c r="C13" s="3313" t="s">
        <v>3022</v>
      </c>
      <c r="D13" s="2725" t="s">
        <v>1668</v>
      </c>
      <c r="E13" s="27">
        <f t="shared" ref="E13:E20" si="6">IF($C$3="是",ROUND($A$3*G13/$B$3,2),ROUND($A$3*(G13-AT13)/$B$3,2))</f>
        <v>1326.75</v>
      </c>
      <c r="F13" s="81"/>
      <c r="G13" s="82">
        <f t="shared" ref="G13:G20" si="7">H13+AC13+AT13</f>
        <v>3818.3900000000003</v>
      </c>
      <c r="H13" s="33">
        <f t="shared" ref="H13:H20" si="8">SUMIF(I$12:AB$12,"总值",I13:AB13)</f>
        <v>3807.55</v>
      </c>
      <c r="I13" s="2726">
        <v>3807.55</v>
      </c>
      <c r="J13" s="2726"/>
      <c r="K13" s="2726"/>
      <c r="L13" s="2726"/>
      <c r="M13" s="2726"/>
      <c r="N13" s="83"/>
      <c r="O13" s="83"/>
      <c r="P13" s="83"/>
      <c r="Q13" s="83"/>
      <c r="R13" s="83"/>
      <c r="S13" s="83"/>
      <c r="T13" s="83"/>
      <c r="U13" s="83"/>
      <c r="V13" s="83"/>
      <c r="W13" s="83"/>
      <c r="X13" s="83"/>
      <c r="Y13" s="83"/>
      <c r="Z13" s="83"/>
      <c r="AA13" s="83"/>
      <c r="AB13" s="83"/>
      <c r="AC13" s="27">
        <f t="shared" ref="AC13:AC20" si="9">SUMIF(AD$12:AS$12,"总值",AD13:AS13)</f>
        <v>10.84</v>
      </c>
      <c r="AD13" s="2730"/>
      <c r="AE13" s="2730"/>
      <c r="AF13" s="2730"/>
      <c r="AG13" s="2730"/>
      <c r="AH13" s="2730"/>
      <c r="AI13" s="2730"/>
      <c r="AJ13" s="2730"/>
      <c r="AK13" s="2730"/>
      <c r="AL13" s="2730">
        <v>10.84</v>
      </c>
      <c r="AM13" s="2730"/>
      <c r="AN13" s="2730"/>
      <c r="AO13" s="2730"/>
      <c r="AP13" s="2730"/>
      <c r="AQ13" s="2730"/>
      <c r="AR13" s="2730"/>
      <c r="AS13" s="2730"/>
      <c r="AT13" s="2731"/>
      <c r="AU13" s="2732"/>
      <c r="AV13" s="17">
        <f t="shared" ref="AV13:AX20" si="10">A13</f>
        <v>0</v>
      </c>
      <c r="AW13" s="17" t="str">
        <f t="shared" si="10"/>
        <v>11层</v>
      </c>
      <c r="AX13" s="17" t="str">
        <f t="shared" si="10"/>
        <v>1号楼</v>
      </c>
      <c r="AY13" s="983">
        <f t="shared" ref="AY13:AY20" si="11">ROUND($AY$6*AZ13/$AZ$5,2)</f>
        <v>1326.75</v>
      </c>
      <c r="AZ13" s="27">
        <f t="shared" ref="AZ13:AZ20" si="12">BA13+BL13</f>
        <v>3818.3900000000003</v>
      </c>
      <c r="BA13" s="27">
        <f t="shared" ref="BA13:BA20" si="13">SUM(BB13:BK13)</f>
        <v>3807.55</v>
      </c>
      <c r="BB13" s="27">
        <f t="shared" ref="BB13:BB20" si="14">IF($D13="是",I13-J13,0)</f>
        <v>3807.55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10.84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10.84</v>
      </c>
      <c r="BR13" s="27">
        <f t="shared" ref="BR13:BR20" si="30">IF($D13="是",AN13-AO13,0)</f>
        <v>0</v>
      </c>
      <c r="BS13" s="27">
        <f t="shared" ref="BS13:BS20" si="31">IF($D13="是",AP13-AQ13,0)</f>
        <v>0</v>
      </c>
      <c r="BT13" s="36">
        <f t="shared" ref="BT13:BT20" si="32">IF($D13="是",AR13-AS13,0)</f>
        <v>0</v>
      </c>
    </row>
    <row r="14" spans="1:72" s="18" customFormat="1" ht="12.75">
      <c r="A14" s="2724"/>
      <c r="B14" s="2724" t="s">
        <v>3049</v>
      </c>
      <c r="C14" s="3313" t="s">
        <v>3023</v>
      </c>
      <c r="D14" s="2725" t="s">
        <v>1668</v>
      </c>
      <c r="E14" s="27">
        <f t="shared" si="6"/>
        <v>2724.29</v>
      </c>
      <c r="F14" s="81"/>
      <c r="G14" s="82">
        <f t="shared" si="7"/>
        <v>7840.4800000000005</v>
      </c>
      <c r="H14" s="33">
        <f t="shared" si="8"/>
        <v>7818.8</v>
      </c>
      <c r="I14" s="2726">
        <v>7818.8</v>
      </c>
      <c r="J14" s="2726"/>
      <c r="K14" s="2726"/>
      <c r="L14" s="2726"/>
      <c r="M14" s="2726"/>
      <c r="N14" s="83"/>
      <c r="O14" s="83"/>
      <c r="P14" s="83"/>
      <c r="Q14" s="83"/>
      <c r="R14" s="83"/>
      <c r="S14" s="83"/>
      <c r="T14" s="83"/>
      <c r="U14" s="83"/>
      <c r="V14" s="83"/>
      <c r="W14" s="83"/>
      <c r="X14" s="83"/>
      <c r="Y14" s="83"/>
      <c r="Z14" s="83"/>
      <c r="AA14" s="83"/>
      <c r="AB14" s="83"/>
      <c r="AC14" s="27">
        <f t="shared" si="9"/>
        <v>21.68</v>
      </c>
      <c r="AD14" s="2730"/>
      <c r="AE14" s="2730"/>
      <c r="AF14" s="2730"/>
      <c r="AG14" s="2730"/>
      <c r="AH14" s="2730"/>
      <c r="AI14" s="2730"/>
      <c r="AJ14" s="2730"/>
      <c r="AK14" s="2730"/>
      <c r="AL14" s="2730">
        <v>21.68</v>
      </c>
      <c r="AM14" s="2730"/>
      <c r="AN14" s="2730"/>
      <c r="AO14" s="2730"/>
      <c r="AP14" s="2730"/>
      <c r="AQ14" s="2730"/>
      <c r="AR14" s="2730"/>
      <c r="AS14" s="2730"/>
      <c r="AT14" s="2731"/>
      <c r="AU14" s="2732"/>
      <c r="AV14" s="17">
        <f t="shared" si="10"/>
        <v>0</v>
      </c>
      <c r="AW14" s="17" t="str">
        <f t="shared" si="10"/>
        <v>11层</v>
      </c>
      <c r="AX14" s="17" t="str">
        <f t="shared" si="10"/>
        <v>2号楼</v>
      </c>
      <c r="AY14" s="983">
        <f t="shared" si="11"/>
        <v>2724.29</v>
      </c>
      <c r="AZ14" s="27">
        <f t="shared" si="12"/>
        <v>7840.4800000000005</v>
      </c>
      <c r="BA14" s="27">
        <f t="shared" si="13"/>
        <v>7818.8</v>
      </c>
      <c r="BB14" s="27">
        <f t="shared" si="14"/>
        <v>7818.8</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21.68</v>
      </c>
      <c r="BM14" s="27">
        <f t="shared" si="25"/>
        <v>0</v>
      </c>
      <c r="BN14" s="27">
        <f t="shared" si="26"/>
        <v>0</v>
      </c>
      <c r="BO14" s="27">
        <f t="shared" si="27"/>
        <v>0</v>
      </c>
      <c r="BP14" s="27">
        <f t="shared" si="28"/>
        <v>0</v>
      </c>
      <c r="BQ14" s="27">
        <f t="shared" si="29"/>
        <v>21.68</v>
      </c>
      <c r="BR14" s="27">
        <f t="shared" si="30"/>
        <v>0</v>
      </c>
      <c r="BS14" s="27">
        <f t="shared" si="31"/>
        <v>0</v>
      </c>
      <c r="BT14" s="36">
        <f t="shared" si="32"/>
        <v>0</v>
      </c>
    </row>
    <row r="15" spans="1:72" s="18" customFormat="1" ht="12.75">
      <c r="A15" s="2724"/>
      <c r="B15" s="2724" t="s">
        <v>3049</v>
      </c>
      <c r="C15" s="3313" t="s">
        <v>3024</v>
      </c>
      <c r="D15" s="2725" t="s">
        <v>1668</v>
      </c>
      <c r="E15" s="27">
        <f t="shared" si="6"/>
        <v>2724.29</v>
      </c>
      <c r="F15" s="81"/>
      <c r="G15" s="82">
        <f t="shared" si="7"/>
        <v>7840.4800000000005</v>
      </c>
      <c r="H15" s="33">
        <f t="shared" si="8"/>
        <v>7818.8</v>
      </c>
      <c r="I15" s="2726">
        <v>7818.8</v>
      </c>
      <c r="J15" s="2726"/>
      <c r="K15" s="2726"/>
      <c r="L15" s="2726"/>
      <c r="M15" s="2726"/>
      <c r="N15" s="83"/>
      <c r="O15" s="83"/>
      <c r="P15" s="83"/>
      <c r="Q15" s="83"/>
      <c r="R15" s="83"/>
      <c r="S15" s="83"/>
      <c r="T15" s="83"/>
      <c r="U15" s="83"/>
      <c r="V15" s="83"/>
      <c r="W15" s="83"/>
      <c r="X15" s="83"/>
      <c r="Y15" s="83"/>
      <c r="Z15" s="83"/>
      <c r="AA15" s="83"/>
      <c r="AB15" s="83"/>
      <c r="AC15" s="27">
        <f t="shared" si="9"/>
        <v>21.68</v>
      </c>
      <c r="AD15" s="2730"/>
      <c r="AE15" s="2730"/>
      <c r="AF15" s="2730"/>
      <c r="AG15" s="2730"/>
      <c r="AH15" s="2730"/>
      <c r="AI15" s="2730"/>
      <c r="AJ15" s="2730"/>
      <c r="AK15" s="2730"/>
      <c r="AL15" s="2730">
        <v>21.68</v>
      </c>
      <c r="AM15" s="2730"/>
      <c r="AN15" s="2730"/>
      <c r="AO15" s="2730"/>
      <c r="AP15" s="2730"/>
      <c r="AQ15" s="2730"/>
      <c r="AR15" s="2730"/>
      <c r="AS15" s="2730"/>
      <c r="AT15" s="2731"/>
      <c r="AU15" s="2732"/>
      <c r="AV15" s="17">
        <f t="shared" si="10"/>
        <v>0</v>
      </c>
      <c r="AW15" s="17" t="str">
        <f t="shared" si="10"/>
        <v>11层</v>
      </c>
      <c r="AX15" s="17" t="str">
        <f t="shared" si="10"/>
        <v>3号楼</v>
      </c>
      <c r="AY15" s="983">
        <f t="shared" si="11"/>
        <v>2724.29</v>
      </c>
      <c r="AZ15" s="27">
        <f t="shared" si="12"/>
        <v>7840.4800000000005</v>
      </c>
      <c r="BA15" s="27">
        <f t="shared" si="13"/>
        <v>7818.8</v>
      </c>
      <c r="BB15" s="27">
        <f t="shared" si="14"/>
        <v>7818.8</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21.68</v>
      </c>
      <c r="BM15" s="27">
        <f t="shared" si="25"/>
        <v>0</v>
      </c>
      <c r="BN15" s="27">
        <f t="shared" si="26"/>
        <v>0</v>
      </c>
      <c r="BO15" s="27">
        <f t="shared" si="27"/>
        <v>0</v>
      </c>
      <c r="BP15" s="27">
        <f t="shared" si="28"/>
        <v>0</v>
      </c>
      <c r="BQ15" s="27">
        <f t="shared" si="29"/>
        <v>21.68</v>
      </c>
      <c r="BR15" s="27">
        <f t="shared" si="30"/>
        <v>0</v>
      </c>
      <c r="BS15" s="27">
        <f t="shared" si="31"/>
        <v>0</v>
      </c>
      <c r="BT15" s="36">
        <f t="shared" si="32"/>
        <v>0</v>
      </c>
    </row>
    <row r="16" spans="1:72" s="18" customFormat="1" ht="12.75">
      <c r="A16" s="2724"/>
      <c r="B16" s="2724" t="s">
        <v>3049</v>
      </c>
      <c r="C16" s="3313" t="s">
        <v>3025</v>
      </c>
      <c r="D16" s="2725" t="s">
        <v>1668</v>
      </c>
      <c r="E16" s="27">
        <f t="shared" si="6"/>
        <v>2724.29</v>
      </c>
      <c r="F16" s="81"/>
      <c r="G16" s="82">
        <f t="shared" si="7"/>
        <v>7840.4800000000005</v>
      </c>
      <c r="H16" s="33">
        <f t="shared" si="8"/>
        <v>7818.8</v>
      </c>
      <c r="I16" s="2726">
        <v>7818.8</v>
      </c>
      <c r="J16" s="2726"/>
      <c r="K16" s="2726"/>
      <c r="L16" s="2726"/>
      <c r="M16" s="2726"/>
      <c r="N16" s="83"/>
      <c r="O16" s="83"/>
      <c r="P16" s="83"/>
      <c r="Q16" s="83"/>
      <c r="R16" s="83"/>
      <c r="S16" s="83"/>
      <c r="T16" s="83"/>
      <c r="U16" s="83"/>
      <c r="V16" s="83"/>
      <c r="W16" s="83"/>
      <c r="X16" s="83"/>
      <c r="Y16" s="83"/>
      <c r="Z16" s="83"/>
      <c r="AA16" s="83"/>
      <c r="AB16" s="83"/>
      <c r="AC16" s="27">
        <f t="shared" si="9"/>
        <v>21.68</v>
      </c>
      <c r="AD16" s="2730"/>
      <c r="AE16" s="2730"/>
      <c r="AF16" s="2730"/>
      <c r="AG16" s="2730"/>
      <c r="AH16" s="2730"/>
      <c r="AI16" s="2730"/>
      <c r="AJ16" s="2730"/>
      <c r="AK16" s="2730"/>
      <c r="AL16" s="2730">
        <v>21.68</v>
      </c>
      <c r="AM16" s="2730"/>
      <c r="AN16" s="2730"/>
      <c r="AO16" s="2730"/>
      <c r="AP16" s="2730"/>
      <c r="AQ16" s="2730"/>
      <c r="AR16" s="2730"/>
      <c r="AS16" s="2730"/>
      <c r="AT16" s="2731"/>
      <c r="AU16" s="2732"/>
      <c r="AV16" s="17">
        <f t="shared" si="10"/>
        <v>0</v>
      </c>
      <c r="AW16" s="17" t="str">
        <f t="shared" si="10"/>
        <v>11层</v>
      </c>
      <c r="AX16" s="17" t="str">
        <f t="shared" si="10"/>
        <v>4号楼</v>
      </c>
      <c r="AY16" s="983">
        <f t="shared" si="11"/>
        <v>2724.29</v>
      </c>
      <c r="AZ16" s="27">
        <f t="shared" si="12"/>
        <v>7840.4800000000005</v>
      </c>
      <c r="BA16" s="27">
        <f t="shared" si="13"/>
        <v>7818.8</v>
      </c>
      <c r="BB16" s="27">
        <f t="shared" si="14"/>
        <v>7818.8</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21.68</v>
      </c>
      <c r="BM16" s="27">
        <f t="shared" si="25"/>
        <v>0</v>
      </c>
      <c r="BN16" s="27">
        <f t="shared" si="26"/>
        <v>0</v>
      </c>
      <c r="BO16" s="27">
        <f t="shared" si="27"/>
        <v>0</v>
      </c>
      <c r="BP16" s="27">
        <f t="shared" si="28"/>
        <v>0</v>
      </c>
      <c r="BQ16" s="27">
        <f t="shared" si="29"/>
        <v>21.68</v>
      </c>
      <c r="BR16" s="27">
        <f t="shared" si="30"/>
        <v>0</v>
      </c>
      <c r="BS16" s="27">
        <f t="shared" si="31"/>
        <v>0</v>
      </c>
      <c r="BT16" s="36">
        <f t="shared" si="32"/>
        <v>0</v>
      </c>
    </row>
    <row r="17" spans="1:72" s="18" customFormat="1" ht="12.75">
      <c r="A17" s="2724"/>
      <c r="B17" s="2724" t="s">
        <v>3049</v>
      </c>
      <c r="C17" s="3313" t="s">
        <v>3026</v>
      </c>
      <c r="D17" s="2725" t="s">
        <v>1668</v>
      </c>
      <c r="E17" s="27">
        <f t="shared" si="6"/>
        <v>2724.29</v>
      </c>
      <c r="F17" s="81"/>
      <c r="G17" s="82">
        <f t="shared" si="7"/>
        <v>7840.4800000000005</v>
      </c>
      <c r="H17" s="33">
        <f t="shared" si="8"/>
        <v>7818.8</v>
      </c>
      <c r="I17" s="2726">
        <v>7818.8</v>
      </c>
      <c r="J17" s="2726"/>
      <c r="K17" s="2726"/>
      <c r="L17" s="2726"/>
      <c r="M17" s="2726"/>
      <c r="N17" s="83"/>
      <c r="O17" s="83"/>
      <c r="P17" s="83"/>
      <c r="Q17" s="83"/>
      <c r="R17" s="83"/>
      <c r="S17" s="83"/>
      <c r="T17" s="83"/>
      <c r="U17" s="83"/>
      <c r="V17" s="83"/>
      <c r="W17" s="83"/>
      <c r="X17" s="83"/>
      <c r="Y17" s="83"/>
      <c r="Z17" s="83"/>
      <c r="AA17" s="83"/>
      <c r="AB17" s="83"/>
      <c r="AC17" s="27">
        <f t="shared" si="9"/>
        <v>21.68</v>
      </c>
      <c r="AD17" s="2730"/>
      <c r="AE17" s="2730"/>
      <c r="AF17" s="2730"/>
      <c r="AG17" s="2730"/>
      <c r="AH17" s="2730"/>
      <c r="AI17" s="2730"/>
      <c r="AJ17" s="2730"/>
      <c r="AK17" s="2730"/>
      <c r="AL17" s="2730">
        <v>21.68</v>
      </c>
      <c r="AM17" s="2730"/>
      <c r="AN17" s="2730"/>
      <c r="AO17" s="2730"/>
      <c r="AP17" s="2730"/>
      <c r="AQ17" s="2730"/>
      <c r="AR17" s="2730"/>
      <c r="AS17" s="2730"/>
      <c r="AT17" s="2731"/>
      <c r="AU17" s="2732"/>
      <c r="AV17" s="17">
        <f t="shared" si="10"/>
        <v>0</v>
      </c>
      <c r="AW17" s="17" t="str">
        <f t="shared" si="10"/>
        <v>11层</v>
      </c>
      <c r="AX17" s="17" t="str">
        <f t="shared" si="10"/>
        <v>5号楼</v>
      </c>
      <c r="AY17" s="983">
        <f t="shared" si="11"/>
        <v>2724.29</v>
      </c>
      <c r="AZ17" s="27">
        <f t="shared" si="12"/>
        <v>7840.4800000000005</v>
      </c>
      <c r="BA17" s="27">
        <f t="shared" si="13"/>
        <v>7818.8</v>
      </c>
      <c r="BB17" s="27">
        <f t="shared" si="14"/>
        <v>7818.8</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21.68</v>
      </c>
      <c r="BM17" s="27">
        <f t="shared" si="25"/>
        <v>0</v>
      </c>
      <c r="BN17" s="27">
        <f t="shared" si="26"/>
        <v>0</v>
      </c>
      <c r="BO17" s="27">
        <f t="shared" si="27"/>
        <v>0</v>
      </c>
      <c r="BP17" s="27">
        <f t="shared" si="28"/>
        <v>0</v>
      </c>
      <c r="BQ17" s="27">
        <f t="shared" si="29"/>
        <v>21.68</v>
      </c>
      <c r="BR17" s="27">
        <f t="shared" si="30"/>
        <v>0</v>
      </c>
      <c r="BS17" s="27">
        <f t="shared" si="31"/>
        <v>0</v>
      </c>
      <c r="BT17" s="36">
        <f t="shared" si="32"/>
        <v>0</v>
      </c>
    </row>
    <row r="18" spans="1:72">
      <c r="A18" s="84"/>
      <c r="B18" s="2724" t="s">
        <v>3049</v>
      </c>
      <c r="C18" s="3313" t="s">
        <v>3027</v>
      </c>
      <c r="D18" s="2725" t="s">
        <v>1668</v>
      </c>
      <c r="E18" s="87">
        <f t="shared" si="6"/>
        <v>2724.29</v>
      </c>
      <c r="F18" s="88"/>
      <c r="G18" s="89">
        <f t="shared" si="7"/>
        <v>7840.4800000000005</v>
      </c>
      <c r="H18" s="90">
        <f t="shared" si="8"/>
        <v>7818.8</v>
      </c>
      <c r="I18" s="2726">
        <v>7818.8</v>
      </c>
      <c r="J18" s="91"/>
      <c r="K18" s="1341"/>
      <c r="L18" s="91"/>
      <c r="M18" s="91"/>
      <c r="N18" s="91"/>
      <c r="O18" s="91"/>
      <c r="P18" s="91"/>
      <c r="Q18" s="91"/>
      <c r="R18" s="91"/>
      <c r="S18" s="91"/>
      <c r="T18" s="91"/>
      <c r="U18" s="91"/>
      <c r="V18" s="91"/>
      <c r="W18" s="91"/>
      <c r="X18" s="91"/>
      <c r="Y18" s="91"/>
      <c r="Z18" s="91"/>
      <c r="AA18" s="91"/>
      <c r="AB18" s="91"/>
      <c r="AC18" s="87">
        <f t="shared" si="9"/>
        <v>21.68</v>
      </c>
      <c r="AD18" s="92"/>
      <c r="AE18" s="92"/>
      <c r="AF18" s="1341"/>
      <c r="AG18" s="92"/>
      <c r="AH18" s="92"/>
      <c r="AI18" s="92"/>
      <c r="AJ18" s="92"/>
      <c r="AK18" s="92"/>
      <c r="AL18" s="2730">
        <v>21.68</v>
      </c>
      <c r="AM18" s="92"/>
      <c r="AN18" s="1341"/>
      <c r="AO18" s="92"/>
      <c r="AP18" s="92"/>
      <c r="AQ18" s="92"/>
      <c r="AR18" s="92"/>
      <c r="AS18" s="92"/>
      <c r="AT18" s="93"/>
      <c r="AU18" s="94"/>
      <c r="AV18" s="979">
        <f t="shared" si="10"/>
        <v>0</v>
      </c>
      <c r="AW18" s="979" t="str">
        <f t="shared" si="10"/>
        <v>11层</v>
      </c>
      <c r="AX18" s="979" t="str">
        <f t="shared" si="10"/>
        <v>6号楼</v>
      </c>
      <c r="AY18" s="95">
        <f t="shared" si="11"/>
        <v>2724.29</v>
      </c>
      <c r="AZ18" s="87">
        <f t="shared" si="12"/>
        <v>7840.4800000000005</v>
      </c>
      <c r="BA18" s="87">
        <f t="shared" si="13"/>
        <v>7818.8</v>
      </c>
      <c r="BB18" s="87">
        <f t="shared" si="14"/>
        <v>7818.8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21.68</v>
      </c>
      <c r="BM18" s="87">
        <f t="shared" si="25"/>
        <v>0</v>
      </c>
      <c r="BN18" s="87">
        <f t="shared" si="26"/>
        <v>0</v>
      </c>
      <c r="BO18" s="87">
        <f t="shared" si="27"/>
        <v>0</v>
      </c>
      <c r="BP18" s="87">
        <f t="shared" si="28"/>
        <v>0</v>
      </c>
      <c r="BQ18" s="87">
        <f t="shared" si="29"/>
        <v>21.68</v>
      </c>
      <c r="BR18" s="87">
        <f t="shared" si="30"/>
        <v>0</v>
      </c>
      <c r="BS18" s="87">
        <f t="shared" si="31"/>
        <v>0</v>
      </c>
      <c r="BT18" s="96">
        <f t="shared" si="32"/>
        <v>0</v>
      </c>
    </row>
    <row r="19" spans="1:72">
      <c r="A19" s="84"/>
      <c r="B19" s="2724" t="s">
        <v>3049</v>
      </c>
      <c r="C19" s="3313" t="s">
        <v>3028</v>
      </c>
      <c r="D19" s="2725" t="s">
        <v>1668</v>
      </c>
      <c r="E19" s="87">
        <f t="shared" si="6"/>
        <v>2724.29</v>
      </c>
      <c r="F19" s="88"/>
      <c r="G19" s="89">
        <f t="shared" si="7"/>
        <v>7840.4800000000005</v>
      </c>
      <c r="H19" s="90">
        <f t="shared" si="8"/>
        <v>7818.8</v>
      </c>
      <c r="I19" s="2726">
        <v>7818.8</v>
      </c>
      <c r="J19" s="2726"/>
      <c r="K19" s="2726"/>
      <c r="L19" s="83"/>
      <c r="M19" s="83"/>
      <c r="N19" s="91"/>
      <c r="O19" s="91"/>
      <c r="P19" s="91"/>
      <c r="Q19" s="91"/>
      <c r="R19" s="91"/>
      <c r="S19" s="91"/>
      <c r="T19" s="91"/>
      <c r="U19" s="91"/>
      <c r="V19" s="91"/>
      <c r="W19" s="91"/>
      <c r="X19" s="91"/>
      <c r="Y19" s="91"/>
      <c r="Z19" s="91"/>
      <c r="AA19" s="91"/>
      <c r="AB19" s="91"/>
      <c r="AC19" s="87">
        <f t="shared" si="9"/>
        <v>21.68</v>
      </c>
      <c r="AD19" s="92"/>
      <c r="AE19" s="92"/>
      <c r="AF19" s="1341"/>
      <c r="AG19" s="92"/>
      <c r="AH19" s="92"/>
      <c r="AI19" s="92"/>
      <c r="AJ19" s="92"/>
      <c r="AK19" s="92"/>
      <c r="AL19" s="2730">
        <v>21.68</v>
      </c>
      <c r="AM19" s="92"/>
      <c r="AN19" s="1341"/>
      <c r="AO19" s="92"/>
      <c r="AP19" s="92"/>
      <c r="AQ19" s="92"/>
      <c r="AR19" s="92"/>
      <c r="AS19" s="92"/>
      <c r="AT19" s="93"/>
      <c r="AU19" s="94"/>
      <c r="AV19" s="979">
        <f t="shared" si="10"/>
        <v>0</v>
      </c>
      <c r="AW19" s="979" t="str">
        <f t="shared" si="10"/>
        <v>11层</v>
      </c>
      <c r="AX19" s="979" t="str">
        <f t="shared" si="10"/>
        <v>7号楼</v>
      </c>
      <c r="AY19" s="95">
        <f t="shared" si="11"/>
        <v>2724.29</v>
      </c>
      <c r="AZ19" s="87">
        <f t="shared" si="12"/>
        <v>7840.4800000000005</v>
      </c>
      <c r="BA19" s="87">
        <f t="shared" si="13"/>
        <v>7818.8</v>
      </c>
      <c r="BB19" s="87">
        <f t="shared" si="14"/>
        <v>7818.8</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21.68</v>
      </c>
      <c r="BM19" s="87">
        <f t="shared" si="25"/>
        <v>0</v>
      </c>
      <c r="BN19" s="87">
        <f t="shared" si="26"/>
        <v>0</v>
      </c>
      <c r="BO19" s="87">
        <f t="shared" si="27"/>
        <v>0</v>
      </c>
      <c r="BP19" s="87">
        <f t="shared" si="28"/>
        <v>0</v>
      </c>
      <c r="BQ19" s="87">
        <f t="shared" si="29"/>
        <v>21.68</v>
      </c>
      <c r="BR19" s="87">
        <f t="shared" si="30"/>
        <v>0</v>
      </c>
      <c r="BS19" s="87">
        <f t="shared" si="31"/>
        <v>0</v>
      </c>
      <c r="BT19" s="96">
        <f t="shared" si="32"/>
        <v>0</v>
      </c>
    </row>
    <row r="20" spans="1:72">
      <c r="A20" s="84"/>
      <c r="B20" s="2724" t="s">
        <v>3049</v>
      </c>
      <c r="C20" s="3313" t="s">
        <v>3029</v>
      </c>
      <c r="D20" s="2725" t="s">
        <v>1668</v>
      </c>
      <c r="E20" s="87">
        <f t="shared" si="6"/>
        <v>1326.75</v>
      </c>
      <c r="F20" s="88"/>
      <c r="G20" s="89">
        <f t="shared" si="7"/>
        <v>3818.3900000000003</v>
      </c>
      <c r="H20" s="90">
        <f t="shared" si="8"/>
        <v>3807.55</v>
      </c>
      <c r="I20" s="2726">
        <v>3807.55</v>
      </c>
      <c r="J20" s="2726"/>
      <c r="K20" s="2726"/>
      <c r="L20" s="83"/>
      <c r="M20" s="83"/>
      <c r="N20" s="91"/>
      <c r="O20" s="91"/>
      <c r="P20" s="91"/>
      <c r="Q20" s="91"/>
      <c r="R20" s="91"/>
      <c r="S20" s="91"/>
      <c r="T20" s="91"/>
      <c r="U20" s="91"/>
      <c r="V20" s="91"/>
      <c r="W20" s="91"/>
      <c r="X20" s="91"/>
      <c r="Y20" s="91"/>
      <c r="Z20" s="91"/>
      <c r="AA20" s="91"/>
      <c r="AB20" s="91"/>
      <c r="AC20" s="87">
        <f t="shared" si="9"/>
        <v>10.84</v>
      </c>
      <c r="AD20" s="92"/>
      <c r="AE20" s="92"/>
      <c r="AF20" s="1341"/>
      <c r="AG20" s="92"/>
      <c r="AH20" s="92"/>
      <c r="AI20" s="92"/>
      <c r="AJ20" s="92"/>
      <c r="AK20" s="92"/>
      <c r="AL20" s="2730">
        <v>10.84</v>
      </c>
      <c r="AM20" s="92"/>
      <c r="AN20" s="1341"/>
      <c r="AO20" s="92"/>
      <c r="AP20" s="92"/>
      <c r="AQ20" s="92"/>
      <c r="AR20" s="92"/>
      <c r="AS20" s="92"/>
      <c r="AT20" s="93"/>
      <c r="AU20" s="94"/>
      <c r="AV20" s="979">
        <f t="shared" si="10"/>
        <v>0</v>
      </c>
      <c r="AW20" s="979" t="str">
        <f t="shared" si="10"/>
        <v>11层</v>
      </c>
      <c r="AX20" s="979" t="str">
        <f t="shared" si="10"/>
        <v>8号楼</v>
      </c>
      <c r="AY20" s="95">
        <f t="shared" si="11"/>
        <v>1326.75</v>
      </c>
      <c r="AZ20" s="87">
        <f t="shared" si="12"/>
        <v>3818.3900000000003</v>
      </c>
      <c r="BA20" s="87">
        <f t="shared" si="13"/>
        <v>3807.55</v>
      </c>
      <c r="BB20" s="87">
        <f t="shared" si="14"/>
        <v>3807.55</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10.84</v>
      </c>
      <c r="BM20" s="87">
        <f t="shared" si="25"/>
        <v>0</v>
      </c>
      <c r="BN20" s="87">
        <f t="shared" si="26"/>
        <v>0</v>
      </c>
      <c r="BO20" s="87">
        <f t="shared" si="27"/>
        <v>0</v>
      </c>
      <c r="BP20" s="87">
        <f t="shared" si="28"/>
        <v>0</v>
      </c>
      <c r="BQ20" s="87">
        <f t="shared" si="29"/>
        <v>10.84</v>
      </c>
      <c r="BR20" s="87">
        <f t="shared" si="30"/>
        <v>0</v>
      </c>
      <c r="BS20" s="87">
        <f t="shared" si="31"/>
        <v>0</v>
      </c>
      <c r="BT20" s="96">
        <f t="shared" si="32"/>
        <v>0</v>
      </c>
    </row>
    <row r="21" spans="1:72">
      <c r="A21" s="84"/>
      <c r="B21" s="2724" t="s">
        <v>3050</v>
      </c>
      <c r="C21" s="3313" t="s">
        <v>3030</v>
      </c>
      <c r="D21" s="2725" t="s">
        <v>1668</v>
      </c>
      <c r="E21" s="87">
        <f t="shared" ref="E21:E112" si="33">IF($C$3="是",ROUND($A$3*G21/$B$3,2),ROUND($A$3*(G21-AT21)/$B$3,2))</f>
        <v>4297.1499999999996</v>
      </c>
      <c r="F21" s="88"/>
      <c r="G21" s="89">
        <f t="shared" ref="G21:G109" si="34">H21+AC21+AT21</f>
        <v>12367.17</v>
      </c>
      <c r="H21" s="90">
        <f t="shared" ref="H21:H109" si="35">SUMIF(I$12:AB$12,"总值",I21:AB21)</f>
        <v>12308.07</v>
      </c>
      <c r="I21" s="2726"/>
      <c r="J21" s="2726"/>
      <c r="K21" s="2726">
        <v>12308.07</v>
      </c>
      <c r="L21" s="83"/>
      <c r="M21" s="83"/>
      <c r="N21" s="91"/>
      <c r="O21" s="91"/>
      <c r="P21" s="91"/>
      <c r="Q21" s="91"/>
      <c r="R21" s="91"/>
      <c r="S21" s="91"/>
      <c r="T21" s="91"/>
      <c r="U21" s="91"/>
      <c r="V21" s="91"/>
      <c r="W21" s="91"/>
      <c r="X21" s="91"/>
      <c r="Y21" s="91"/>
      <c r="Z21" s="91"/>
      <c r="AA21" s="91"/>
      <c r="AB21" s="91"/>
      <c r="AC21" s="87">
        <f t="shared" ref="AC21:AC109" si="36">SUMIF(AD$12:AS$12,"总值",AD21:AS21)</f>
        <v>59.1</v>
      </c>
      <c r="AD21" s="2730"/>
      <c r="AE21" s="2730"/>
      <c r="AF21" s="2730"/>
      <c r="AG21" s="2730"/>
      <c r="AH21" s="2730"/>
      <c r="AI21" s="2730"/>
      <c r="AJ21" s="2730"/>
      <c r="AK21" s="2730"/>
      <c r="AL21" s="2730">
        <v>59.1</v>
      </c>
      <c r="AM21" s="2730"/>
      <c r="AN21" s="2730"/>
      <c r="AO21" s="92"/>
      <c r="AP21" s="92"/>
      <c r="AQ21" s="92"/>
      <c r="AR21" s="92"/>
      <c r="AS21" s="92"/>
      <c r="AT21" s="93"/>
      <c r="AU21" s="94"/>
      <c r="AV21" s="1890">
        <f t="shared" ref="AV21:AV112" si="37">A21</f>
        <v>0</v>
      </c>
      <c r="AW21" s="1890" t="str">
        <f t="shared" ref="AW21:AW112" si="38">B21</f>
        <v>23层</v>
      </c>
      <c r="AX21" s="1890" t="str">
        <f t="shared" ref="AX21:AX112" si="39">C21</f>
        <v>9号楼</v>
      </c>
      <c r="AY21" s="95">
        <f t="shared" ref="AY21:AY109" si="40">ROUND($AY$6*AZ21/$AZ$5,2)</f>
        <v>4297.1499999999996</v>
      </c>
      <c r="AZ21" s="87">
        <f t="shared" ref="AZ21:AZ109" si="41">BA21+BL21</f>
        <v>12367.17</v>
      </c>
      <c r="BA21" s="87">
        <f t="shared" ref="BA21:BA109" si="42">SUM(BB21:BK21)</f>
        <v>12308.07</v>
      </c>
      <c r="BB21" s="87">
        <f t="shared" ref="BB21:BB109" si="43">IF($D21="是",I21-J21,0)</f>
        <v>0</v>
      </c>
      <c r="BC21" s="87">
        <f t="shared" ref="BC21:BC109" si="44">IF($D21="是",K21-L21,0)</f>
        <v>12308.07</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59.1</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59.1</v>
      </c>
      <c r="BR21" s="87">
        <f t="shared" ref="BR21:BR109" si="59">IF($D21="是",AN21-AO21,0)</f>
        <v>0</v>
      </c>
      <c r="BS21" s="87">
        <f t="shared" ref="BS21:BS109" si="60">IF($D21="是",AP21-AQ21,0)</f>
        <v>0</v>
      </c>
      <c r="BT21" s="96">
        <f t="shared" ref="BT21:BT109" si="61">IF($D21="是",AR21-AS21,0)</f>
        <v>0</v>
      </c>
    </row>
    <row r="22" spans="1:72">
      <c r="A22" s="84"/>
      <c r="B22" s="2724" t="s">
        <v>3050</v>
      </c>
      <c r="C22" s="3313" t="s">
        <v>3031</v>
      </c>
      <c r="D22" s="2725" t="s">
        <v>1668</v>
      </c>
      <c r="E22" s="87">
        <f t="shared" si="33"/>
        <v>4297.1499999999996</v>
      </c>
      <c r="F22" s="88"/>
      <c r="G22" s="89">
        <f t="shared" si="34"/>
        <v>12367.17</v>
      </c>
      <c r="H22" s="90">
        <f t="shared" si="35"/>
        <v>12308.07</v>
      </c>
      <c r="I22" s="2726"/>
      <c r="J22" s="2726"/>
      <c r="K22" s="2726">
        <v>12308.07</v>
      </c>
      <c r="L22" s="83"/>
      <c r="M22" s="3285"/>
      <c r="N22" s="91"/>
      <c r="O22" s="91"/>
      <c r="P22" s="91"/>
      <c r="Q22" s="91"/>
      <c r="R22" s="91"/>
      <c r="S22" s="91"/>
      <c r="T22" s="91"/>
      <c r="U22" s="91"/>
      <c r="V22" s="91"/>
      <c r="W22" s="91"/>
      <c r="X22" s="91"/>
      <c r="Y22" s="91"/>
      <c r="Z22" s="91"/>
      <c r="AA22" s="91"/>
      <c r="AB22" s="91"/>
      <c r="AC22" s="87">
        <f t="shared" si="36"/>
        <v>59.1</v>
      </c>
      <c r="AD22" s="2730"/>
      <c r="AE22" s="2730"/>
      <c r="AF22" s="2730"/>
      <c r="AG22" s="2730"/>
      <c r="AH22" s="2730"/>
      <c r="AI22" s="2730"/>
      <c r="AJ22" s="2730"/>
      <c r="AK22" s="2730"/>
      <c r="AL22" s="2730">
        <v>59.1</v>
      </c>
      <c r="AM22" s="2730"/>
      <c r="AN22" s="2730"/>
      <c r="AO22" s="92"/>
      <c r="AP22" s="92"/>
      <c r="AQ22" s="92"/>
      <c r="AR22" s="92"/>
      <c r="AS22" s="92"/>
      <c r="AT22" s="93"/>
      <c r="AU22" s="94"/>
      <c r="AV22" s="1890">
        <f t="shared" si="37"/>
        <v>0</v>
      </c>
      <c r="AW22" s="1890" t="str">
        <f t="shared" si="38"/>
        <v>23层</v>
      </c>
      <c r="AX22" s="1890" t="str">
        <f t="shared" si="39"/>
        <v>10号楼</v>
      </c>
      <c r="AY22" s="95">
        <f t="shared" si="40"/>
        <v>4297.1499999999996</v>
      </c>
      <c r="AZ22" s="87">
        <f t="shared" si="41"/>
        <v>12367.17</v>
      </c>
      <c r="BA22" s="87">
        <f t="shared" si="42"/>
        <v>12308.07</v>
      </c>
      <c r="BB22" s="87">
        <f t="shared" si="43"/>
        <v>0</v>
      </c>
      <c r="BC22" s="87">
        <f t="shared" si="44"/>
        <v>12308.07</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59.1</v>
      </c>
      <c r="BM22" s="87">
        <f t="shared" si="54"/>
        <v>0</v>
      </c>
      <c r="BN22" s="87">
        <f t="shared" si="55"/>
        <v>0</v>
      </c>
      <c r="BO22" s="87">
        <f t="shared" si="56"/>
        <v>0</v>
      </c>
      <c r="BP22" s="87">
        <f t="shared" si="57"/>
        <v>0</v>
      </c>
      <c r="BQ22" s="87">
        <f t="shared" si="58"/>
        <v>59.1</v>
      </c>
      <c r="BR22" s="87">
        <f t="shared" si="59"/>
        <v>0</v>
      </c>
      <c r="BS22" s="87">
        <f t="shared" si="60"/>
        <v>0</v>
      </c>
      <c r="BT22" s="96">
        <f t="shared" si="61"/>
        <v>0</v>
      </c>
    </row>
    <row r="23" spans="1:72">
      <c r="A23" s="84"/>
      <c r="B23" s="2724" t="s">
        <v>3051</v>
      </c>
      <c r="C23" s="3313" t="s">
        <v>3032</v>
      </c>
      <c r="D23" s="2725" t="s">
        <v>1668</v>
      </c>
      <c r="E23" s="87">
        <f t="shared" si="33"/>
        <v>4109.67</v>
      </c>
      <c r="F23" s="88"/>
      <c r="G23" s="89">
        <f t="shared" si="34"/>
        <v>11827.61</v>
      </c>
      <c r="H23" s="90">
        <f t="shared" si="35"/>
        <v>11768.51</v>
      </c>
      <c r="I23" s="2726"/>
      <c r="J23" s="2726"/>
      <c r="K23" s="3311">
        <v>11768.51</v>
      </c>
      <c r="L23" s="83"/>
      <c r="M23" s="3285"/>
      <c r="N23" s="91"/>
      <c r="O23" s="91"/>
      <c r="P23" s="91"/>
      <c r="Q23" s="91"/>
      <c r="R23" s="91"/>
      <c r="S23" s="91"/>
      <c r="T23" s="91"/>
      <c r="U23" s="91"/>
      <c r="V23" s="91"/>
      <c r="W23" s="91"/>
      <c r="X23" s="91"/>
      <c r="Y23" s="91"/>
      <c r="Z23" s="91"/>
      <c r="AA23" s="91"/>
      <c r="AB23" s="91"/>
      <c r="AC23" s="87">
        <f t="shared" si="36"/>
        <v>59.1</v>
      </c>
      <c r="AD23" s="2730"/>
      <c r="AE23" s="2730"/>
      <c r="AF23" s="2730"/>
      <c r="AG23" s="2730"/>
      <c r="AH23" s="2730"/>
      <c r="AI23" s="2730"/>
      <c r="AJ23" s="2730"/>
      <c r="AK23" s="2730"/>
      <c r="AL23" s="3312">
        <v>59.1</v>
      </c>
      <c r="AM23" s="2730"/>
      <c r="AN23" s="2730"/>
      <c r="AO23" s="92"/>
      <c r="AP23" s="92"/>
      <c r="AQ23" s="92"/>
      <c r="AR23" s="92"/>
      <c r="AS23" s="92"/>
      <c r="AT23" s="93"/>
      <c r="AU23" s="94"/>
      <c r="AV23" s="1890">
        <f t="shared" si="37"/>
        <v>0</v>
      </c>
      <c r="AW23" s="1890" t="str">
        <f t="shared" si="38"/>
        <v>22层</v>
      </c>
      <c r="AX23" s="1890" t="str">
        <f t="shared" si="39"/>
        <v>11号楼</v>
      </c>
      <c r="AY23" s="95">
        <f t="shared" si="40"/>
        <v>4109.67</v>
      </c>
      <c r="AZ23" s="87">
        <f t="shared" si="41"/>
        <v>11827.61</v>
      </c>
      <c r="BA23" s="87">
        <f t="shared" si="42"/>
        <v>11768.51</v>
      </c>
      <c r="BB23" s="87">
        <f t="shared" si="43"/>
        <v>0</v>
      </c>
      <c r="BC23" s="87">
        <f t="shared" si="44"/>
        <v>11768.51</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59.1</v>
      </c>
      <c r="BM23" s="87">
        <f t="shared" si="54"/>
        <v>0</v>
      </c>
      <c r="BN23" s="87">
        <f t="shared" si="55"/>
        <v>0</v>
      </c>
      <c r="BO23" s="87">
        <f t="shared" si="56"/>
        <v>0</v>
      </c>
      <c r="BP23" s="87">
        <f t="shared" si="57"/>
        <v>0</v>
      </c>
      <c r="BQ23" s="87">
        <f t="shared" si="58"/>
        <v>59.1</v>
      </c>
      <c r="BR23" s="87">
        <f t="shared" si="59"/>
        <v>0</v>
      </c>
      <c r="BS23" s="87">
        <f t="shared" si="60"/>
        <v>0</v>
      </c>
      <c r="BT23" s="96">
        <f t="shared" si="61"/>
        <v>0</v>
      </c>
    </row>
    <row r="24" spans="1:72">
      <c r="A24" s="84"/>
      <c r="B24" s="2724" t="s">
        <v>3049</v>
      </c>
      <c r="C24" s="3313" t="s">
        <v>3033</v>
      </c>
      <c r="D24" s="2725" t="s">
        <v>1668</v>
      </c>
      <c r="E24" s="87">
        <f t="shared" si="33"/>
        <v>1595.89</v>
      </c>
      <c r="F24" s="88"/>
      <c r="G24" s="89">
        <f t="shared" si="34"/>
        <v>4592.95</v>
      </c>
      <c r="H24" s="90">
        <f t="shared" si="35"/>
        <v>4592.95</v>
      </c>
      <c r="I24" s="2726">
        <v>4592.95</v>
      </c>
      <c r="J24" s="2726"/>
      <c r="K24" s="2726"/>
      <c r="L24" s="83"/>
      <c r="M24" s="83"/>
      <c r="N24" s="91"/>
      <c r="O24" s="1316"/>
      <c r="P24" s="91"/>
      <c r="Q24" s="91"/>
      <c r="R24" s="91"/>
      <c r="S24" s="91"/>
      <c r="T24" s="91"/>
      <c r="U24" s="91"/>
      <c r="V24" s="91"/>
      <c r="W24" s="91"/>
      <c r="X24" s="91"/>
      <c r="Y24" s="91"/>
      <c r="Z24" s="91"/>
      <c r="AA24" s="91"/>
      <c r="AB24" s="91"/>
      <c r="AC24" s="87">
        <f t="shared" si="36"/>
        <v>0</v>
      </c>
      <c r="AD24" s="2730"/>
      <c r="AE24" s="2730"/>
      <c r="AF24" s="2730"/>
      <c r="AG24" s="2730"/>
      <c r="AH24" s="2730"/>
      <c r="AI24" s="2730"/>
      <c r="AJ24" s="2730"/>
      <c r="AK24" s="2730"/>
      <c r="AL24" s="2730"/>
      <c r="AM24" s="2730"/>
      <c r="AN24" s="2730"/>
      <c r="AO24" s="92"/>
      <c r="AP24" s="92"/>
      <c r="AQ24" s="92"/>
      <c r="AR24" s="92"/>
      <c r="AS24" s="92"/>
      <c r="AT24" s="93"/>
      <c r="AU24" s="94"/>
      <c r="AV24" s="1890">
        <f t="shared" si="37"/>
        <v>0</v>
      </c>
      <c r="AW24" s="1890" t="str">
        <f t="shared" si="38"/>
        <v>11层</v>
      </c>
      <c r="AX24" s="1890" t="str">
        <f t="shared" si="39"/>
        <v>12号楼</v>
      </c>
      <c r="AY24" s="95">
        <f t="shared" si="40"/>
        <v>1595.89</v>
      </c>
      <c r="AZ24" s="87">
        <f t="shared" si="41"/>
        <v>4592.95</v>
      </c>
      <c r="BA24" s="87">
        <f t="shared" si="42"/>
        <v>4592.95</v>
      </c>
      <c r="BB24" s="87">
        <f t="shared" si="43"/>
        <v>4592.95</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2724" t="s">
        <v>3049</v>
      </c>
      <c r="C25" s="3313" t="s">
        <v>3034</v>
      </c>
      <c r="D25" s="2725" t="s">
        <v>1668</v>
      </c>
      <c r="E25" s="87">
        <f t="shared" si="33"/>
        <v>1595.89</v>
      </c>
      <c r="F25" s="88"/>
      <c r="G25" s="89">
        <f t="shared" si="34"/>
        <v>4592.95</v>
      </c>
      <c r="H25" s="90">
        <f t="shared" si="35"/>
        <v>4592.95</v>
      </c>
      <c r="I25" s="2726">
        <v>4592.95</v>
      </c>
      <c r="J25" s="2726"/>
      <c r="K25" s="2726"/>
      <c r="L25" s="83"/>
      <c r="M25" s="83"/>
      <c r="N25" s="91"/>
      <c r="O25" s="91"/>
      <c r="P25" s="91"/>
      <c r="Q25" s="91"/>
      <c r="R25" s="91"/>
      <c r="S25" s="91"/>
      <c r="T25" s="91"/>
      <c r="U25" s="91"/>
      <c r="V25" s="91"/>
      <c r="W25" s="91"/>
      <c r="X25" s="91"/>
      <c r="Y25" s="91"/>
      <c r="Z25" s="91"/>
      <c r="AA25" s="91"/>
      <c r="AB25" s="91"/>
      <c r="AC25" s="87">
        <f t="shared" si="36"/>
        <v>0</v>
      </c>
      <c r="AD25" s="2730"/>
      <c r="AE25" s="2730"/>
      <c r="AF25" s="2730"/>
      <c r="AG25" s="2730"/>
      <c r="AH25" s="2730"/>
      <c r="AI25" s="2730"/>
      <c r="AJ25" s="2730"/>
      <c r="AK25" s="2730"/>
      <c r="AL25" s="2730"/>
      <c r="AM25" s="2730"/>
      <c r="AN25" s="2730"/>
      <c r="AO25" s="92"/>
      <c r="AP25" s="92"/>
      <c r="AQ25" s="92"/>
      <c r="AR25" s="92"/>
      <c r="AS25" s="92"/>
      <c r="AT25" s="93"/>
      <c r="AU25" s="94"/>
      <c r="AV25" s="1890">
        <f t="shared" si="37"/>
        <v>0</v>
      </c>
      <c r="AW25" s="1890" t="str">
        <f t="shared" si="38"/>
        <v>11层</v>
      </c>
      <c r="AX25" s="1890" t="str">
        <f t="shared" si="39"/>
        <v>13号楼</v>
      </c>
      <c r="AY25" s="95">
        <f t="shared" si="40"/>
        <v>1595.89</v>
      </c>
      <c r="AZ25" s="87">
        <f t="shared" si="41"/>
        <v>4592.95</v>
      </c>
      <c r="BA25" s="87">
        <f t="shared" si="42"/>
        <v>4592.95</v>
      </c>
      <c r="BB25" s="87">
        <f t="shared" si="43"/>
        <v>4592.95</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2724" t="s">
        <v>3049</v>
      </c>
      <c r="C26" s="3313" t="s">
        <v>3035</v>
      </c>
      <c r="D26" s="2725" t="s">
        <v>1668</v>
      </c>
      <c r="E26" s="87">
        <f t="shared" si="33"/>
        <v>1595.89</v>
      </c>
      <c r="F26" s="88"/>
      <c r="G26" s="89">
        <f t="shared" si="34"/>
        <v>4592.95</v>
      </c>
      <c r="H26" s="90">
        <f t="shared" si="35"/>
        <v>4592.95</v>
      </c>
      <c r="I26" s="2726">
        <v>4592.95</v>
      </c>
      <c r="J26" s="2726"/>
      <c r="K26" s="2726"/>
      <c r="L26" s="83"/>
      <c r="M26" s="83"/>
      <c r="N26" s="91"/>
      <c r="O26" s="91"/>
      <c r="P26" s="91"/>
      <c r="Q26" s="91"/>
      <c r="R26" s="91"/>
      <c r="S26" s="91"/>
      <c r="T26" s="91"/>
      <c r="U26" s="91"/>
      <c r="V26" s="91"/>
      <c r="W26" s="91"/>
      <c r="X26" s="91"/>
      <c r="Y26" s="91"/>
      <c r="Z26" s="91"/>
      <c r="AA26" s="91"/>
      <c r="AB26" s="91"/>
      <c r="AC26" s="87">
        <f t="shared" si="36"/>
        <v>0</v>
      </c>
      <c r="AD26" s="2730"/>
      <c r="AE26" s="2730"/>
      <c r="AF26" s="2730"/>
      <c r="AG26" s="2730"/>
      <c r="AH26" s="2730"/>
      <c r="AI26" s="2730"/>
      <c r="AJ26" s="2730"/>
      <c r="AK26" s="2730"/>
      <c r="AL26" s="2730"/>
      <c r="AM26" s="2730"/>
      <c r="AN26" s="2730"/>
      <c r="AO26" s="92"/>
      <c r="AP26" s="92"/>
      <c r="AQ26" s="92"/>
      <c r="AR26" s="92"/>
      <c r="AS26" s="92"/>
      <c r="AT26" s="93"/>
      <c r="AU26" s="94"/>
      <c r="AV26" s="1890">
        <f t="shared" si="37"/>
        <v>0</v>
      </c>
      <c r="AW26" s="1890" t="str">
        <f t="shared" si="38"/>
        <v>11层</v>
      </c>
      <c r="AX26" s="1890" t="str">
        <f t="shared" si="39"/>
        <v>14号楼</v>
      </c>
      <c r="AY26" s="95">
        <f t="shared" si="40"/>
        <v>1595.89</v>
      </c>
      <c r="AZ26" s="87">
        <f t="shared" si="41"/>
        <v>4592.95</v>
      </c>
      <c r="BA26" s="87">
        <f t="shared" si="42"/>
        <v>4592.95</v>
      </c>
      <c r="BB26" s="87">
        <f t="shared" si="43"/>
        <v>4592.95</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2724" t="s">
        <v>3049</v>
      </c>
      <c r="C27" s="3313" t="s">
        <v>3036</v>
      </c>
      <c r="D27" s="2725" t="s">
        <v>1668</v>
      </c>
      <c r="E27" s="87">
        <f t="shared" si="33"/>
        <v>1595.89</v>
      </c>
      <c r="F27" s="88"/>
      <c r="G27" s="89">
        <f t="shared" si="34"/>
        <v>4592.95</v>
      </c>
      <c r="H27" s="90">
        <f t="shared" si="35"/>
        <v>4592.95</v>
      </c>
      <c r="I27" s="2726">
        <v>4592.95</v>
      </c>
      <c r="J27" s="2726"/>
      <c r="K27" s="2726"/>
      <c r="L27" s="83"/>
      <c r="M27" s="83"/>
      <c r="N27" s="91"/>
      <c r="O27" s="91"/>
      <c r="P27" s="91"/>
      <c r="Q27" s="91"/>
      <c r="R27" s="91"/>
      <c r="S27" s="91"/>
      <c r="T27" s="91"/>
      <c r="U27" s="91"/>
      <c r="V27" s="91"/>
      <c r="W27" s="91"/>
      <c r="X27" s="91"/>
      <c r="Y27" s="91"/>
      <c r="Z27" s="91"/>
      <c r="AA27" s="91"/>
      <c r="AB27" s="91"/>
      <c r="AC27" s="87">
        <f t="shared" si="36"/>
        <v>0</v>
      </c>
      <c r="AD27" s="2730"/>
      <c r="AE27" s="2730"/>
      <c r="AF27" s="2730"/>
      <c r="AG27" s="2730"/>
      <c r="AH27" s="2730"/>
      <c r="AI27" s="2730"/>
      <c r="AJ27" s="2730"/>
      <c r="AK27" s="2730"/>
      <c r="AL27" s="2730"/>
      <c r="AM27" s="2730"/>
      <c r="AN27" s="2730"/>
      <c r="AO27" s="92"/>
      <c r="AP27" s="92"/>
      <c r="AQ27" s="92"/>
      <c r="AR27" s="92"/>
      <c r="AS27" s="92"/>
      <c r="AT27" s="93"/>
      <c r="AU27" s="94"/>
      <c r="AV27" s="1890">
        <f t="shared" si="37"/>
        <v>0</v>
      </c>
      <c r="AW27" s="1890" t="str">
        <f t="shared" si="38"/>
        <v>11层</v>
      </c>
      <c r="AX27" s="1890" t="str">
        <f t="shared" si="39"/>
        <v>15号楼</v>
      </c>
      <c r="AY27" s="95">
        <f t="shared" si="40"/>
        <v>1595.89</v>
      </c>
      <c r="AZ27" s="87">
        <f t="shared" si="41"/>
        <v>4592.95</v>
      </c>
      <c r="BA27" s="87">
        <f t="shared" si="42"/>
        <v>4592.95</v>
      </c>
      <c r="BB27" s="87">
        <f t="shared" si="43"/>
        <v>4592.95</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2724" t="s">
        <v>3049</v>
      </c>
      <c r="C28" s="3313" t="s">
        <v>3037</v>
      </c>
      <c r="D28" s="2725" t="s">
        <v>1668</v>
      </c>
      <c r="E28" s="87">
        <f t="shared" si="33"/>
        <v>1595.89</v>
      </c>
      <c r="F28" s="88"/>
      <c r="G28" s="89">
        <f t="shared" si="34"/>
        <v>4592.95</v>
      </c>
      <c r="H28" s="90">
        <f t="shared" si="35"/>
        <v>4592.95</v>
      </c>
      <c r="I28" s="2726">
        <v>4592.95</v>
      </c>
      <c r="J28" s="2726"/>
      <c r="K28" s="2726"/>
      <c r="L28" s="2726"/>
      <c r="M28" s="2726"/>
      <c r="N28" s="2726"/>
      <c r="O28" s="2726"/>
      <c r="P28" s="91"/>
      <c r="Q28" s="91"/>
      <c r="R28" s="91"/>
      <c r="S28" s="91"/>
      <c r="T28" s="91"/>
      <c r="U28" s="91"/>
      <c r="V28" s="91"/>
      <c r="W28" s="91"/>
      <c r="X28" s="91"/>
      <c r="Y28" s="91"/>
      <c r="Z28" s="91"/>
      <c r="AA28" s="91"/>
      <c r="AB28" s="91"/>
      <c r="AC28" s="87">
        <f t="shared" si="36"/>
        <v>0</v>
      </c>
      <c r="AD28" s="2730"/>
      <c r="AE28" s="2730"/>
      <c r="AF28" s="2730"/>
      <c r="AG28" s="2730"/>
      <c r="AH28" s="2730"/>
      <c r="AI28" s="2730"/>
      <c r="AJ28" s="2730"/>
      <c r="AK28" s="2730"/>
      <c r="AL28" s="2730"/>
      <c r="AM28" s="2730"/>
      <c r="AN28" s="2730"/>
      <c r="AO28" s="92"/>
      <c r="AP28" s="92"/>
      <c r="AQ28" s="92"/>
      <c r="AR28" s="92"/>
      <c r="AS28" s="92"/>
      <c r="AT28" s="93"/>
      <c r="AU28" s="94"/>
      <c r="AV28" s="1890">
        <f t="shared" si="37"/>
        <v>0</v>
      </c>
      <c r="AW28" s="1890" t="str">
        <f t="shared" si="38"/>
        <v>11层</v>
      </c>
      <c r="AX28" s="1890" t="str">
        <f t="shared" si="39"/>
        <v>16号楼</v>
      </c>
      <c r="AY28" s="95">
        <f t="shared" si="40"/>
        <v>1595.89</v>
      </c>
      <c r="AZ28" s="87">
        <f t="shared" si="41"/>
        <v>4592.95</v>
      </c>
      <c r="BA28" s="87">
        <f t="shared" si="42"/>
        <v>4592.95</v>
      </c>
      <c r="BB28" s="87">
        <f t="shared" si="43"/>
        <v>4592.95</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2724" t="s">
        <v>3049</v>
      </c>
      <c r="C29" s="3313" t="s">
        <v>3038</v>
      </c>
      <c r="D29" s="2725" t="s">
        <v>1668</v>
      </c>
      <c r="E29" s="87">
        <f t="shared" si="33"/>
        <v>1595.89</v>
      </c>
      <c r="F29" s="88"/>
      <c r="G29" s="89">
        <f t="shared" si="34"/>
        <v>4592.95</v>
      </c>
      <c r="H29" s="90">
        <f t="shared" si="35"/>
        <v>4592.95</v>
      </c>
      <c r="I29" s="2726">
        <v>4592.95</v>
      </c>
      <c r="J29" s="2726"/>
      <c r="K29" s="2726"/>
      <c r="L29" s="2726"/>
      <c r="M29" s="2726"/>
      <c r="N29" s="2726"/>
      <c r="O29" s="2726"/>
      <c r="P29" s="91"/>
      <c r="Q29" s="91"/>
      <c r="R29" s="91"/>
      <c r="S29" s="91"/>
      <c r="T29" s="91"/>
      <c r="U29" s="91"/>
      <c r="V29" s="91"/>
      <c r="W29" s="91"/>
      <c r="X29" s="91"/>
      <c r="Y29" s="91"/>
      <c r="Z29" s="91"/>
      <c r="AA29" s="91"/>
      <c r="AB29" s="91"/>
      <c r="AC29" s="87">
        <f t="shared" si="36"/>
        <v>0</v>
      </c>
      <c r="AD29" s="2730"/>
      <c r="AE29" s="2730"/>
      <c r="AF29" s="2730"/>
      <c r="AG29" s="2730"/>
      <c r="AH29" s="2730"/>
      <c r="AI29" s="2730"/>
      <c r="AJ29" s="2730"/>
      <c r="AK29" s="2730"/>
      <c r="AL29" s="2730"/>
      <c r="AM29" s="2730"/>
      <c r="AN29" s="2730"/>
      <c r="AO29" s="92"/>
      <c r="AP29" s="92"/>
      <c r="AQ29" s="92"/>
      <c r="AR29" s="92"/>
      <c r="AS29" s="92"/>
      <c r="AT29" s="93"/>
      <c r="AU29" s="94"/>
      <c r="AV29" s="1890">
        <f t="shared" si="37"/>
        <v>0</v>
      </c>
      <c r="AW29" s="1890" t="str">
        <f t="shared" si="38"/>
        <v>11层</v>
      </c>
      <c r="AX29" s="1890" t="str">
        <f t="shared" si="39"/>
        <v>17号楼</v>
      </c>
      <c r="AY29" s="95">
        <f t="shared" si="40"/>
        <v>1595.89</v>
      </c>
      <c r="AZ29" s="87">
        <f t="shared" si="41"/>
        <v>4592.95</v>
      </c>
      <c r="BA29" s="87">
        <f t="shared" si="42"/>
        <v>4592.95</v>
      </c>
      <c r="BB29" s="87">
        <f t="shared" si="43"/>
        <v>4592.95</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2724" t="s">
        <v>3049</v>
      </c>
      <c r="C30" s="3313" t="s">
        <v>3039</v>
      </c>
      <c r="D30" s="2725" t="s">
        <v>1668</v>
      </c>
      <c r="E30" s="87">
        <f t="shared" si="33"/>
        <v>1595.89</v>
      </c>
      <c r="F30" s="88"/>
      <c r="G30" s="89">
        <f t="shared" si="34"/>
        <v>4592.95</v>
      </c>
      <c r="H30" s="90">
        <f t="shared" si="35"/>
        <v>4592.95</v>
      </c>
      <c r="I30" s="2726">
        <v>4592.95</v>
      </c>
      <c r="J30" s="2726"/>
      <c r="K30" s="2726"/>
      <c r="L30" s="2726"/>
      <c r="M30" s="2726"/>
      <c r="N30" s="2726"/>
      <c r="O30" s="2726"/>
      <c r="P30" s="91"/>
      <c r="Q30" s="91"/>
      <c r="R30" s="91"/>
      <c r="S30" s="91"/>
      <c r="T30" s="91"/>
      <c r="U30" s="91"/>
      <c r="V30" s="91"/>
      <c r="W30" s="91"/>
      <c r="X30" s="91"/>
      <c r="Y30" s="91"/>
      <c r="Z30" s="91"/>
      <c r="AA30" s="91"/>
      <c r="AB30" s="91"/>
      <c r="AC30" s="87">
        <f t="shared" si="36"/>
        <v>0</v>
      </c>
      <c r="AD30" s="2730"/>
      <c r="AE30" s="2730"/>
      <c r="AF30" s="2730"/>
      <c r="AG30" s="2730"/>
      <c r="AH30" s="2730"/>
      <c r="AI30" s="2730"/>
      <c r="AJ30" s="2730"/>
      <c r="AK30" s="2730"/>
      <c r="AL30" s="2730"/>
      <c r="AM30" s="2730"/>
      <c r="AN30" s="2730"/>
      <c r="AO30" s="92"/>
      <c r="AP30" s="92"/>
      <c r="AQ30" s="92"/>
      <c r="AR30" s="92"/>
      <c r="AS30" s="92"/>
      <c r="AT30" s="93"/>
      <c r="AU30" s="94"/>
      <c r="AV30" s="1890">
        <f t="shared" si="37"/>
        <v>0</v>
      </c>
      <c r="AW30" s="1890" t="str">
        <f t="shared" si="38"/>
        <v>11层</v>
      </c>
      <c r="AX30" s="1890" t="str">
        <f t="shared" si="39"/>
        <v>18号楼</v>
      </c>
      <c r="AY30" s="95">
        <f t="shared" si="40"/>
        <v>1595.89</v>
      </c>
      <c r="AZ30" s="87">
        <f t="shared" si="41"/>
        <v>4592.95</v>
      </c>
      <c r="BA30" s="87">
        <f t="shared" si="42"/>
        <v>4592.95</v>
      </c>
      <c r="BB30" s="87">
        <f t="shared" si="43"/>
        <v>4592.95</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2724" t="s">
        <v>3052</v>
      </c>
      <c r="C31" s="3313" t="s">
        <v>3040</v>
      </c>
      <c r="D31" s="2725" t="s">
        <v>1668</v>
      </c>
      <c r="E31" s="87">
        <f t="shared" si="33"/>
        <v>469.14</v>
      </c>
      <c r="F31" s="88"/>
      <c r="G31" s="89">
        <f t="shared" si="34"/>
        <v>1350.19</v>
      </c>
      <c r="H31" s="90">
        <f t="shared" si="35"/>
        <v>1350.19</v>
      </c>
      <c r="I31" s="2726"/>
      <c r="J31" s="2726"/>
      <c r="K31" s="2726"/>
      <c r="L31" s="2726"/>
      <c r="M31" s="2726">
        <v>1350.19</v>
      </c>
      <c r="N31" s="2726"/>
      <c r="O31" s="2726"/>
      <c r="P31" s="91"/>
      <c r="Q31" s="91"/>
      <c r="R31" s="91"/>
      <c r="S31" s="91"/>
      <c r="T31" s="91"/>
      <c r="U31" s="91"/>
      <c r="V31" s="91"/>
      <c r="W31" s="91"/>
      <c r="X31" s="91"/>
      <c r="Y31" s="91"/>
      <c r="Z31" s="91"/>
      <c r="AA31" s="91"/>
      <c r="AB31" s="91"/>
      <c r="AC31" s="87">
        <f t="shared" si="36"/>
        <v>0</v>
      </c>
      <c r="AD31" s="2730"/>
      <c r="AE31" s="2730"/>
      <c r="AF31" s="2730"/>
      <c r="AG31" s="2730"/>
      <c r="AH31" s="2730"/>
      <c r="AI31" s="2730"/>
      <c r="AJ31" s="2730"/>
      <c r="AK31" s="2730"/>
      <c r="AL31" s="2730"/>
      <c r="AM31" s="2730"/>
      <c r="AN31" s="2730"/>
      <c r="AO31" s="92"/>
      <c r="AP31" s="92"/>
      <c r="AQ31" s="92"/>
      <c r="AR31" s="92"/>
      <c r="AS31" s="92"/>
      <c r="AT31" s="93"/>
      <c r="AU31" s="94"/>
      <c r="AV31" s="1890">
        <f t="shared" si="37"/>
        <v>0</v>
      </c>
      <c r="AW31" s="1890" t="str">
        <f t="shared" si="38"/>
        <v>2层</v>
      </c>
      <c r="AX31" s="1890" t="str">
        <f t="shared" si="39"/>
        <v>19号楼</v>
      </c>
      <c r="AY31" s="95">
        <f t="shared" si="40"/>
        <v>469.14</v>
      </c>
      <c r="AZ31" s="87">
        <f t="shared" si="41"/>
        <v>1350.19</v>
      </c>
      <c r="BA31" s="87">
        <f t="shared" si="42"/>
        <v>1350.19</v>
      </c>
      <c r="BB31" s="87">
        <f t="shared" si="43"/>
        <v>0</v>
      </c>
      <c r="BC31" s="87">
        <f t="shared" si="44"/>
        <v>0</v>
      </c>
      <c r="BD31" s="87">
        <f t="shared" si="45"/>
        <v>1350.19</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2724" t="s">
        <v>3052</v>
      </c>
      <c r="C32" s="3313" t="s">
        <v>3041</v>
      </c>
      <c r="D32" s="2725" t="s">
        <v>1668</v>
      </c>
      <c r="E32" s="87">
        <f t="shared" si="33"/>
        <v>256.02999999999997</v>
      </c>
      <c r="F32" s="88"/>
      <c r="G32" s="89">
        <f t="shared" si="34"/>
        <v>736.83999999999992</v>
      </c>
      <c r="H32" s="90">
        <f t="shared" si="35"/>
        <v>658.15</v>
      </c>
      <c r="I32" s="2726"/>
      <c r="J32" s="2726"/>
      <c r="K32" s="2726"/>
      <c r="L32" s="2726"/>
      <c r="M32" s="2726">
        <v>658.15</v>
      </c>
      <c r="N32" s="2726"/>
      <c r="O32" s="2726"/>
      <c r="P32" s="91"/>
      <c r="Q32" s="91"/>
      <c r="R32" s="91"/>
      <c r="S32" s="91"/>
      <c r="T32" s="91"/>
      <c r="U32" s="91"/>
      <c r="V32" s="91"/>
      <c r="W32" s="91"/>
      <c r="X32" s="91"/>
      <c r="Y32" s="91"/>
      <c r="Z32" s="91"/>
      <c r="AA32" s="91"/>
      <c r="AB32" s="91"/>
      <c r="AC32" s="87">
        <f t="shared" si="36"/>
        <v>78.69</v>
      </c>
      <c r="AD32" s="2730"/>
      <c r="AE32" s="2730"/>
      <c r="AF32" s="2730">
        <v>78.69</v>
      </c>
      <c r="AG32" s="2730"/>
      <c r="AH32" s="2730"/>
      <c r="AI32" s="2730"/>
      <c r="AJ32" s="2730"/>
      <c r="AK32" s="2730"/>
      <c r="AL32" s="2730"/>
      <c r="AM32" s="2730"/>
      <c r="AN32" s="2730"/>
      <c r="AO32" s="92"/>
      <c r="AP32" s="92"/>
      <c r="AQ32" s="92"/>
      <c r="AR32" s="92"/>
      <c r="AS32" s="92"/>
      <c r="AT32" s="93"/>
      <c r="AU32" s="94"/>
      <c r="AV32" s="1890">
        <f t="shared" si="37"/>
        <v>0</v>
      </c>
      <c r="AW32" s="1890" t="str">
        <f t="shared" si="38"/>
        <v>2层</v>
      </c>
      <c r="AX32" s="1890" t="str">
        <f t="shared" si="39"/>
        <v>20号楼</v>
      </c>
      <c r="AY32" s="95">
        <f t="shared" si="40"/>
        <v>256.02999999999997</v>
      </c>
      <c r="AZ32" s="87">
        <f t="shared" si="41"/>
        <v>736.83999999999992</v>
      </c>
      <c r="BA32" s="87">
        <f t="shared" si="42"/>
        <v>658.15</v>
      </c>
      <c r="BB32" s="87">
        <f t="shared" si="43"/>
        <v>0</v>
      </c>
      <c r="BC32" s="87">
        <f t="shared" si="44"/>
        <v>0</v>
      </c>
      <c r="BD32" s="87">
        <f t="shared" si="45"/>
        <v>658.15</v>
      </c>
      <c r="BE32" s="87">
        <f t="shared" si="46"/>
        <v>0</v>
      </c>
      <c r="BF32" s="87">
        <f t="shared" si="47"/>
        <v>0</v>
      </c>
      <c r="BG32" s="87">
        <f t="shared" si="48"/>
        <v>0</v>
      </c>
      <c r="BH32" s="87">
        <f t="shared" si="49"/>
        <v>0</v>
      </c>
      <c r="BI32" s="87">
        <f t="shared" si="50"/>
        <v>0</v>
      </c>
      <c r="BJ32" s="87">
        <f t="shared" si="51"/>
        <v>0</v>
      </c>
      <c r="BK32" s="87">
        <f t="shared" si="52"/>
        <v>0</v>
      </c>
      <c r="BL32" s="87">
        <f t="shared" si="53"/>
        <v>78.69</v>
      </c>
      <c r="BM32" s="87">
        <f t="shared" si="54"/>
        <v>0</v>
      </c>
      <c r="BN32" s="87">
        <f t="shared" si="55"/>
        <v>78.69</v>
      </c>
      <c r="BO32" s="87">
        <f t="shared" si="56"/>
        <v>0</v>
      </c>
      <c r="BP32" s="87">
        <f t="shared" si="57"/>
        <v>0</v>
      </c>
      <c r="BQ32" s="87">
        <f t="shared" si="58"/>
        <v>0</v>
      </c>
      <c r="BR32" s="87">
        <f t="shared" si="59"/>
        <v>0</v>
      </c>
      <c r="BS32" s="87">
        <f t="shared" si="60"/>
        <v>0</v>
      </c>
      <c r="BT32" s="96">
        <f t="shared" si="61"/>
        <v>0</v>
      </c>
    </row>
    <row r="33" spans="1:72">
      <c r="A33" s="84"/>
      <c r="B33" s="2724" t="s">
        <v>3052</v>
      </c>
      <c r="C33" s="3313" t="s">
        <v>3042</v>
      </c>
      <c r="D33" s="2725" t="s">
        <v>1668</v>
      </c>
      <c r="E33" s="87">
        <f t="shared" si="33"/>
        <v>982.74</v>
      </c>
      <c r="F33" s="88"/>
      <c r="G33" s="89">
        <f t="shared" si="34"/>
        <v>2828.31</v>
      </c>
      <c r="H33" s="90">
        <f t="shared" si="35"/>
        <v>1953.79</v>
      </c>
      <c r="I33" s="2726"/>
      <c r="J33" s="2726"/>
      <c r="K33" s="2726"/>
      <c r="L33" s="2726"/>
      <c r="M33" s="2726">
        <v>1953.79</v>
      </c>
      <c r="N33" s="2726"/>
      <c r="O33" s="2726"/>
      <c r="P33" s="91"/>
      <c r="Q33" s="91"/>
      <c r="R33" s="91"/>
      <c r="S33" s="91"/>
      <c r="T33" s="91"/>
      <c r="U33" s="91"/>
      <c r="V33" s="91"/>
      <c r="W33" s="91"/>
      <c r="X33" s="91"/>
      <c r="Y33" s="91"/>
      <c r="Z33" s="91"/>
      <c r="AA33" s="91"/>
      <c r="AB33" s="91"/>
      <c r="AC33" s="87">
        <f t="shared" si="36"/>
        <v>874.52</v>
      </c>
      <c r="AD33" s="2730">
        <f>47.73+428.76+161.6</f>
        <v>638.09</v>
      </c>
      <c r="AE33" s="2730"/>
      <c r="AF33" s="2730"/>
      <c r="AG33" s="2730"/>
      <c r="AH33" s="2730">
        <v>236.43</v>
      </c>
      <c r="AI33" s="2730"/>
      <c r="AJ33" s="2730"/>
      <c r="AK33" s="2730"/>
      <c r="AL33" s="2730"/>
      <c r="AM33" s="2730"/>
      <c r="AN33" s="2730"/>
      <c r="AO33" s="92"/>
      <c r="AP33" s="92"/>
      <c r="AQ33" s="92"/>
      <c r="AR33" s="92"/>
      <c r="AS33" s="92"/>
      <c r="AT33" s="93"/>
      <c r="AU33" s="94"/>
      <c r="AV33" s="1890">
        <f t="shared" si="37"/>
        <v>0</v>
      </c>
      <c r="AW33" s="1890" t="str">
        <f t="shared" si="38"/>
        <v>2层</v>
      </c>
      <c r="AX33" s="1890" t="str">
        <f t="shared" si="39"/>
        <v>21号楼</v>
      </c>
      <c r="AY33" s="95">
        <f t="shared" si="40"/>
        <v>982.74</v>
      </c>
      <c r="AZ33" s="87">
        <f t="shared" si="41"/>
        <v>2828.31</v>
      </c>
      <c r="BA33" s="87">
        <f t="shared" si="42"/>
        <v>1953.79</v>
      </c>
      <c r="BB33" s="87">
        <f t="shared" si="43"/>
        <v>0</v>
      </c>
      <c r="BC33" s="87">
        <f t="shared" si="44"/>
        <v>0</v>
      </c>
      <c r="BD33" s="87">
        <f t="shared" si="45"/>
        <v>1953.79</v>
      </c>
      <c r="BE33" s="87">
        <f t="shared" si="46"/>
        <v>0</v>
      </c>
      <c r="BF33" s="87">
        <f t="shared" si="47"/>
        <v>0</v>
      </c>
      <c r="BG33" s="87">
        <f t="shared" si="48"/>
        <v>0</v>
      </c>
      <c r="BH33" s="87">
        <f t="shared" si="49"/>
        <v>0</v>
      </c>
      <c r="BI33" s="87">
        <f t="shared" si="50"/>
        <v>0</v>
      </c>
      <c r="BJ33" s="87">
        <f t="shared" si="51"/>
        <v>0</v>
      </c>
      <c r="BK33" s="87">
        <f t="shared" si="52"/>
        <v>0</v>
      </c>
      <c r="BL33" s="87">
        <f t="shared" si="53"/>
        <v>874.52</v>
      </c>
      <c r="BM33" s="87">
        <f t="shared" si="54"/>
        <v>638.09</v>
      </c>
      <c r="BN33" s="87">
        <f t="shared" si="55"/>
        <v>0</v>
      </c>
      <c r="BO33" s="87">
        <f t="shared" si="56"/>
        <v>236.43</v>
      </c>
      <c r="BP33" s="87">
        <f t="shared" si="57"/>
        <v>0</v>
      </c>
      <c r="BQ33" s="87">
        <f t="shared" si="58"/>
        <v>0</v>
      </c>
      <c r="BR33" s="87">
        <f t="shared" si="59"/>
        <v>0</v>
      </c>
      <c r="BS33" s="87">
        <f t="shared" si="60"/>
        <v>0</v>
      </c>
      <c r="BT33" s="96">
        <f t="shared" si="61"/>
        <v>0</v>
      </c>
    </row>
    <row r="34" spans="1:72">
      <c r="A34" s="84"/>
      <c r="B34" s="2724" t="s">
        <v>3053</v>
      </c>
      <c r="C34" s="3313" t="s">
        <v>3043</v>
      </c>
      <c r="D34" s="2725" t="s">
        <v>1668</v>
      </c>
      <c r="E34" s="87">
        <f t="shared" si="33"/>
        <v>1149.19</v>
      </c>
      <c r="F34" s="88"/>
      <c r="G34" s="89">
        <f t="shared" si="34"/>
        <v>3307.35</v>
      </c>
      <c r="H34" s="90">
        <f t="shared" si="35"/>
        <v>2227.85</v>
      </c>
      <c r="I34" s="2726"/>
      <c r="J34" s="2726"/>
      <c r="K34" s="2726"/>
      <c r="L34" s="2726"/>
      <c r="M34" s="2726">
        <v>2227.85</v>
      </c>
      <c r="N34" s="2726"/>
      <c r="O34" s="2726"/>
      <c r="P34" s="91"/>
      <c r="Q34" s="91"/>
      <c r="R34" s="91"/>
      <c r="S34" s="91"/>
      <c r="T34" s="91"/>
      <c r="U34" s="91"/>
      <c r="V34" s="91"/>
      <c r="W34" s="91"/>
      <c r="X34" s="91"/>
      <c r="Y34" s="91"/>
      <c r="Z34" s="91"/>
      <c r="AA34" s="91"/>
      <c r="AB34" s="91"/>
      <c r="AC34" s="87">
        <f t="shared" si="36"/>
        <v>1079.5</v>
      </c>
      <c r="AD34" s="2730">
        <v>1079.5</v>
      </c>
      <c r="AE34" s="2730"/>
      <c r="AF34" s="2730"/>
      <c r="AG34" s="2730"/>
      <c r="AH34" s="2730"/>
      <c r="AI34" s="2730"/>
      <c r="AJ34" s="2730"/>
      <c r="AK34" s="2730"/>
      <c r="AL34" s="2730"/>
      <c r="AM34" s="2730"/>
      <c r="AN34" s="2730"/>
      <c r="AO34" s="92"/>
      <c r="AP34" s="92"/>
      <c r="AQ34" s="92"/>
      <c r="AR34" s="92"/>
      <c r="AS34" s="92"/>
      <c r="AT34" s="93"/>
      <c r="AU34" s="94"/>
      <c r="AV34" s="1890">
        <f t="shared" si="37"/>
        <v>0</v>
      </c>
      <c r="AW34" s="1890" t="str">
        <f t="shared" si="38"/>
        <v>3层</v>
      </c>
      <c r="AX34" s="1890" t="str">
        <f t="shared" si="39"/>
        <v>22号楼</v>
      </c>
      <c r="AY34" s="95">
        <f t="shared" si="40"/>
        <v>1149.19</v>
      </c>
      <c r="AZ34" s="87">
        <f t="shared" si="41"/>
        <v>3307.35</v>
      </c>
      <c r="BA34" s="87">
        <f t="shared" si="42"/>
        <v>2227.85</v>
      </c>
      <c r="BB34" s="87">
        <f t="shared" si="43"/>
        <v>0</v>
      </c>
      <c r="BC34" s="87">
        <f t="shared" si="44"/>
        <v>0</v>
      </c>
      <c r="BD34" s="87">
        <f t="shared" si="45"/>
        <v>2227.85</v>
      </c>
      <c r="BE34" s="87">
        <f t="shared" si="46"/>
        <v>0</v>
      </c>
      <c r="BF34" s="87">
        <f t="shared" si="47"/>
        <v>0</v>
      </c>
      <c r="BG34" s="87">
        <f t="shared" si="48"/>
        <v>0</v>
      </c>
      <c r="BH34" s="87">
        <f t="shared" si="49"/>
        <v>0</v>
      </c>
      <c r="BI34" s="87">
        <f t="shared" si="50"/>
        <v>0</v>
      </c>
      <c r="BJ34" s="87">
        <f t="shared" si="51"/>
        <v>0</v>
      </c>
      <c r="BK34" s="87">
        <f t="shared" si="52"/>
        <v>0</v>
      </c>
      <c r="BL34" s="87">
        <f t="shared" si="53"/>
        <v>1079.5</v>
      </c>
      <c r="BM34" s="87">
        <f t="shared" si="54"/>
        <v>1079.5</v>
      </c>
      <c r="BN34" s="87">
        <f t="shared" si="55"/>
        <v>0</v>
      </c>
      <c r="BO34" s="87">
        <f t="shared" si="56"/>
        <v>0</v>
      </c>
      <c r="BP34" s="87">
        <f t="shared" si="57"/>
        <v>0</v>
      </c>
      <c r="BQ34" s="87">
        <f t="shared" si="58"/>
        <v>0</v>
      </c>
      <c r="BR34" s="87">
        <f t="shared" si="59"/>
        <v>0</v>
      </c>
      <c r="BS34" s="87">
        <f t="shared" si="60"/>
        <v>0</v>
      </c>
      <c r="BT34" s="96">
        <f t="shared" si="61"/>
        <v>0</v>
      </c>
    </row>
    <row r="35" spans="1:72">
      <c r="A35" s="84"/>
      <c r="B35" s="2724" t="s">
        <v>3054</v>
      </c>
      <c r="C35" s="3313" t="s">
        <v>3044</v>
      </c>
      <c r="D35" s="2725" t="s">
        <v>1668</v>
      </c>
      <c r="E35" s="87">
        <f t="shared" si="33"/>
        <v>29.9</v>
      </c>
      <c r="F35" s="88"/>
      <c r="G35" s="89">
        <f t="shared" si="34"/>
        <v>86.05</v>
      </c>
      <c r="H35" s="90">
        <f t="shared" si="35"/>
        <v>0</v>
      </c>
      <c r="I35" s="2726"/>
      <c r="J35" s="2726"/>
      <c r="K35" s="2726"/>
      <c r="L35" s="2726"/>
      <c r="M35" s="2726"/>
      <c r="N35" s="2726"/>
      <c r="O35" s="2726"/>
      <c r="P35" s="91"/>
      <c r="Q35" s="91"/>
      <c r="R35" s="91"/>
      <c r="S35" s="91"/>
      <c r="T35" s="91"/>
      <c r="U35" s="91"/>
      <c r="V35" s="91"/>
      <c r="W35" s="91"/>
      <c r="X35" s="91"/>
      <c r="Y35" s="91"/>
      <c r="Z35" s="91"/>
      <c r="AA35" s="91"/>
      <c r="AB35" s="91"/>
      <c r="AC35" s="87">
        <f t="shared" si="36"/>
        <v>86.05</v>
      </c>
      <c r="AD35" s="2730"/>
      <c r="AE35" s="2730"/>
      <c r="AF35" s="2730"/>
      <c r="AG35" s="2730"/>
      <c r="AH35" s="2730"/>
      <c r="AI35" s="2730"/>
      <c r="AJ35" s="2730"/>
      <c r="AK35" s="2730"/>
      <c r="AL35" s="2730">
        <v>86.05</v>
      </c>
      <c r="AM35" s="2730"/>
      <c r="AN35" s="2730"/>
      <c r="AO35" s="92"/>
      <c r="AP35" s="92"/>
      <c r="AQ35" s="92"/>
      <c r="AR35" s="92"/>
      <c r="AS35" s="92"/>
      <c r="AT35" s="93"/>
      <c r="AU35" s="94"/>
      <c r="AV35" s="1890">
        <f t="shared" si="37"/>
        <v>0</v>
      </c>
      <c r="AW35" s="1890" t="str">
        <f t="shared" si="38"/>
        <v>1层</v>
      </c>
      <c r="AX35" s="1890" t="str">
        <f t="shared" si="39"/>
        <v>23号楼</v>
      </c>
      <c r="AY35" s="95">
        <f t="shared" si="40"/>
        <v>29.9</v>
      </c>
      <c r="AZ35" s="87">
        <f t="shared" si="41"/>
        <v>86.05</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86.05</v>
      </c>
      <c r="BM35" s="87">
        <f t="shared" si="54"/>
        <v>0</v>
      </c>
      <c r="BN35" s="87">
        <f t="shared" si="55"/>
        <v>0</v>
      </c>
      <c r="BO35" s="87">
        <f t="shared" si="56"/>
        <v>0</v>
      </c>
      <c r="BP35" s="87">
        <f t="shared" si="57"/>
        <v>0</v>
      </c>
      <c r="BQ35" s="87">
        <f t="shared" si="58"/>
        <v>86.05</v>
      </c>
      <c r="BR35" s="87">
        <f t="shared" si="59"/>
        <v>0</v>
      </c>
      <c r="BS35" s="87">
        <f t="shared" si="60"/>
        <v>0</v>
      </c>
      <c r="BT35" s="96">
        <f t="shared" si="61"/>
        <v>0</v>
      </c>
    </row>
    <row r="36" spans="1:72">
      <c r="A36" s="84"/>
      <c r="B36" s="2724" t="s">
        <v>3053</v>
      </c>
      <c r="C36" s="3313" t="s">
        <v>3045</v>
      </c>
      <c r="D36" s="2725" t="s">
        <v>1668</v>
      </c>
      <c r="E36" s="87">
        <f t="shared" si="33"/>
        <v>72.63</v>
      </c>
      <c r="F36" s="88"/>
      <c r="G36" s="89">
        <f t="shared" si="34"/>
        <v>209.04000000000002</v>
      </c>
      <c r="H36" s="90">
        <f t="shared" si="35"/>
        <v>0</v>
      </c>
      <c r="I36" s="2726"/>
      <c r="J36" s="2726"/>
      <c r="K36" s="2726"/>
      <c r="L36" s="2726"/>
      <c r="M36" s="2726"/>
      <c r="N36" s="2726"/>
      <c r="O36" s="2726"/>
      <c r="P36" s="91"/>
      <c r="Q36" s="91"/>
      <c r="R36" s="91"/>
      <c r="S36" s="91"/>
      <c r="T36" s="91"/>
      <c r="U36" s="91"/>
      <c r="V36" s="91"/>
      <c r="W36" s="91"/>
      <c r="X36" s="91"/>
      <c r="Y36" s="91"/>
      <c r="Z36" s="91"/>
      <c r="AA36" s="91"/>
      <c r="AB36" s="91"/>
      <c r="AC36" s="87">
        <f t="shared" si="36"/>
        <v>209.04000000000002</v>
      </c>
      <c r="AD36" s="2730">
        <f>110.62+98.42</f>
        <v>209.04000000000002</v>
      </c>
      <c r="AE36" s="2730"/>
      <c r="AF36" s="2730"/>
      <c r="AG36" s="2730"/>
      <c r="AH36" s="2730"/>
      <c r="AI36" s="2730"/>
      <c r="AJ36" s="2730"/>
      <c r="AK36" s="2730"/>
      <c r="AL36" s="2730"/>
      <c r="AM36" s="2730"/>
      <c r="AN36" s="2730"/>
      <c r="AO36" s="92"/>
      <c r="AP36" s="92"/>
      <c r="AQ36" s="92"/>
      <c r="AR36" s="92"/>
      <c r="AS36" s="92"/>
      <c r="AT36" s="93"/>
      <c r="AU36" s="94"/>
      <c r="AV36" s="1890">
        <f t="shared" si="37"/>
        <v>0</v>
      </c>
      <c r="AW36" s="1890" t="str">
        <f t="shared" si="38"/>
        <v>3层</v>
      </c>
      <c r="AX36" s="1890" t="str">
        <f t="shared" si="39"/>
        <v>24号楼</v>
      </c>
      <c r="AY36" s="95">
        <f t="shared" si="40"/>
        <v>72.63</v>
      </c>
      <c r="AZ36" s="87">
        <f t="shared" si="41"/>
        <v>209.04000000000002</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209.04000000000002</v>
      </c>
      <c r="BM36" s="87">
        <f t="shared" si="54"/>
        <v>209.04000000000002</v>
      </c>
      <c r="BN36" s="87">
        <f t="shared" si="55"/>
        <v>0</v>
      </c>
      <c r="BO36" s="87">
        <f t="shared" si="56"/>
        <v>0</v>
      </c>
      <c r="BP36" s="87">
        <f t="shared" si="57"/>
        <v>0</v>
      </c>
      <c r="BQ36" s="87">
        <f t="shared" si="58"/>
        <v>0</v>
      </c>
      <c r="BR36" s="87">
        <f t="shared" si="59"/>
        <v>0</v>
      </c>
      <c r="BS36" s="87">
        <f t="shared" si="60"/>
        <v>0</v>
      </c>
      <c r="BT36" s="96">
        <f t="shared" si="61"/>
        <v>0</v>
      </c>
    </row>
    <row r="37" spans="1:72">
      <c r="A37" s="84"/>
      <c r="B37" s="2724"/>
      <c r="C37" s="3313" t="s">
        <v>3055</v>
      </c>
      <c r="D37" s="2725" t="s">
        <v>1668</v>
      </c>
      <c r="E37" s="87">
        <f t="shared" si="33"/>
        <v>13941.24</v>
      </c>
      <c r="F37" s="88"/>
      <c r="G37" s="89">
        <f t="shared" si="34"/>
        <v>40122.82</v>
      </c>
      <c r="H37" s="90">
        <f t="shared" si="35"/>
        <v>38058.699999999997</v>
      </c>
      <c r="I37" s="2726"/>
      <c r="J37" s="2726"/>
      <c r="K37" s="2726"/>
      <c r="L37" s="2726"/>
      <c r="M37" s="2726"/>
      <c r="N37" s="2726"/>
      <c r="O37" s="2726">
        <v>38058.699999999997</v>
      </c>
      <c r="P37" s="91"/>
      <c r="Q37" s="91"/>
      <c r="R37" s="91"/>
      <c r="S37" s="91"/>
      <c r="T37" s="91"/>
      <c r="U37" s="91"/>
      <c r="V37" s="91"/>
      <c r="W37" s="91"/>
      <c r="X37" s="91"/>
      <c r="Y37" s="91"/>
      <c r="Z37" s="91"/>
      <c r="AA37" s="91"/>
      <c r="AB37" s="91"/>
      <c r="AC37" s="87">
        <f t="shared" si="36"/>
        <v>2064.12</v>
      </c>
      <c r="AD37" s="2730"/>
      <c r="AE37" s="2730"/>
      <c r="AF37" s="2730">
        <f>677.63+127.95</f>
        <v>805.58</v>
      </c>
      <c r="AG37" s="2730"/>
      <c r="AH37" s="2730"/>
      <c r="AI37" s="2730"/>
      <c r="AJ37" s="2730">
        <v>203.63</v>
      </c>
      <c r="AK37" s="2730"/>
      <c r="AL37" s="2730"/>
      <c r="AM37" s="2730"/>
      <c r="AN37" s="2730">
        <v>1054.9100000000001</v>
      </c>
      <c r="AO37" s="92"/>
      <c r="AP37" s="92"/>
      <c r="AQ37" s="92"/>
      <c r="AR37" s="92"/>
      <c r="AS37" s="92"/>
      <c r="AT37" s="93"/>
      <c r="AU37" s="94"/>
      <c r="AV37" s="1890">
        <f t="shared" si="37"/>
        <v>0</v>
      </c>
      <c r="AW37" s="1890">
        <f t="shared" si="38"/>
        <v>0</v>
      </c>
      <c r="AX37" s="1890" t="str">
        <f t="shared" si="39"/>
        <v>地下室</v>
      </c>
      <c r="AY37" s="95">
        <f t="shared" si="40"/>
        <v>13941.24</v>
      </c>
      <c r="AZ37" s="87">
        <f t="shared" si="41"/>
        <v>40122.82</v>
      </c>
      <c r="BA37" s="87">
        <f t="shared" si="42"/>
        <v>38058.699999999997</v>
      </c>
      <c r="BB37" s="87">
        <f t="shared" si="43"/>
        <v>0</v>
      </c>
      <c r="BC37" s="87">
        <f t="shared" si="44"/>
        <v>0</v>
      </c>
      <c r="BD37" s="87">
        <f t="shared" si="45"/>
        <v>0</v>
      </c>
      <c r="BE37" s="87">
        <f t="shared" si="46"/>
        <v>38058.699999999997</v>
      </c>
      <c r="BF37" s="87">
        <f t="shared" si="47"/>
        <v>0</v>
      </c>
      <c r="BG37" s="87">
        <f t="shared" si="48"/>
        <v>0</v>
      </c>
      <c r="BH37" s="87">
        <f t="shared" si="49"/>
        <v>0</v>
      </c>
      <c r="BI37" s="87">
        <f t="shared" si="50"/>
        <v>0</v>
      </c>
      <c r="BJ37" s="87">
        <f t="shared" si="51"/>
        <v>0</v>
      </c>
      <c r="BK37" s="87">
        <f t="shared" si="52"/>
        <v>0</v>
      </c>
      <c r="BL37" s="87">
        <f t="shared" si="53"/>
        <v>2064.12</v>
      </c>
      <c r="BM37" s="87">
        <f t="shared" si="54"/>
        <v>0</v>
      </c>
      <c r="BN37" s="87">
        <f t="shared" si="55"/>
        <v>805.58</v>
      </c>
      <c r="BO37" s="87">
        <f t="shared" si="56"/>
        <v>0</v>
      </c>
      <c r="BP37" s="87">
        <f t="shared" si="57"/>
        <v>203.63</v>
      </c>
      <c r="BQ37" s="87">
        <f t="shared" si="58"/>
        <v>0</v>
      </c>
      <c r="BR37" s="87">
        <f t="shared" si="59"/>
        <v>1054.9100000000001</v>
      </c>
      <c r="BS37" s="87">
        <f t="shared" si="60"/>
        <v>0</v>
      </c>
      <c r="BT37" s="96">
        <f t="shared" si="61"/>
        <v>0</v>
      </c>
    </row>
    <row r="38" spans="1:72">
      <c r="A38" s="3286" t="s">
        <v>3059</v>
      </c>
      <c r="B38" s="1340"/>
      <c r="C38" s="1341"/>
      <c r="D38" s="80"/>
      <c r="E38" s="87">
        <f t="shared" si="33"/>
        <v>0</v>
      </c>
      <c r="F38" s="88"/>
      <c r="G38" s="89">
        <f t="shared" si="34"/>
        <v>0</v>
      </c>
      <c r="H38" s="90">
        <f t="shared" si="35"/>
        <v>0</v>
      </c>
      <c r="I38" s="2726"/>
      <c r="J38" s="2726"/>
      <c r="K38" s="2726"/>
      <c r="L38" s="2726"/>
      <c r="M38" s="2726"/>
      <c r="N38" s="2726"/>
      <c r="O38" s="2726"/>
      <c r="P38" s="91"/>
      <c r="Q38" s="91"/>
      <c r="R38" s="91"/>
      <c r="S38" s="91"/>
      <c r="T38" s="91"/>
      <c r="U38" s="91"/>
      <c r="V38" s="91"/>
      <c r="W38" s="91"/>
      <c r="X38" s="91"/>
      <c r="Y38" s="91"/>
      <c r="Z38" s="91"/>
      <c r="AA38" s="91"/>
      <c r="AB38" s="91"/>
      <c r="AC38" s="87">
        <f t="shared" si="36"/>
        <v>0</v>
      </c>
      <c r="AD38" s="2730"/>
      <c r="AE38" s="2730"/>
      <c r="AF38" s="2730"/>
      <c r="AG38" s="2730"/>
      <c r="AH38" s="2730"/>
      <c r="AI38" s="2730"/>
      <c r="AJ38" s="2730"/>
      <c r="AK38" s="2730"/>
      <c r="AL38" s="2730"/>
      <c r="AM38" s="2730"/>
      <c r="AN38" s="2730"/>
      <c r="AO38" s="92"/>
      <c r="AP38" s="92"/>
      <c r="AQ38" s="92"/>
      <c r="AR38" s="92"/>
      <c r="AS38" s="92"/>
      <c r="AT38" s="93"/>
      <c r="AU38" s="94"/>
      <c r="AV38" s="1890" t="str">
        <f t="shared" si="37"/>
        <v>规证合计</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f>106504.11+65528.75</f>
        <v>172032.86</v>
      </c>
      <c r="B39" s="1340"/>
      <c r="C39" s="1341"/>
      <c r="D39" s="80"/>
      <c r="E39" s="87">
        <f t="shared" si="33"/>
        <v>0</v>
      </c>
      <c r="F39" s="88"/>
      <c r="G39" s="89">
        <f t="shared" si="34"/>
        <v>0</v>
      </c>
      <c r="H39" s="90">
        <f t="shared" si="35"/>
        <v>0</v>
      </c>
      <c r="I39" s="2726"/>
      <c r="J39" s="2726"/>
      <c r="K39" s="2726"/>
      <c r="L39" s="2726"/>
      <c r="M39" s="2726"/>
      <c r="N39" s="2726"/>
      <c r="O39" s="2726"/>
      <c r="P39" s="91"/>
      <c r="Q39" s="91"/>
      <c r="R39" s="91"/>
      <c r="S39" s="91"/>
      <c r="T39" s="91"/>
      <c r="U39" s="91"/>
      <c r="V39" s="91"/>
      <c r="W39" s="91"/>
      <c r="X39" s="91"/>
      <c r="Y39" s="91"/>
      <c r="Z39" s="91"/>
      <c r="AA39" s="91"/>
      <c r="AB39" s="91"/>
      <c r="AC39" s="87">
        <f t="shared" si="36"/>
        <v>0</v>
      </c>
      <c r="AD39" s="2730"/>
      <c r="AE39" s="2730"/>
      <c r="AF39" s="2730"/>
      <c r="AG39" s="2730"/>
      <c r="AH39" s="2730"/>
      <c r="AI39" s="2730"/>
      <c r="AJ39" s="2730"/>
      <c r="AK39" s="2730"/>
      <c r="AL39" s="2730"/>
      <c r="AM39" s="2730"/>
      <c r="AN39" s="2730"/>
      <c r="AO39" s="92"/>
      <c r="AP39" s="92"/>
      <c r="AQ39" s="92"/>
      <c r="AR39" s="92"/>
      <c r="AS39" s="92"/>
      <c r="AT39" s="93"/>
      <c r="AU39" s="94"/>
      <c r="AV39" s="1890">
        <f t="shared" si="37"/>
        <v>172032.86</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2726"/>
      <c r="J40" s="2726"/>
      <c r="K40" s="2726"/>
      <c r="L40" s="2726"/>
      <c r="M40" s="2726"/>
      <c r="N40" s="2726"/>
      <c r="O40" s="2726"/>
      <c r="P40" s="91"/>
      <c r="Q40" s="91"/>
      <c r="R40" s="91"/>
      <c r="S40" s="91"/>
      <c r="T40" s="91"/>
      <c r="U40" s="91"/>
      <c r="V40" s="91"/>
      <c r="W40" s="91"/>
      <c r="X40" s="91"/>
      <c r="Y40" s="91"/>
      <c r="Z40" s="91"/>
      <c r="AA40" s="91"/>
      <c r="AB40" s="91"/>
      <c r="AC40" s="87">
        <f t="shared" si="36"/>
        <v>0</v>
      </c>
      <c r="AD40" s="2730"/>
      <c r="AE40" s="2730"/>
      <c r="AF40" s="2730"/>
      <c r="AG40" s="2730"/>
      <c r="AH40" s="2730"/>
      <c r="AI40" s="2730"/>
      <c r="AJ40" s="2730"/>
      <c r="AK40" s="2730"/>
      <c r="AL40" s="2730"/>
      <c r="AM40" s="2730"/>
      <c r="AN40" s="2730"/>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3301" t="s">
        <v>3514</v>
      </c>
      <c r="B41" s="1340" t="s">
        <v>3515</v>
      </c>
      <c r="C41" s="1341"/>
      <c r="D41" s="80"/>
      <c r="E41" s="87">
        <f t="shared" si="33"/>
        <v>0</v>
      </c>
      <c r="F41" s="88"/>
      <c r="G41" s="89">
        <f t="shared" si="34"/>
        <v>0</v>
      </c>
      <c r="H41" s="90">
        <f t="shared" si="35"/>
        <v>0</v>
      </c>
      <c r="I41" s="2726"/>
      <c r="J41" s="2726"/>
      <c r="K41" s="2726"/>
      <c r="L41" s="2726"/>
      <c r="M41" s="2726"/>
      <c r="N41" s="2726"/>
      <c r="O41" s="2726"/>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0" t="str">
        <f t="shared" si="37"/>
        <v>类型</v>
      </c>
      <c r="AW41" s="1890" t="str">
        <f t="shared" si="38"/>
        <v>售价</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3286" t="s">
        <v>3516</v>
      </c>
      <c r="B42" s="1340">
        <v>7600</v>
      </c>
      <c r="C42" s="1341"/>
      <c r="D42" s="80"/>
      <c r="E42" s="87">
        <f t="shared" si="33"/>
        <v>0</v>
      </c>
      <c r="F42" s="88"/>
      <c r="G42" s="89">
        <f t="shared" si="34"/>
        <v>0</v>
      </c>
      <c r="H42" s="90">
        <f t="shared" si="35"/>
        <v>0</v>
      </c>
      <c r="I42" s="2726"/>
      <c r="J42" s="2726"/>
      <c r="K42" s="2726"/>
      <c r="L42" s="2726"/>
      <c r="M42" s="2726"/>
      <c r="N42" s="2726"/>
      <c r="O42" s="2726"/>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0" t="str">
        <f t="shared" si="37"/>
        <v>高层</v>
      </c>
      <c r="AW42" s="1890">
        <f t="shared" si="38"/>
        <v>7600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3286" t="s">
        <v>3517</v>
      </c>
      <c r="B43" s="1340">
        <v>9000</v>
      </c>
      <c r="C43" s="1341"/>
      <c r="D43" s="80"/>
      <c r="E43" s="87">
        <f t="shared" si="33"/>
        <v>0</v>
      </c>
      <c r="F43" s="88"/>
      <c r="G43" s="89">
        <f t="shared" si="34"/>
        <v>0</v>
      </c>
      <c r="H43" s="90">
        <f t="shared" si="35"/>
        <v>0</v>
      </c>
      <c r="I43" s="2726"/>
      <c r="J43" s="2726"/>
      <c r="K43" s="2726"/>
      <c r="L43" s="2726"/>
      <c r="M43" s="2726"/>
      <c r="N43" s="2726"/>
      <c r="O43" s="2726"/>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0" t="str">
        <f t="shared" si="37"/>
        <v>洋房</v>
      </c>
      <c r="AW43" s="1890">
        <f t="shared" si="38"/>
        <v>9000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3286" t="s">
        <v>3518</v>
      </c>
      <c r="B44" s="1340">
        <v>13000</v>
      </c>
      <c r="C44" s="1341"/>
      <c r="D44" s="80"/>
      <c r="E44" s="87">
        <f t="shared" si="33"/>
        <v>0</v>
      </c>
      <c r="F44" s="88"/>
      <c r="G44" s="89">
        <f t="shared" si="34"/>
        <v>0</v>
      </c>
      <c r="H44" s="90">
        <f t="shared" si="35"/>
        <v>0</v>
      </c>
      <c r="I44" s="2726"/>
      <c r="J44" s="2726"/>
      <c r="K44" s="2726"/>
      <c r="L44" s="2726"/>
      <c r="M44" s="2726"/>
      <c r="N44" s="2726"/>
      <c r="O44" s="2726"/>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0" t="str">
        <f t="shared" si="37"/>
        <v>商业</v>
      </c>
      <c r="AW44" s="1890">
        <f t="shared" si="38"/>
        <v>13000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3286" t="s">
        <v>3519</v>
      </c>
      <c r="B45" s="1340" t="s">
        <v>3520</v>
      </c>
      <c r="C45" s="1341"/>
      <c r="D45" s="80"/>
      <c r="E45" s="87">
        <f t="shared" si="33"/>
        <v>0</v>
      </c>
      <c r="F45" s="88"/>
      <c r="G45" s="89">
        <f t="shared" si="34"/>
        <v>0</v>
      </c>
      <c r="H45" s="90">
        <f t="shared" si="35"/>
        <v>0</v>
      </c>
      <c r="I45" s="2726"/>
      <c r="J45" s="2726"/>
      <c r="K45" s="2726"/>
      <c r="L45" s="2726"/>
      <c r="M45" s="2726"/>
      <c r="N45" s="2726"/>
      <c r="O45" s="2726"/>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0" t="str">
        <f t="shared" si="37"/>
        <v>车库</v>
      </c>
      <c r="AW45" s="1890" t="str">
        <f t="shared" si="38"/>
        <v>8万</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9" t="s">
        <v>0</v>
      </c>
      <c r="B1" s="3389" t="s">
        <v>4</v>
      </c>
      <c r="C1" s="3389" t="s">
        <v>5</v>
      </c>
      <c r="D1" s="3390" t="s">
        <v>40</v>
      </c>
      <c r="E1" s="3390" t="s">
        <v>41</v>
      </c>
      <c r="F1" s="3390"/>
      <c r="G1" s="3390"/>
      <c r="H1" s="3390"/>
      <c r="I1" s="3390"/>
      <c r="J1" s="3390"/>
      <c r="K1" s="3390"/>
      <c r="L1" s="3390"/>
      <c r="M1" s="3390"/>
    </row>
    <row r="2" spans="1:13" ht="27" customHeight="1">
      <c r="A2" s="3389"/>
      <c r="B2" s="3389"/>
      <c r="C2" s="3389"/>
      <c r="D2" s="3390"/>
      <c r="E2" s="3390" t="s">
        <v>24</v>
      </c>
      <c r="F2" s="3390" t="s">
        <v>25</v>
      </c>
      <c r="G2" s="3390"/>
      <c r="H2" s="3390"/>
      <c r="I2" s="3390"/>
      <c r="J2" s="3390" t="s">
        <v>26</v>
      </c>
      <c r="K2" s="3390"/>
      <c r="L2" s="3390"/>
      <c r="M2" s="3390"/>
    </row>
    <row r="3" spans="1:13" ht="28.5">
      <c r="A3" s="3389"/>
      <c r="B3" s="3389"/>
      <c r="C3" s="3389"/>
      <c r="D3" s="3390"/>
      <c r="E3" s="33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0" t="s">
        <v>42</v>
      </c>
      <c r="B9" s="3390"/>
      <c r="C9" s="33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115" zoomScaleNormal="70" zoomScaleSheetLayoutView="115" workbookViewId="0">
      <selection activeCell="G31" sqref="E31:G31"/>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201</v>
      </c>
      <c r="B1" s="1895"/>
      <c r="C1" s="1895"/>
      <c r="D1" s="1895"/>
      <c r="E1" s="1895"/>
      <c r="F1" s="1895"/>
      <c r="G1" s="1895"/>
      <c r="H1" s="1895"/>
      <c r="I1" s="1895"/>
      <c r="J1" s="1895"/>
      <c r="K1" s="1895"/>
      <c r="L1" s="1895"/>
      <c r="M1" s="1895"/>
      <c r="N1" s="1895"/>
      <c r="O1" s="1895"/>
      <c r="P1" s="1895"/>
    </row>
    <row r="2" spans="1:16" ht="15">
      <c r="A2" s="3400" t="s">
        <v>202</v>
      </c>
      <c r="B2" s="3400"/>
      <c r="C2" s="3400"/>
      <c r="D2" s="1886" t="s">
        <v>203</v>
      </c>
      <c r="E2" s="106" t="s">
        <v>204</v>
      </c>
      <c r="F2" s="3076"/>
      <c r="G2" s="1180"/>
      <c r="H2" s="1181"/>
      <c r="I2" s="1182" t="s">
        <v>848</v>
      </c>
      <c r="J2" s="3076"/>
      <c r="K2" s="3076"/>
      <c r="L2" s="3076"/>
      <c r="M2" s="3076"/>
      <c r="N2" s="3076"/>
      <c r="O2" s="3076"/>
      <c r="P2" s="3076"/>
    </row>
    <row r="3" spans="1:16" ht="15.75" thickBot="1">
      <c r="A3" s="3401" t="s">
        <v>205</v>
      </c>
      <c r="B3" s="3401"/>
      <c r="C3" s="3401"/>
      <c r="D3" s="107">
        <f>'数据-基础表'!AY6</f>
        <v>59775.26</v>
      </c>
      <c r="E3" s="107">
        <f>'数据-基础表'!AZ5</f>
        <v>172032.86</v>
      </c>
      <c r="F3" s="3076"/>
      <c r="G3" s="277" t="s">
        <v>849</v>
      </c>
      <c r="H3" s="272" t="s">
        <v>850</v>
      </c>
      <c r="I3" s="1887">
        <f>ROUND('数据-基础表'!B3/'数据-基础表'!A3,2)</f>
        <v>2.88</v>
      </c>
      <c r="J3" s="3076"/>
      <c r="K3" s="3076"/>
      <c r="L3" s="3076"/>
      <c r="M3" s="3076"/>
      <c r="N3" s="3076"/>
      <c r="O3" s="3076"/>
      <c r="P3" s="3076"/>
    </row>
    <row r="4" spans="1:16" ht="15">
      <c r="A4" s="3402"/>
      <c r="B4" s="3403"/>
      <c r="C4" s="3404"/>
      <c r="D4" s="108" t="s">
        <v>203</v>
      </c>
      <c r="E4" s="109" t="s">
        <v>204</v>
      </c>
      <c r="F4" s="3076"/>
      <c r="G4" s="1183"/>
      <c r="H4" s="272" t="s">
        <v>851</v>
      </c>
      <c r="I4" s="1887">
        <f>ROUND(SUMIF('数据-基础表'!I9:AS9,"地上",'数据-基础表'!I5:AS5)/'数据-基础表'!A3,2)</f>
        <v>2.21</v>
      </c>
      <c r="J4" s="3076"/>
      <c r="K4" s="3076"/>
      <c r="L4" s="3076"/>
      <c r="M4" s="3076"/>
      <c r="N4" s="3076"/>
      <c r="O4" s="3076"/>
      <c r="P4" s="3076"/>
    </row>
    <row r="5" spans="1:16">
      <c r="A5" s="110" t="s">
        <v>206</v>
      </c>
      <c r="B5" s="3405" t="s">
        <v>229</v>
      </c>
      <c r="C5" s="3405"/>
      <c r="D5" s="111">
        <f>ROUND($D$3*E5/$E$3,2)</f>
        <v>42760.06</v>
      </c>
      <c r="E5" s="112">
        <f>SUMIF('数据-基础表'!$11:$11,"住宅",'数据-基础表'!$5:$5)</f>
        <v>123063.19999999998</v>
      </c>
      <c r="F5" s="3076"/>
      <c r="G5" s="277" t="s">
        <v>852</v>
      </c>
      <c r="H5" s="272" t="s">
        <v>850</v>
      </c>
      <c r="I5" s="1887">
        <f>ROUND(E31/D31,2)</f>
        <v>2.88</v>
      </c>
      <c r="J5" s="3076"/>
      <c r="K5" s="3076"/>
      <c r="L5" s="3076"/>
      <c r="M5" s="3076"/>
      <c r="N5" s="3076"/>
      <c r="O5" s="3076"/>
      <c r="P5" s="3076"/>
    </row>
    <row r="6" spans="1:16" ht="15" thickBot="1">
      <c r="A6" s="113"/>
      <c r="B6" s="3405" t="s">
        <v>207</v>
      </c>
      <c r="C6" s="3405"/>
      <c r="D6" s="111">
        <f>ROUND($D$3*E6/$E$3,2)</f>
        <v>17015.2</v>
      </c>
      <c r="E6" s="112">
        <f>E3-E5</f>
        <v>48969.66</v>
      </c>
      <c r="F6" s="3076"/>
      <c r="G6" s="1183"/>
      <c r="H6" s="272" t="s">
        <v>851</v>
      </c>
      <c r="I6" s="1887">
        <f>ROUND(F31/D31,2)</f>
        <v>2.21</v>
      </c>
      <c r="J6" s="3076"/>
      <c r="K6" s="3076"/>
      <c r="L6" s="3076"/>
      <c r="M6" s="3076"/>
      <c r="N6" s="3076"/>
      <c r="O6" s="3076"/>
      <c r="P6" s="3076"/>
    </row>
    <row r="7" spans="1:16" ht="15">
      <c r="A7" s="3397"/>
      <c r="B7" s="3398"/>
      <c r="C7" s="3399"/>
      <c r="D7" s="108" t="s">
        <v>203</v>
      </c>
      <c r="E7" s="114" t="s">
        <v>230</v>
      </c>
      <c r="F7" s="3076"/>
      <c r="G7" s="1138" t="s">
        <v>1635</v>
      </c>
      <c r="H7" s="1139"/>
      <c r="I7" s="1757">
        <f>ROUND((F19+F20+F21+'数据-基础表'!AL5-SUM('数据-基础表'!AL13:AL22))/'数据-基础表'!A3,2)</f>
        <v>2.16</v>
      </c>
      <c r="J7" s="3076"/>
      <c r="K7" s="3076"/>
      <c r="L7" s="3076"/>
      <c r="M7" s="3076"/>
      <c r="N7" s="3076"/>
      <c r="O7" s="3076"/>
      <c r="P7" s="3076"/>
    </row>
    <row r="8" spans="1:16">
      <c r="A8" s="110" t="s">
        <v>208</v>
      </c>
      <c r="B8" s="115" t="s">
        <v>209</v>
      </c>
      <c r="C8" s="111" t="s">
        <v>210</v>
      </c>
      <c r="D8" s="111">
        <f t="shared" ref="D8:D15" si="0">ROUND($D$3*E8/$E$3,2)</f>
        <v>44910.85</v>
      </c>
      <c r="E8" s="116">
        <f>SUMIF('数据-基础表'!BB10:BK10,"地上",'数据-基础表'!BB5:BK5)</f>
        <v>129253.17999999998</v>
      </c>
      <c r="F8" s="3076"/>
      <c r="G8" s="3077"/>
      <c r="H8" s="3077"/>
      <c r="I8" s="3076"/>
      <c r="J8" s="3076"/>
      <c r="K8" s="3076"/>
      <c r="L8" s="3076"/>
      <c r="M8" s="3076"/>
      <c r="N8" s="3076"/>
      <c r="O8" s="3076"/>
      <c r="P8" s="3076"/>
    </row>
    <row r="9" spans="1:16">
      <c r="A9" s="117"/>
      <c r="B9" s="118"/>
      <c r="C9" s="111" t="s">
        <v>211</v>
      </c>
      <c r="D9" s="111">
        <f t="shared" si="0"/>
        <v>0</v>
      </c>
      <c r="E9" s="119">
        <v>0</v>
      </c>
      <c r="F9" s="3076"/>
      <c r="G9" s="3077"/>
      <c r="H9" s="3077"/>
      <c r="I9" s="3076"/>
      <c r="J9" s="3076"/>
      <c r="K9" s="3076"/>
      <c r="L9" s="3076"/>
      <c r="M9" s="3076"/>
      <c r="N9" s="3076"/>
      <c r="O9" s="3076"/>
      <c r="P9" s="3076"/>
    </row>
    <row r="10" spans="1:16">
      <c r="A10" s="117"/>
      <c r="B10" s="118"/>
      <c r="C10" s="111" t="s">
        <v>212</v>
      </c>
      <c r="D10" s="111">
        <f t="shared" si="0"/>
        <v>0</v>
      </c>
      <c r="E10" s="116">
        <f>SUMPRODUCT(('数据-基础表'!BB10:BK10="地下")*('数据-基础表'!BB11:BK11="商业")*('数据-基础表'!BB5:BK5))</f>
        <v>0</v>
      </c>
      <c r="F10" s="3076"/>
      <c r="G10" s="3077"/>
      <c r="H10" s="3077"/>
      <c r="I10" s="3076"/>
      <c r="J10" s="3076"/>
      <c r="K10" s="3076"/>
      <c r="L10" s="3076"/>
      <c r="M10" s="3076"/>
      <c r="N10" s="3076"/>
      <c r="O10" s="3076"/>
      <c r="P10" s="3076"/>
    </row>
    <row r="11" spans="1:16">
      <c r="A11" s="117"/>
      <c r="B11" s="118"/>
      <c r="C11" s="2208" t="s">
        <v>2314</v>
      </c>
      <c r="D11" s="111">
        <f t="shared" si="0"/>
        <v>70.75</v>
      </c>
      <c r="E11" s="116">
        <f>SUMPRODUCT(('数据-基础表'!BB10:BK10="地下")*('数据-基础表'!BB11:BK11="办公")*('数据-基础表'!BB5:BK5))+'数据-基础表'!AJ5</f>
        <v>203.63</v>
      </c>
      <c r="F11" s="3076"/>
      <c r="G11" s="3077"/>
      <c r="H11" s="3077"/>
      <c r="I11" s="3076"/>
      <c r="J11" s="3076"/>
      <c r="K11" s="3076"/>
      <c r="L11" s="3076"/>
      <c r="M11" s="3076"/>
      <c r="N11" s="3076"/>
      <c r="O11" s="3076"/>
      <c r="P11" s="3076"/>
    </row>
    <row r="12" spans="1:16">
      <c r="A12" s="117"/>
      <c r="B12" s="118"/>
      <c r="C12" s="111" t="s">
        <v>213</v>
      </c>
      <c r="D12" s="111">
        <f t="shared" si="0"/>
        <v>0</v>
      </c>
      <c r="E12" s="116">
        <f>SUMPRODUCT(('数据-基础表'!BB10:BK10="地下")*('数据-基础表'!BB11:BK11="仓储")*('数据-基础表'!BB5:BK5))</f>
        <v>0</v>
      </c>
      <c r="F12" s="3076"/>
      <c r="G12" s="3077"/>
      <c r="H12" s="3077"/>
      <c r="I12" s="3076"/>
      <c r="J12" s="3076"/>
      <c r="K12" s="3076"/>
      <c r="L12" s="3076"/>
      <c r="M12" s="3076"/>
      <c r="N12" s="3076"/>
      <c r="O12" s="3076"/>
      <c r="P12" s="3076"/>
    </row>
    <row r="13" spans="1:16">
      <c r="A13" s="117"/>
      <c r="B13" s="118"/>
      <c r="C13" s="2208" t="s">
        <v>2321</v>
      </c>
      <c r="D13" s="111">
        <f t="shared" si="0"/>
        <v>13224.04</v>
      </c>
      <c r="E13" s="116">
        <f>SUMPRODUCT(('数据-基础表'!BB10:BK10="地下")*('数据-基础表'!BB11:BK11="车库")*('数据-基础表'!BB5:BK5))</f>
        <v>38058.699999999997</v>
      </c>
      <c r="F13" s="3076"/>
      <c r="G13" s="3077"/>
      <c r="H13" s="3077"/>
      <c r="I13" s="3076"/>
      <c r="J13" s="3076"/>
      <c r="K13" s="3076"/>
      <c r="L13" s="3076"/>
      <c r="M13" s="3076"/>
      <c r="N13" s="3076"/>
      <c r="O13" s="3076"/>
      <c r="P13" s="3076"/>
    </row>
    <row r="14" spans="1:16">
      <c r="A14" s="117"/>
      <c r="B14" s="118"/>
      <c r="C14" s="111" t="s">
        <v>231</v>
      </c>
      <c r="D14" s="111">
        <f t="shared" si="0"/>
        <v>0</v>
      </c>
      <c r="E14" s="116">
        <f>SUMPRODUCT(('数据-基础表'!BB10:BK10="地下")*('数据-基础表'!BB11:BK11="车库—商业")*('数据-基础表'!BB5:BK5))</f>
        <v>0</v>
      </c>
      <c r="F14" s="3076"/>
      <c r="G14" s="3077"/>
      <c r="H14" s="3077"/>
      <c r="I14" s="3076"/>
      <c r="J14" s="3076"/>
      <c r="K14" s="3076"/>
      <c r="L14" s="3076"/>
      <c r="M14" s="3076"/>
      <c r="N14" s="3076"/>
      <c r="O14" s="3076"/>
      <c r="P14" s="3076"/>
    </row>
    <row r="15" spans="1:16" ht="15" thickBot="1">
      <c r="A15" s="117"/>
      <c r="B15" s="118"/>
      <c r="C15" s="111" t="s">
        <v>232</v>
      </c>
      <c r="D15" s="111">
        <f t="shared" si="0"/>
        <v>0</v>
      </c>
      <c r="E15" s="116">
        <f>SUMPRODUCT(('数据-基础表'!BB10:BK10="地下")*('数据-基础表'!BB11:BK11="车库—办公")*('数据-基础表'!BB5:BK5))</f>
        <v>0</v>
      </c>
      <c r="F15" s="3076"/>
      <c r="G15" s="3077"/>
      <c r="H15" s="3077"/>
      <c r="I15" s="3076"/>
      <c r="J15" s="3076"/>
      <c r="K15" s="3076"/>
      <c r="L15" s="3076"/>
      <c r="M15" s="3076"/>
      <c r="N15" s="3076"/>
      <c r="O15" s="3076"/>
      <c r="P15" s="3076"/>
    </row>
    <row r="16" spans="1:16" ht="15.75" thickBot="1">
      <c r="A16" s="113"/>
      <c r="B16" s="118"/>
      <c r="C16" s="115" t="s">
        <v>214</v>
      </c>
      <c r="D16" s="115">
        <f>SUM(D8:D15)</f>
        <v>58205.64</v>
      </c>
      <c r="E16" s="120">
        <f>SUM(E8:E15)</f>
        <v>167515.50999999998</v>
      </c>
      <c r="F16" s="3076"/>
      <c r="G16" s="3077"/>
      <c r="H16" s="955" t="s">
        <v>218</v>
      </c>
      <c r="I16" s="956"/>
      <c r="J16" s="1895"/>
      <c r="K16" s="3391" t="s">
        <v>2547</v>
      </c>
      <c r="L16" s="3392"/>
      <c r="M16" s="3392"/>
      <c r="N16" s="3392"/>
      <c r="O16" s="3392"/>
      <c r="P16" s="3393"/>
    </row>
    <row r="17" spans="1:19" ht="15">
      <c r="A17" s="121" t="s">
        <v>215</v>
      </c>
      <c r="B17" s="122" t="s">
        <v>216</v>
      </c>
      <c r="C17" s="2175" t="s">
        <v>2300</v>
      </c>
      <c r="D17" s="108" t="s">
        <v>203</v>
      </c>
      <c r="E17" s="124" t="s">
        <v>204</v>
      </c>
      <c r="F17" s="125"/>
      <c r="G17" s="1317"/>
      <c r="H17" s="957" t="s">
        <v>217</v>
      </c>
      <c r="I17" s="958" t="s">
        <v>2299</v>
      </c>
      <c r="J17" s="1895"/>
      <c r="K17" s="3394" t="s">
        <v>2548</v>
      </c>
      <c r="L17" s="3395"/>
      <c r="M17" s="3396"/>
      <c r="N17" s="3394" t="s">
        <v>2549</v>
      </c>
      <c r="O17" s="3395"/>
      <c r="P17" s="3396"/>
      <c r="R17" s="2176" t="s">
        <v>2298</v>
      </c>
      <c r="S17" s="142"/>
    </row>
    <row r="18" spans="1:19" ht="15">
      <c r="A18" s="117"/>
      <c r="B18" s="128"/>
      <c r="C18" s="129"/>
      <c r="D18" s="2481"/>
      <c r="E18" s="130" t="s">
        <v>219</v>
      </c>
      <c r="F18" s="131" t="s">
        <v>220</v>
      </c>
      <c r="G18" s="1318" t="s">
        <v>221</v>
      </c>
      <c r="H18" s="959" t="s">
        <v>222</v>
      </c>
      <c r="I18" s="960" t="s">
        <v>223</v>
      </c>
      <c r="J18" s="1895"/>
      <c r="K18" s="2446" t="s">
        <v>2550</v>
      </c>
      <c r="L18" s="2447" t="s">
        <v>2551</v>
      </c>
      <c r="M18" s="2448" t="s">
        <v>2552</v>
      </c>
      <c r="N18" s="2446" t="s">
        <v>2550</v>
      </c>
      <c r="O18" s="2447" t="s">
        <v>2551</v>
      </c>
      <c r="P18" s="2448" t="s">
        <v>2552</v>
      </c>
      <c r="R18" s="2177" t="s">
        <v>2296</v>
      </c>
      <c r="S18" s="2177" t="s">
        <v>2297</v>
      </c>
    </row>
    <row r="19" spans="1:19">
      <c r="A19" s="133"/>
      <c r="B19" s="115" t="s">
        <v>224</v>
      </c>
      <c r="C19" s="2733" t="s">
        <v>3061</v>
      </c>
      <c r="D19" s="111">
        <f t="shared" ref="D19:D26" si="1">ROUND($D$3*E19/$E$3,2)</f>
        <v>12642.36</v>
      </c>
      <c r="E19" s="134">
        <f t="shared" ref="E19:E26" si="2">SUM(F19:G19)</f>
        <v>36384.65</v>
      </c>
      <c r="F19" s="3078">
        <f>'数据-基础表'!K5</f>
        <v>36384.65</v>
      </c>
      <c r="G19" s="3079"/>
      <c r="H19" s="961">
        <f>ROUND($D$3*I19/$E$3,2)</f>
        <v>111.08</v>
      </c>
      <c r="I19" s="116">
        <f>IF($I$17="自定义",P19,M19)</f>
        <v>319.68</v>
      </c>
      <c r="J19" s="1895"/>
      <c r="K19" s="2449">
        <f t="shared" ref="K19:K26" si="3">ROUND(E$28*E19/E$27,2)</f>
        <v>319.68</v>
      </c>
      <c r="L19" s="272">
        <f t="shared" ref="L19:L26" si="4">ROUND(IF(COUNTIF(C19,"*住宅*")&gt;0,E$29*E19/E$32,0),2)</f>
        <v>0</v>
      </c>
      <c r="M19" s="2450">
        <f>K19+L19</f>
        <v>319.68</v>
      </c>
      <c r="N19" s="2451"/>
      <c r="O19" s="2452"/>
      <c r="P19" s="2453">
        <f>N19+O19</f>
        <v>0</v>
      </c>
      <c r="R19" s="272">
        <f t="shared" ref="R19:S26" si="5">D19+H19</f>
        <v>12753.44</v>
      </c>
      <c r="S19" s="2178">
        <f t="shared" si="5"/>
        <v>36704.33</v>
      </c>
    </row>
    <row r="20" spans="1:19">
      <c r="A20" s="137"/>
      <c r="B20" s="115" t="s">
        <v>225</v>
      </c>
      <c r="C20" s="2733" t="s">
        <v>3062</v>
      </c>
      <c r="D20" s="111">
        <f t="shared" si="1"/>
        <v>30117.69</v>
      </c>
      <c r="E20" s="134">
        <f t="shared" si="2"/>
        <v>86678.549999999988</v>
      </c>
      <c r="F20" s="3078">
        <f>'数据-基础表'!I5</f>
        <v>86678.549999999988</v>
      </c>
      <c r="G20" s="3079"/>
      <c r="H20" s="961">
        <f t="shared" ref="H20:H26" si="6">ROUND($D$3*I20/$E$3,2)</f>
        <v>264.62</v>
      </c>
      <c r="I20" s="116">
        <f t="shared" ref="I20:I26" si="7">IF($I$17="自定义",P20,M20)</f>
        <v>761.57</v>
      </c>
      <c r="J20" s="1895"/>
      <c r="K20" s="2449">
        <f t="shared" si="3"/>
        <v>761.57</v>
      </c>
      <c r="L20" s="272">
        <f t="shared" si="4"/>
        <v>0</v>
      </c>
      <c r="M20" s="2450">
        <f t="shared" ref="M20:M26" si="8">K20+L20</f>
        <v>761.57</v>
      </c>
      <c r="N20" s="2451"/>
      <c r="O20" s="2452"/>
      <c r="P20" s="2453">
        <f t="shared" ref="P20:P26" si="9">N20+O20</f>
        <v>0</v>
      </c>
      <c r="R20" s="272">
        <f t="shared" si="5"/>
        <v>30382.309999999998</v>
      </c>
      <c r="S20" s="2178">
        <f t="shared" si="5"/>
        <v>87440.12</v>
      </c>
    </row>
    <row r="21" spans="1:19">
      <c r="A21" s="137"/>
      <c r="B21" s="115" t="s">
        <v>225</v>
      </c>
      <c r="C21" s="2733" t="s">
        <v>3063</v>
      </c>
      <c r="D21" s="111">
        <f t="shared" si="1"/>
        <v>2150.8000000000002</v>
      </c>
      <c r="E21" s="134">
        <f t="shared" si="2"/>
        <v>6189.98</v>
      </c>
      <c r="F21" s="3078">
        <f>'数据-基础表'!M5</f>
        <v>6189.98</v>
      </c>
      <c r="G21" s="3079"/>
      <c r="H21" s="961">
        <f t="shared" si="6"/>
        <v>18.899999999999999</v>
      </c>
      <c r="I21" s="116">
        <f t="shared" si="7"/>
        <v>54.39</v>
      </c>
      <c r="J21" s="1895"/>
      <c r="K21" s="2449">
        <f t="shared" si="3"/>
        <v>54.39</v>
      </c>
      <c r="L21" s="272">
        <f t="shared" si="4"/>
        <v>0</v>
      </c>
      <c r="M21" s="2450">
        <f t="shared" si="8"/>
        <v>54.39</v>
      </c>
      <c r="N21" s="2451"/>
      <c r="O21" s="2452"/>
      <c r="P21" s="2453">
        <f t="shared" si="9"/>
        <v>0</v>
      </c>
      <c r="R21" s="272">
        <f t="shared" si="5"/>
        <v>2169.7000000000003</v>
      </c>
      <c r="S21" s="2178">
        <f t="shared" si="5"/>
        <v>6244.37</v>
      </c>
    </row>
    <row r="22" spans="1:19">
      <c r="A22" s="137"/>
      <c r="B22" s="115" t="s">
        <v>225</v>
      </c>
      <c r="C22" s="3287" t="s">
        <v>3064</v>
      </c>
      <c r="D22" s="111">
        <f t="shared" si="1"/>
        <v>13224.04</v>
      </c>
      <c r="E22" s="134">
        <f t="shared" si="2"/>
        <v>38058.699999999997</v>
      </c>
      <c r="F22" s="3080"/>
      <c r="G22" s="3081">
        <f>'数据-基础表'!O5</f>
        <v>38058.699999999997</v>
      </c>
      <c r="H22" s="961">
        <f t="shared" si="6"/>
        <v>116.19</v>
      </c>
      <c r="I22" s="116">
        <f t="shared" si="7"/>
        <v>334.39</v>
      </c>
      <c r="J22" s="1895"/>
      <c r="K22" s="2449">
        <f t="shared" si="3"/>
        <v>334.39</v>
      </c>
      <c r="L22" s="272">
        <f t="shared" si="4"/>
        <v>0</v>
      </c>
      <c r="M22" s="2450">
        <f t="shared" si="8"/>
        <v>334.39</v>
      </c>
      <c r="N22" s="2451"/>
      <c r="O22" s="2452"/>
      <c r="P22" s="2453">
        <f t="shared" si="9"/>
        <v>0</v>
      </c>
      <c r="R22" s="272">
        <f t="shared" si="5"/>
        <v>13340.230000000001</v>
      </c>
      <c r="S22" s="2178">
        <f t="shared" si="5"/>
        <v>38393.089999999997</v>
      </c>
    </row>
    <row r="23" spans="1:19">
      <c r="A23" s="137"/>
      <c r="B23" s="115" t="s">
        <v>225</v>
      </c>
      <c r="C23" s="138"/>
      <c r="D23" s="111">
        <f>ROUND($D$3*E23/$E$3,2)</f>
        <v>0</v>
      </c>
      <c r="E23" s="134">
        <f>SUM(F23:G23)</f>
        <v>0</v>
      </c>
      <c r="F23" s="3080"/>
      <c r="G23" s="3081"/>
      <c r="H23" s="961">
        <f>ROUND($D$3*I23/$E$3,2)</f>
        <v>0</v>
      </c>
      <c r="I23" s="116">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7"/>
      <c r="B24" s="115" t="s">
        <v>225</v>
      </c>
      <c r="C24" s="138"/>
      <c r="D24" s="111">
        <f>ROUND($D$3*E24/$E$3,2)</f>
        <v>0</v>
      </c>
      <c r="E24" s="134">
        <f>SUM(F24:G24)</f>
        <v>0</v>
      </c>
      <c r="F24" s="3080"/>
      <c r="G24" s="3081"/>
      <c r="H24" s="961">
        <f>ROUND($D$3*I24/$E$3,2)</f>
        <v>0</v>
      </c>
      <c r="I24" s="116">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7"/>
      <c r="B25" s="115" t="s">
        <v>225</v>
      </c>
      <c r="C25" s="138"/>
      <c r="D25" s="111">
        <f t="shared" si="1"/>
        <v>0</v>
      </c>
      <c r="E25" s="134">
        <f t="shared" si="2"/>
        <v>0</v>
      </c>
      <c r="F25" s="3080"/>
      <c r="G25" s="3081"/>
      <c r="H25" s="110">
        <f t="shared" si="6"/>
        <v>0</v>
      </c>
      <c r="I25" s="116">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7"/>
      <c r="B26" s="115" t="s">
        <v>225</v>
      </c>
      <c r="C26" s="140"/>
      <c r="D26" s="111">
        <f t="shared" si="1"/>
        <v>0</v>
      </c>
      <c r="E26" s="134">
        <f t="shared" si="2"/>
        <v>0</v>
      </c>
      <c r="F26" s="3080"/>
      <c r="G26" s="3081"/>
      <c r="H26" s="110">
        <f t="shared" si="6"/>
        <v>0</v>
      </c>
      <c r="I26" s="116">
        <f t="shared" si="7"/>
        <v>0</v>
      </c>
      <c r="J26" s="1895"/>
      <c r="K26" s="2454">
        <f t="shared" si="3"/>
        <v>0</v>
      </c>
      <c r="L26" s="277">
        <f t="shared" si="4"/>
        <v>0</v>
      </c>
      <c r="M26" s="144">
        <f t="shared" si="8"/>
        <v>0</v>
      </c>
      <c r="N26" s="2455"/>
      <c r="O26" s="2456"/>
      <c r="P26" s="2457">
        <f t="shared" si="9"/>
        <v>0</v>
      </c>
      <c r="R26" s="272">
        <f t="shared" si="5"/>
        <v>0</v>
      </c>
      <c r="S26" s="2178">
        <f t="shared" si="5"/>
        <v>0</v>
      </c>
    </row>
    <row r="27" spans="1:19" ht="43.5" thickBot="1">
      <c r="A27" s="137"/>
      <c r="B27" s="111"/>
      <c r="C27" s="127" t="s">
        <v>214</v>
      </c>
      <c r="D27" s="134">
        <f>SUM(D19:D26)</f>
        <v>58134.890000000007</v>
      </c>
      <c r="E27" s="141">
        <f>IF(SUM(E19:E26)='数据-基础表'!BA5,SUM(E19:E26),IF(F27="地上面积有误","面积有误","地下面积有误"))</f>
        <v>167311.87999999998</v>
      </c>
      <c r="F27" s="134">
        <f>IF(SUM(F19:F26)=E8,SUM(F19:F26),"地上面积有误")</f>
        <v>129253.17999999998</v>
      </c>
      <c r="G27" s="112">
        <f>SUM(G19:G26)</f>
        <v>38058.699999999997</v>
      </c>
      <c r="H27" s="962">
        <f>SUM(H19:H26)</f>
        <v>510.78999999999996</v>
      </c>
      <c r="I27" s="963">
        <f>SUM(I19:I26)</f>
        <v>1470.0300000000002</v>
      </c>
      <c r="J27" s="1895"/>
      <c r="K27" s="2458">
        <f>SUM(K19:K26)</f>
        <v>1470.0300000000002</v>
      </c>
      <c r="L27" s="2459">
        <f>SUM(L19:L26)</f>
        <v>0</v>
      </c>
      <c r="M27" s="2460">
        <f>SUM(M19:M26)</f>
        <v>1470.0300000000002</v>
      </c>
      <c r="N27" s="2458">
        <f t="shared" ref="N27:O27" si="10">SUM(N19:N26)</f>
        <v>0</v>
      </c>
      <c r="O27" s="2459">
        <f t="shared" si="10"/>
        <v>0</v>
      </c>
      <c r="P27" s="2461">
        <f>SUM(P19:P26)</f>
        <v>0</v>
      </c>
      <c r="R27" s="2182" t="str">
        <f>IF(SUM(R19:R26)=$D$3,SUM(R19:R26),SUM(R19:R26)&amp;"误差"&amp;ROUND(SUM(R19:R26)-$D$3,2))</f>
        <v>58645.68误差-1129.58</v>
      </c>
      <c r="S27" s="272" t="str">
        <f>IF(SUM(S19:S26)=$E$3,SUM(S19:S26),SUM(S19:S26)&amp;"误差"&amp;ROUND(SUM(S19:S26)-E3,2))</f>
        <v>168781.91误差-3250.95</v>
      </c>
    </row>
    <row r="28" spans="1:19">
      <c r="A28" s="137"/>
      <c r="B28" s="115" t="s">
        <v>226</v>
      </c>
      <c r="C28" s="135" t="s">
        <v>227</v>
      </c>
      <c r="D28" s="111">
        <f>ROUND($D$3*E28/$E$3,2)</f>
        <v>510.78</v>
      </c>
      <c r="E28" s="134">
        <f>SUM(F28:G28)</f>
        <v>1470.0200000000002</v>
      </c>
      <c r="F28" s="142">
        <f>'数据-基础表'!BQ5+'数据-基础表'!BS5</f>
        <v>415.11000000000007</v>
      </c>
      <c r="G28" s="143">
        <f>'数据-基础表'!BR5+'数据-基础表'!BT5</f>
        <v>1054.9100000000001</v>
      </c>
      <c r="H28" s="3076"/>
      <c r="I28" s="3076"/>
      <c r="J28" s="3076"/>
      <c r="K28" s="3076"/>
      <c r="L28" s="3076"/>
      <c r="M28" s="3076"/>
      <c r="N28" s="3076"/>
      <c r="O28" s="3076"/>
      <c r="P28" s="3076"/>
    </row>
    <row r="29" spans="1:19">
      <c r="A29" s="137"/>
      <c r="B29" s="115" t="s">
        <v>226</v>
      </c>
      <c r="C29" s="2190" t="s">
        <v>2307</v>
      </c>
      <c r="D29" s="111">
        <f>ROUND($D$3*E29/$E$3,2)</f>
        <v>1129.5899999999999</v>
      </c>
      <c r="E29" s="134">
        <f>SUM(F29:G29)</f>
        <v>3250.96</v>
      </c>
      <c r="F29" s="142">
        <f>'数据-基础表'!BM5+'数据-基础表'!BO5</f>
        <v>2163.06</v>
      </c>
      <c r="G29" s="144">
        <f>'数据-基础表'!BN5+'数据-基础表'!BP5</f>
        <v>1087.9000000000001</v>
      </c>
      <c r="H29" s="3076"/>
      <c r="I29" s="3076"/>
      <c r="J29" s="3076"/>
      <c r="K29" s="3076"/>
      <c r="L29" s="3076"/>
      <c r="M29" s="3076"/>
      <c r="N29" s="3076"/>
      <c r="O29" s="3076"/>
      <c r="P29" s="3076"/>
    </row>
    <row r="30" spans="1:19">
      <c r="A30" s="137"/>
      <c r="B30" s="111"/>
      <c r="C30" s="145" t="s">
        <v>214</v>
      </c>
      <c r="D30" s="134">
        <f>SUM(D28:D29)</f>
        <v>1640.37</v>
      </c>
      <c r="E30" s="134">
        <f>SUM(E28:E29)</f>
        <v>4720.9800000000005</v>
      </c>
      <c r="F30" s="134">
        <f>SUM(F28:F29)</f>
        <v>2578.17</v>
      </c>
      <c r="G30" s="112">
        <f>SUM(G28:G29)</f>
        <v>2142.8100000000004</v>
      </c>
      <c r="H30" s="3076"/>
      <c r="I30" s="3076"/>
      <c r="J30" s="3076"/>
      <c r="K30" s="3076"/>
      <c r="L30" s="3076"/>
      <c r="M30" s="3076"/>
      <c r="N30" s="3076"/>
      <c r="O30" s="3076"/>
      <c r="P30" s="3076"/>
    </row>
    <row r="31" spans="1:19" ht="32.25" customHeight="1" thickBot="1">
      <c r="A31" s="1319"/>
      <c r="B31" s="1320" t="s">
        <v>228</v>
      </c>
      <c r="C31" s="2207" t="s">
        <v>2309</v>
      </c>
      <c r="D31" s="1321">
        <f>D27+D30</f>
        <v>59775.260000000009</v>
      </c>
      <c r="E31" s="1321">
        <f>E27+E30</f>
        <v>172032.86</v>
      </c>
      <c r="F31" s="1322">
        <f>F27+F30</f>
        <v>131831.34999999998</v>
      </c>
      <c r="G31" s="1323">
        <f>G27+G30</f>
        <v>40201.509999999995</v>
      </c>
      <c r="H31" s="3076"/>
      <c r="I31" s="3076"/>
      <c r="J31" s="3076"/>
      <c r="K31" s="3076"/>
      <c r="L31" s="3076"/>
      <c r="M31" s="3076"/>
      <c r="N31" s="3076"/>
      <c r="O31" s="3076"/>
      <c r="P31" s="3076"/>
    </row>
    <row r="32" spans="1:19">
      <c r="A32" s="1895"/>
      <c r="B32" s="2219" t="s">
        <v>2308</v>
      </c>
      <c r="C32" s="2486"/>
      <c r="D32" s="1183"/>
      <c r="E32" s="1183">
        <f>SUMIF(C19:C26,"*住宅*",E19:E26)</f>
        <v>0</v>
      </c>
      <c r="F32" s="1183"/>
      <c r="G32" s="1183"/>
      <c r="H32" s="3076"/>
      <c r="I32" s="3076"/>
      <c r="J32" s="3076"/>
      <c r="K32" s="3076"/>
      <c r="L32" s="3076"/>
      <c r="M32" s="3076"/>
      <c r="N32" s="3076"/>
      <c r="O32" s="3076"/>
      <c r="P32" s="3076"/>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F6" activePane="bottomRight" state="frozen"/>
      <selection pane="topRight" activeCell="D1" sqref="D1"/>
      <selection pane="bottomLeft" activeCell="A4" sqref="A4"/>
      <selection pane="bottomRight" activeCell="G22" sqref="G22"/>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3" width="9" style="1185" customWidth="1"/>
    <col min="24" max="24" width="6.75" style="1185" customWidth="1"/>
    <col min="25" max="25" width="8.125" style="1185" customWidth="1"/>
    <col min="26" max="30" width="6.75" style="1185" customWidth="1"/>
    <col min="31" max="31" width="9" style="1185" customWidth="1"/>
    <col min="32" max="34" width="7.25" style="1185" customWidth="1"/>
    <col min="35" max="39" width="8" style="1185" customWidth="1"/>
    <col min="40" max="41" width="13.75" style="1905"/>
    <col min="42" max="42" width="13.75" style="1905" customWidth="1"/>
    <col min="43" max="83" width="13.75" style="1905"/>
    <col min="84" max="16384" width="13.75" style="1185"/>
  </cols>
  <sheetData>
    <row r="1" spans="1:83" ht="19.5" thickBot="1">
      <c r="A1" s="146" t="s">
        <v>233</v>
      </c>
      <c r="B1" s="1184"/>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3"/>
      <c r="AO1" s="3083"/>
      <c r="AP1" s="3083"/>
      <c r="AQ1" s="3083"/>
      <c r="AR1" s="3083"/>
      <c r="AS1" s="3083"/>
      <c r="AT1" s="3083"/>
      <c r="AU1" s="3083"/>
      <c r="AV1" s="3083"/>
      <c r="AW1" s="3083"/>
      <c r="AX1" s="3083"/>
      <c r="AY1" s="3083"/>
      <c r="AZ1" s="3083"/>
    </row>
    <row r="2" spans="1:83" s="1188" customFormat="1" ht="15.75" thickBot="1">
      <c r="A2" s="147" t="s">
        <v>234</v>
      </c>
      <c r="B2" s="2215">
        <f>项目基本情况!D3</f>
        <v>44254</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6"/>
      <c r="AO2" s="3086"/>
      <c r="AP2" s="3086"/>
      <c r="AQ2" s="3086"/>
      <c r="AR2" s="3086"/>
      <c r="AS2" s="3086"/>
      <c r="AT2" s="3086"/>
      <c r="AU2" s="3086"/>
      <c r="AV2" s="3086"/>
      <c r="AW2" s="3086"/>
      <c r="AX2" s="3086"/>
      <c r="AY2" s="3086"/>
      <c r="AZ2" s="3086"/>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8" customFormat="1" ht="15" thickBot="1">
      <c r="A3" s="1189"/>
      <c r="B3" s="1186"/>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6"/>
      <c r="AO3" s="3086"/>
      <c r="AP3" s="3086"/>
      <c r="AQ3" s="3086"/>
      <c r="AR3" s="3086"/>
      <c r="AS3" s="3086"/>
      <c r="AT3" s="3086"/>
      <c r="AU3" s="3086"/>
      <c r="AV3" s="3086"/>
      <c r="AW3" s="3086"/>
      <c r="AX3" s="3086"/>
      <c r="AY3" s="3086"/>
      <c r="AZ3" s="3086"/>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86"/>
      <c r="AO4" s="3086"/>
      <c r="AP4" s="3086"/>
      <c r="AQ4" s="3086"/>
      <c r="AR4" s="3086"/>
      <c r="AS4" s="3086"/>
      <c r="AT4" s="3086"/>
      <c r="AU4" s="3086"/>
      <c r="AV4" s="3086"/>
      <c r="AW4" s="3086"/>
      <c r="AX4" s="3086"/>
      <c r="AY4" s="3086"/>
      <c r="AZ4" s="3086"/>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4" customFormat="1" ht="40.5">
      <c r="A5" s="2181" t="s">
        <v>2311</v>
      </c>
      <c r="B5" s="154" t="s">
        <v>235</v>
      </c>
      <c r="C5" s="155" t="s">
        <v>236</v>
      </c>
      <c r="D5" s="156" t="s">
        <v>237</v>
      </c>
      <c r="E5" s="157" t="s">
        <v>238</v>
      </c>
      <c r="F5" s="158" t="s">
        <v>239</v>
      </c>
      <c r="G5" s="157" t="s">
        <v>240</v>
      </c>
      <c r="H5" s="157" t="s">
        <v>853</v>
      </c>
      <c r="I5" s="157" t="s">
        <v>854</v>
      </c>
      <c r="J5" s="159" t="s">
        <v>241</v>
      </c>
      <c r="K5" s="160" t="s">
        <v>242</v>
      </c>
      <c r="L5" s="161" t="s">
        <v>243</v>
      </c>
      <c r="M5" s="162" t="s">
        <v>244</v>
      </c>
      <c r="N5" s="1201" t="s">
        <v>2807</v>
      </c>
      <c r="O5" s="161" t="s">
        <v>245</v>
      </c>
      <c r="P5" s="163" t="s">
        <v>246</v>
      </c>
      <c r="Q5" s="164" t="s">
        <v>247</v>
      </c>
      <c r="R5" s="165" t="s">
        <v>248</v>
      </c>
      <c r="S5" s="2462" t="s">
        <v>2553</v>
      </c>
      <c r="T5" s="166" t="s">
        <v>249</v>
      </c>
      <c r="U5" s="167" t="s">
        <v>250</v>
      </c>
      <c r="V5" s="157" t="s">
        <v>251</v>
      </c>
      <c r="W5" s="157" t="s">
        <v>252</v>
      </c>
      <c r="X5" s="1730"/>
      <c r="Y5" s="168" t="s">
        <v>253</v>
      </c>
      <c r="Z5" s="169" t="s">
        <v>254</v>
      </c>
      <c r="AA5" s="157" t="s">
        <v>251</v>
      </c>
      <c r="AB5" s="157" t="s">
        <v>252</v>
      </c>
      <c r="AC5" s="1731"/>
      <c r="AD5" s="170" t="s">
        <v>253</v>
      </c>
      <c r="AE5" s="1" t="s">
        <v>861</v>
      </c>
      <c r="AF5" s="157" t="s">
        <v>255</v>
      </c>
      <c r="AG5" s="168" t="s">
        <v>256</v>
      </c>
      <c r="AH5" s="1731" t="s">
        <v>2310</v>
      </c>
      <c r="AI5" s="169" t="s">
        <v>2279</v>
      </c>
      <c r="AJ5" s="169" t="s">
        <v>257</v>
      </c>
      <c r="AK5" s="157" t="s">
        <v>258</v>
      </c>
      <c r="AL5" s="157" t="s">
        <v>259</v>
      </c>
      <c r="AM5" s="170" t="s">
        <v>260</v>
      </c>
      <c r="AN5" s="2243" t="s">
        <v>2357</v>
      </c>
      <c r="AO5" s="3097"/>
      <c r="AP5" s="3082" t="s">
        <v>2974</v>
      </c>
      <c r="AQ5" s="3097"/>
      <c r="AR5" s="3097"/>
      <c r="AS5" s="3097"/>
      <c r="AT5" s="3097"/>
      <c r="AU5" s="3097"/>
      <c r="AV5" s="3097"/>
      <c r="AW5" s="3097"/>
      <c r="AX5" s="3097"/>
      <c r="AY5" s="3097"/>
      <c r="AZ5" s="3097"/>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8" customFormat="1" ht="14.25">
      <c r="A6" s="2179" t="str">
        <f>'数据-汇总表'!C19</f>
        <v>高层</v>
      </c>
      <c r="B6" s="2214" t="str">
        <f>IF(A6=0,"","经营性")</f>
        <v>经营性</v>
      </c>
      <c r="C6" s="171" t="s">
        <v>913</v>
      </c>
      <c r="D6" s="2185">
        <f>SUMIF(项目基本情况!D$15:I$15,C6,项目基本情况!D$18:I$18)</f>
        <v>70</v>
      </c>
      <c r="E6" s="2186">
        <f>IF(B6="","",SUMIF(项目基本情况!D$15:I$15,C6,项目基本情况!D$17:I$17))</f>
        <v>69377</v>
      </c>
      <c r="F6" s="172">
        <f>SUMIF(项目基本情况!D$15:I$15,C6,项目基本情况!D$19:I$19)</f>
        <v>68.83</v>
      </c>
      <c r="G6" s="173">
        <f>IF(ISERROR(ROUND(POWER(1+H6,D6-F6)*(POWER(1+H6,F6)-1)/(POWER(1+H6,D6)-1),3)),0,ROUND(POWER(1+H6,D6-F6)*(POWER(1+H6,F6)-1)/(POWER(1+H6,D6)-1),3))</f>
        <v>0.997</v>
      </c>
      <c r="H6" s="3288">
        <v>0.04</v>
      </c>
      <c r="I6" s="3288">
        <v>4.4999999999999998E-2</v>
      </c>
      <c r="J6" s="193">
        <v>8.5000000000000006E-2</v>
      </c>
      <c r="K6" s="177">
        <f>SUMIF('数据-汇总表'!C$19:C$33,'数据-取费表'!A6,'数据-汇总表'!E$19:E$33)</f>
        <v>36384.65</v>
      </c>
      <c r="L6" s="3289">
        <v>1800</v>
      </c>
      <c r="M6" s="175">
        <f t="shared" ref="M6:M14" si="0">ROUND(K6*L6/10000,0)</f>
        <v>6549</v>
      </c>
      <c r="N6" s="2734">
        <v>0</v>
      </c>
      <c r="O6" s="175">
        <f>IF($N$5="成新度","——",ROUND(M6*N6,0))</f>
        <v>0</v>
      </c>
      <c r="P6" s="176">
        <f>IF($N$5="成新度","——",M6-O6)</f>
        <v>6549</v>
      </c>
      <c r="Q6" s="2735">
        <v>0.15</v>
      </c>
      <c r="R6" s="177">
        <f>SUMIF('数据-汇总表'!C$19:C$33,A6,'数据-汇总表'!R$19:R$33)</f>
        <v>12753.44</v>
      </c>
      <c r="S6" s="132">
        <f>IF('数据-汇总表'!$I$17="按面积比例",SUMIF('数据-汇总表'!C$19:C$33,A6,'数据-汇总表'!K$19:K$33),SUMIF('数据-汇总表'!C$19:C$33,A6,'数据-汇总表'!N$19:N$33))</f>
        <v>319.68</v>
      </c>
      <c r="T6" s="2111">
        <f>IF($T$4="按面积比例",IF(ISERROR(ROUND($M$14*S6/S$16,0)),"0",ROUND($M$14*S6/S$16,0)),"需自行计算录入")</f>
        <v>58</v>
      </c>
      <c r="U6" s="178"/>
      <c r="V6" s="179"/>
      <c r="W6" s="179"/>
      <c r="X6" s="2198"/>
      <c r="Y6" s="180"/>
      <c r="Z6" s="181"/>
      <c r="AA6" s="174"/>
      <c r="AB6" s="174"/>
      <c r="AC6" s="2201"/>
      <c r="AD6" s="182"/>
      <c r="AE6" s="959">
        <f ca="1">IF(AN6="",0,SUMIF(INDIRECT("'"&amp;AN6&amp;"'"&amp;"!E:E"),$AE$5,INDIRECT("'"&amp;AN6&amp;"'"&amp;"!F:F")))</f>
        <v>0</v>
      </c>
      <c r="AF6" s="139"/>
      <c r="AG6" s="1195">
        <f>IF(AF6="",0,AE6-AF6)</f>
        <v>0</v>
      </c>
      <c r="AH6" s="139"/>
      <c r="AI6" s="185"/>
      <c r="AJ6" s="186"/>
      <c r="AK6" s="187"/>
      <c r="AL6" s="188"/>
      <c r="AM6" s="2746"/>
      <c r="AN6" s="2244"/>
      <c r="AO6" s="3086"/>
      <c r="AP6" s="1186">
        <f>ROUND(1-1/(1+H6)^F6,3)</f>
        <v>0.93300000000000005</v>
      </c>
      <c r="AQ6" s="3086"/>
      <c r="AR6" s="3086"/>
      <c r="AS6" s="3086"/>
      <c r="AT6" s="3086"/>
      <c r="AU6" s="3086"/>
      <c r="AV6" s="3086"/>
      <c r="AW6" s="3086"/>
      <c r="AX6" s="3086"/>
      <c r="AY6" s="3086"/>
      <c r="AZ6" s="3086"/>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8" customFormat="1" ht="14.25">
      <c r="A7" s="2179" t="str">
        <f>'数据-汇总表'!C20</f>
        <v>洋房</v>
      </c>
      <c r="B7" s="2214" t="str">
        <f t="shared" ref="B7:B13" si="1">IF(A7=0,"","经营性")</f>
        <v>经营性</v>
      </c>
      <c r="C7" s="171" t="s">
        <v>913</v>
      </c>
      <c r="D7" s="2185">
        <f>SUMIF(项目基本情况!D$15:I$15,C7,项目基本情况!D$18:I$18)</f>
        <v>70</v>
      </c>
      <c r="E7" s="2186">
        <f>IF(B7="","",SUMIF(项目基本情况!D$15:I$15,C7,项目基本情况!D$17:I$17))</f>
        <v>69377</v>
      </c>
      <c r="F7" s="172">
        <f>SUMIF(项目基本情况!D$15:I$15,C7,项目基本情况!D$19:I$19)</f>
        <v>68.83</v>
      </c>
      <c r="G7" s="173">
        <f t="shared" ref="G7:G11" si="2">IF(ISERROR(ROUND(POWER(1+H7,D7-F7)*(POWER(1+H7,F7)-1)/(POWER(1+H7,D7)-1),3)),0,ROUND(POWER(1+H7,D7-F7)*(POWER(1+H7,F7)-1)/(POWER(1+H7,D7)-1),3))</f>
        <v>0.997</v>
      </c>
      <c r="H7" s="3288">
        <v>0.04</v>
      </c>
      <c r="I7" s="3288">
        <v>4.4999999999999998E-2</v>
      </c>
      <c r="J7" s="193">
        <v>8.5000000000000006E-2</v>
      </c>
      <c r="K7" s="177">
        <f>SUMIF('数据-汇总表'!C$19:C$33,'数据-取费表'!A7,'数据-汇总表'!E$19:E$33)</f>
        <v>86678.549999999988</v>
      </c>
      <c r="L7" s="3289">
        <v>1800</v>
      </c>
      <c r="M7" s="175">
        <f t="shared" si="0"/>
        <v>15602</v>
      </c>
      <c r="N7" s="2734">
        <v>0</v>
      </c>
      <c r="O7" s="175">
        <f t="shared" ref="O7:O14" si="3">IF($N$5="成新度","——",ROUND(M7*N7,0))</f>
        <v>0</v>
      </c>
      <c r="P7" s="176">
        <f t="shared" ref="P7:P14" si="4">IF($N$5="成新度","——",M7-O7)</f>
        <v>15602</v>
      </c>
      <c r="Q7" s="2735">
        <v>0.17</v>
      </c>
      <c r="R7" s="177">
        <f>SUMIF('数据-汇总表'!C$19:C$33,A7,'数据-汇总表'!R$19:R$33)</f>
        <v>30382.309999999998</v>
      </c>
      <c r="S7" s="132">
        <f>IF('数据-汇总表'!$I$17="按面积比例",SUMIF('数据-汇总表'!C$19:C$33,A7,'数据-汇总表'!K$19:K$33),SUMIF('数据-汇总表'!C$19:C$33,A7,'数据-汇总表'!N$19:N$33))</f>
        <v>761.57</v>
      </c>
      <c r="T7" s="2111">
        <f t="shared" ref="T7:T13" si="5">IF($T$4="按面积比例",IF(ISERROR(ROUND($M$14*S7/S$16,0)),"0",ROUND($M$14*S7/S$16,0)),"需自行计算录入")</f>
        <v>137</v>
      </c>
      <c r="U7" s="178"/>
      <c r="V7" s="179"/>
      <c r="W7" s="179"/>
      <c r="X7" s="2198"/>
      <c r="Y7" s="180"/>
      <c r="Z7" s="181"/>
      <c r="AA7" s="174"/>
      <c r="AB7" s="174"/>
      <c r="AC7" s="2201"/>
      <c r="AD7" s="182"/>
      <c r="AE7" s="959">
        <f t="shared" ref="AE7:AE13" ca="1" si="6">IF(AN7="",0,SUMIF(INDIRECT("'"&amp;AN7&amp;"'"&amp;"!E:E"),$AE$5,INDIRECT("'"&amp;AN7&amp;"'"&amp;"!F:F")))</f>
        <v>0</v>
      </c>
      <c r="AF7" s="139"/>
      <c r="AG7" s="1195">
        <f t="shared" ref="AG7:AG13" si="7">IF(AF7="",0,AE7-AF7)</f>
        <v>0</v>
      </c>
      <c r="AH7" s="139"/>
      <c r="AI7" s="185"/>
      <c r="AJ7" s="186"/>
      <c r="AK7" s="187"/>
      <c r="AL7" s="188"/>
      <c r="AM7" s="2242"/>
      <c r="AN7" s="2244"/>
      <c r="AO7" s="3086"/>
      <c r="AP7" s="1186">
        <f t="shared" ref="AP7:AP13" si="8">ROUND(1-1/(1+H7)^F7,3)</f>
        <v>0.93300000000000005</v>
      </c>
      <c r="AQ7" s="3086"/>
      <c r="AR7" s="3086"/>
      <c r="AS7" s="3086"/>
      <c r="AT7" s="3086"/>
      <c r="AU7" s="3086"/>
      <c r="AV7" s="3086"/>
      <c r="AW7" s="3086"/>
      <c r="AX7" s="3086"/>
      <c r="AY7" s="3086"/>
      <c r="AZ7" s="3086"/>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8" customFormat="1" ht="14.25">
      <c r="A8" s="2179" t="str">
        <f>'数据-汇总表'!C21</f>
        <v>商业</v>
      </c>
      <c r="B8" s="2214" t="str">
        <f t="shared" si="1"/>
        <v>经营性</v>
      </c>
      <c r="C8" s="171" t="s">
        <v>3012</v>
      </c>
      <c r="D8" s="2185">
        <f>SUMIF(项目基本情况!D$15:I$15,C8,项目基本情况!D$18:I$18)</f>
        <v>40</v>
      </c>
      <c r="E8" s="2186">
        <f>IF(B8="","",SUMIF(项目基本情况!D$15:I$15,C8,项目基本情况!D$17:I$17))</f>
        <v>58419</v>
      </c>
      <c r="F8" s="172">
        <f>SUMIF(项目基本情况!D$15:I$15,C8,项目基本情况!D$19:I$19)</f>
        <v>38.799999999999997</v>
      </c>
      <c r="G8" s="173">
        <f t="shared" si="2"/>
        <v>0.99</v>
      </c>
      <c r="H8" s="3288">
        <v>0.05</v>
      </c>
      <c r="I8" s="3288">
        <v>5.5E-2</v>
      </c>
      <c r="J8" s="193">
        <v>8.5000000000000006E-2</v>
      </c>
      <c r="K8" s="177">
        <f>SUMIF('数据-汇总表'!C$19:C$33,'数据-取费表'!A8,'数据-汇总表'!E$19:E$33)</f>
        <v>6189.98</v>
      </c>
      <c r="L8" s="3289">
        <f>L6</f>
        <v>1800</v>
      </c>
      <c r="M8" s="175">
        <f>ROUND(K8*L8/10000,0)</f>
        <v>1114</v>
      </c>
      <c r="N8" s="2734">
        <v>0</v>
      </c>
      <c r="O8" s="175">
        <f t="shared" si="3"/>
        <v>0</v>
      </c>
      <c r="P8" s="176">
        <f t="shared" si="4"/>
        <v>1114</v>
      </c>
      <c r="Q8" s="2735">
        <v>0.2</v>
      </c>
      <c r="R8" s="177">
        <f>SUMIF('数据-汇总表'!C$19:C$33,A8,'数据-汇总表'!R$19:R$33)</f>
        <v>2169.7000000000003</v>
      </c>
      <c r="S8" s="132">
        <f>IF('数据-汇总表'!$I$17="按面积比例",SUMIF('数据-汇总表'!C$19:C$33,A8,'数据-汇总表'!K$19:K$33),SUMIF('数据-汇总表'!C$19:C$33,A8,'数据-汇总表'!N$19:N$33))</f>
        <v>54.39</v>
      </c>
      <c r="T8" s="2111">
        <f t="shared" si="5"/>
        <v>10</v>
      </c>
      <c r="U8" s="3294">
        <v>1.85</v>
      </c>
      <c r="V8" s="3295">
        <v>2.5000000000000001E-2</v>
      </c>
      <c r="W8" s="3295">
        <v>0.1</v>
      </c>
      <c r="X8" s="2198"/>
      <c r="Y8" s="180">
        <v>1</v>
      </c>
      <c r="Z8" s="181"/>
      <c r="AA8" s="174"/>
      <c r="AB8" s="174"/>
      <c r="AC8" s="2201"/>
      <c r="AD8" s="182"/>
      <c r="AE8" s="959">
        <f t="shared" ca="1" si="6"/>
        <v>36.299999999999997</v>
      </c>
      <c r="AF8" s="139"/>
      <c r="AG8" s="1195">
        <f t="shared" si="7"/>
        <v>0</v>
      </c>
      <c r="AH8" s="139"/>
      <c r="AI8" s="185">
        <v>365</v>
      </c>
      <c r="AJ8" s="186"/>
      <c r="AK8" s="187">
        <v>0.01</v>
      </c>
      <c r="AL8" s="188">
        <v>1.5E-3</v>
      </c>
      <c r="AM8" s="2242">
        <v>0.01</v>
      </c>
      <c r="AN8" s="2244" t="s">
        <v>3070</v>
      </c>
      <c r="AO8" s="3086"/>
      <c r="AP8" s="1186">
        <f t="shared" si="8"/>
        <v>0.84899999999999998</v>
      </c>
      <c r="AQ8" s="3086"/>
      <c r="AR8" s="3086"/>
      <c r="AS8" s="3086"/>
      <c r="AT8" s="3086"/>
      <c r="AU8" s="3086"/>
      <c r="AV8" s="3086"/>
      <c r="AW8" s="3086"/>
      <c r="AX8" s="3086"/>
      <c r="AY8" s="3086"/>
      <c r="AZ8" s="3086"/>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8" customFormat="1" ht="14.25">
      <c r="A9" s="2179" t="str">
        <f>'数据-汇总表'!C22</f>
        <v>地下车库</v>
      </c>
      <c r="B9" s="2214" t="str">
        <f t="shared" si="1"/>
        <v>经营性</v>
      </c>
      <c r="C9" s="171" t="s">
        <v>3058</v>
      </c>
      <c r="D9" s="2185">
        <f>SUMIF(项目基本情况!D$15:I$15,C9,项目基本情况!D$18:I$18)</f>
        <v>40</v>
      </c>
      <c r="E9" s="2186">
        <f>IF(B9="","",SUMIF(项目基本情况!D$15:I$15,C9,项目基本情况!D$17:I$17))</f>
        <v>58419</v>
      </c>
      <c r="F9" s="172">
        <f>SUMIF(项目基本情况!D$15:I$15,C9,项目基本情况!D$19:I$19)</f>
        <v>38.799999999999997</v>
      </c>
      <c r="G9" s="173">
        <f t="shared" si="2"/>
        <v>0.98899999999999999</v>
      </c>
      <c r="H9" s="3288">
        <v>4.4999999999999998E-2</v>
      </c>
      <c r="I9" s="3288">
        <v>0.05</v>
      </c>
      <c r="J9" s="193">
        <v>8.5000000000000006E-2</v>
      </c>
      <c r="K9" s="177">
        <f>SUMIF('数据-汇总表'!C$19:C$33,'数据-取费表'!A9,'数据-汇总表'!E$19:E$33)</f>
        <v>38058.699999999997</v>
      </c>
      <c r="L9" s="3289">
        <f>L6</f>
        <v>1800</v>
      </c>
      <c r="M9" s="175">
        <f t="shared" si="0"/>
        <v>6851</v>
      </c>
      <c r="N9" s="2734">
        <v>0</v>
      </c>
      <c r="O9" s="175">
        <f t="shared" si="3"/>
        <v>0</v>
      </c>
      <c r="P9" s="176">
        <f t="shared" si="4"/>
        <v>6851</v>
      </c>
      <c r="Q9" s="190">
        <v>0.03</v>
      </c>
      <c r="R9" s="177">
        <f>SUMIF('数据-汇总表'!C$19:C$33,A9,'数据-汇总表'!R$19:R$33)</f>
        <v>13340.230000000001</v>
      </c>
      <c r="S9" s="132">
        <f>IF('数据-汇总表'!$I$17="按面积比例",SUMIF('数据-汇总表'!C$19:C$33,A9,'数据-汇总表'!K$19:K$33),SUMIF('数据-汇总表'!C$19:C$33,A9,'数据-汇总表'!N$19:N$33))</f>
        <v>334.39</v>
      </c>
      <c r="T9" s="2111">
        <f t="shared" si="5"/>
        <v>60</v>
      </c>
      <c r="U9" s="3294">
        <v>260</v>
      </c>
      <c r="V9" s="3295">
        <v>0.02</v>
      </c>
      <c r="W9" s="3295">
        <v>0.1</v>
      </c>
      <c r="X9" s="2198"/>
      <c r="Y9" s="180">
        <v>1</v>
      </c>
      <c r="Z9" s="181"/>
      <c r="AA9" s="174"/>
      <c r="AB9" s="174"/>
      <c r="AC9" s="2201"/>
      <c r="AD9" s="182"/>
      <c r="AE9" s="959">
        <f t="shared" ca="1" si="6"/>
        <v>36.299999999999997</v>
      </c>
      <c r="AF9" s="139"/>
      <c r="AG9" s="1195">
        <f t="shared" si="7"/>
        <v>0</v>
      </c>
      <c r="AH9" s="139">
        <v>1305</v>
      </c>
      <c r="AI9" s="185">
        <v>12</v>
      </c>
      <c r="AJ9" s="186"/>
      <c r="AK9" s="187">
        <v>0.01</v>
      </c>
      <c r="AL9" s="188">
        <v>1.5E-3</v>
      </c>
      <c r="AM9" s="2242">
        <v>0.01</v>
      </c>
      <c r="AN9" s="2244" t="s">
        <v>3069</v>
      </c>
      <c r="AO9" s="3086"/>
      <c r="AP9" s="1186">
        <f t="shared" si="8"/>
        <v>0.81899999999999995</v>
      </c>
      <c r="AQ9" s="3086"/>
      <c r="AR9" s="3086"/>
      <c r="AS9" s="3086"/>
      <c r="AT9" s="3086"/>
      <c r="AU9" s="3086"/>
      <c r="AV9" s="3086"/>
      <c r="AW9" s="3086"/>
      <c r="AX9" s="3086"/>
      <c r="AY9" s="3086"/>
      <c r="AZ9" s="3086"/>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8"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289"/>
      <c r="M10" s="175">
        <f t="shared" si="0"/>
        <v>0</v>
      </c>
      <c r="N10" s="191"/>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9">
        <f t="shared" ca="1" si="6"/>
        <v>0</v>
      </c>
      <c r="AF10" s="139"/>
      <c r="AG10" s="1195">
        <f t="shared" si="7"/>
        <v>0</v>
      </c>
      <c r="AH10" s="139"/>
      <c r="AI10" s="185"/>
      <c r="AJ10" s="186"/>
      <c r="AK10" s="187"/>
      <c r="AL10" s="188"/>
      <c r="AM10" s="2242"/>
      <c r="AN10" s="2244"/>
      <c r="AO10" s="3086"/>
      <c r="AP10" s="1186">
        <f t="shared" si="8"/>
        <v>0</v>
      </c>
      <c r="AQ10" s="3086"/>
      <c r="AR10" s="3086"/>
      <c r="AS10" s="3086"/>
      <c r="AT10" s="3086"/>
      <c r="AU10" s="3086"/>
      <c r="AV10" s="3086"/>
      <c r="AW10" s="3086"/>
      <c r="AX10" s="3086"/>
      <c r="AY10" s="3086"/>
      <c r="AZ10" s="3086"/>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8"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289"/>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2"/>
      <c r="AA11" s="174"/>
      <c r="AB11" s="174"/>
      <c r="AC11" s="2201"/>
      <c r="AD11" s="182"/>
      <c r="AE11" s="959">
        <f t="shared" ca="1" si="6"/>
        <v>0</v>
      </c>
      <c r="AF11" s="139"/>
      <c r="AG11" s="1195">
        <f t="shared" si="7"/>
        <v>0</v>
      </c>
      <c r="AH11" s="139"/>
      <c r="AI11" s="185"/>
      <c r="AJ11" s="186"/>
      <c r="AK11" s="193"/>
      <c r="AL11" s="194"/>
      <c r="AM11" s="1729"/>
      <c r="AN11" s="2244"/>
      <c r="AO11" s="3086"/>
      <c r="AP11" s="1186">
        <f t="shared" si="8"/>
        <v>0</v>
      </c>
      <c r="AQ11" s="3086"/>
      <c r="AR11" s="3086"/>
      <c r="AS11" s="3086"/>
      <c r="AT11" s="3086"/>
      <c r="AU11" s="3086"/>
      <c r="AV11" s="3086"/>
      <c r="AW11" s="3086"/>
      <c r="AX11" s="3086"/>
      <c r="AY11" s="3086"/>
      <c r="AZ11" s="3086"/>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8"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289"/>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2"/>
      <c r="AA12" s="174"/>
      <c r="AB12" s="174"/>
      <c r="AC12" s="2201"/>
      <c r="AD12" s="182"/>
      <c r="AE12" s="959">
        <f t="shared" ca="1" si="6"/>
        <v>0</v>
      </c>
      <c r="AF12" s="139"/>
      <c r="AG12" s="1195">
        <f t="shared" si="7"/>
        <v>0</v>
      </c>
      <c r="AH12" s="139"/>
      <c r="AI12" s="185"/>
      <c r="AJ12" s="186"/>
      <c r="AK12" s="193"/>
      <c r="AL12" s="194"/>
      <c r="AM12" s="1729"/>
      <c r="AN12" s="2244"/>
      <c r="AO12" s="3086"/>
      <c r="AP12" s="1186">
        <f t="shared" si="8"/>
        <v>0</v>
      </c>
      <c r="AQ12" s="3086"/>
      <c r="AR12" s="3086"/>
      <c r="AS12" s="3086"/>
      <c r="AT12" s="3086"/>
      <c r="AU12" s="3086"/>
      <c r="AV12" s="3086"/>
      <c r="AW12" s="3086"/>
      <c r="AX12" s="3086"/>
      <c r="AY12" s="3086"/>
      <c r="AZ12" s="3086"/>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8"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289"/>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9">
        <f t="shared" ca="1" si="6"/>
        <v>0</v>
      </c>
      <c r="AF13" s="139"/>
      <c r="AG13" s="1195">
        <f t="shared" si="7"/>
        <v>0</v>
      </c>
      <c r="AH13" s="139"/>
      <c r="AI13" s="185"/>
      <c r="AJ13" s="186"/>
      <c r="AK13" s="187"/>
      <c r="AL13" s="188"/>
      <c r="AM13" s="2242"/>
      <c r="AN13" s="2244"/>
      <c r="AO13" s="3086"/>
      <c r="AP13" s="1186">
        <f t="shared" si="8"/>
        <v>0</v>
      </c>
      <c r="AQ13" s="3086"/>
      <c r="AR13" s="3086"/>
      <c r="AS13" s="3086"/>
      <c r="AT13" s="3086"/>
      <c r="AU13" s="3086"/>
      <c r="AV13" s="3086"/>
      <c r="AW13" s="3086"/>
      <c r="AX13" s="3086"/>
      <c r="AY13" s="3086"/>
      <c r="AZ13" s="3086"/>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8" customFormat="1" ht="14.25">
      <c r="A14" s="2180" t="s">
        <v>2301</v>
      </c>
      <c r="B14" s="2183" t="s">
        <v>1669</v>
      </c>
      <c r="C14" s="2184" t="s">
        <v>2301</v>
      </c>
      <c r="D14" s="2185"/>
      <c r="E14" s="2186"/>
      <c r="F14" s="172"/>
      <c r="G14" s="173"/>
      <c r="H14" s="2187"/>
      <c r="I14" s="2187"/>
      <c r="J14" s="2187"/>
      <c r="K14" s="177">
        <f>SUMIF('数据-汇总表'!C$19:C$33,'数据-取费表'!A14,'数据-汇总表'!E$19:E$33)</f>
        <v>1470.0200000000002</v>
      </c>
      <c r="L14" s="3289">
        <f>L6</f>
        <v>1800</v>
      </c>
      <c r="M14" s="175">
        <f t="shared" si="0"/>
        <v>265</v>
      </c>
      <c r="N14" s="191">
        <v>0</v>
      </c>
      <c r="O14" s="175">
        <f t="shared" si="3"/>
        <v>0</v>
      </c>
      <c r="P14" s="176">
        <f t="shared" si="4"/>
        <v>265</v>
      </c>
      <c r="Q14" s="2195"/>
      <c r="R14" s="177"/>
      <c r="S14" s="132"/>
      <c r="T14" s="2194"/>
      <c r="U14" s="961"/>
      <c r="V14" s="2197"/>
      <c r="W14" s="2197"/>
      <c r="X14" s="2198"/>
      <c r="Y14" s="2199"/>
      <c r="Z14" s="135"/>
      <c r="AA14" s="2200"/>
      <c r="AB14" s="2200"/>
      <c r="AC14" s="2201"/>
      <c r="AD14" s="2198"/>
      <c r="AE14" s="959"/>
      <c r="AF14" s="2173"/>
      <c r="AG14" s="1195"/>
      <c r="AH14" s="2173"/>
      <c r="AI14" s="1503"/>
      <c r="AJ14" s="1503"/>
      <c r="AK14" s="2202"/>
      <c r="AL14" s="2203"/>
      <c r="AM14" s="2204"/>
      <c r="AN14" s="3086"/>
      <c r="AO14" s="3086"/>
      <c r="AP14" s="3086"/>
      <c r="AQ14" s="3086"/>
      <c r="AR14" s="3086"/>
      <c r="AS14" s="3086"/>
      <c r="AT14" s="3086"/>
      <c r="AU14" s="3086"/>
      <c r="AV14" s="3086"/>
      <c r="AW14" s="3086"/>
      <c r="AX14" s="3086"/>
      <c r="AY14" s="3086"/>
      <c r="AZ14" s="3086"/>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8" customFormat="1" ht="27">
      <c r="A15" s="2189" t="s">
        <v>2303</v>
      </c>
      <c r="B15" s="2183" t="s">
        <v>1669</v>
      </c>
      <c r="C15" s="2184" t="s">
        <v>2302</v>
      </c>
      <c r="D15" s="2185"/>
      <c r="E15" s="2186"/>
      <c r="F15" s="172"/>
      <c r="G15" s="173"/>
      <c r="H15" s="2187"/>
      <c r="I15" s="2187"/>
      <c r="J15" s="2187"/>
      <c r="K15" s="177">
        <f>SUMIF('数据-汇总表'!C$19:C$33,'数据-取费表'!A15,'数据-汇总表'!E$19:E$33)</f>
        <v>3250.96</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5"/>
      <c r="AH15" s="2173"/>
      <c r="AI15" s="1503"/>
      <c r="AJ15" s="1503"/>
      <c r="AK15" s="2202"/>
      <c r="AL15" s="2203"/>
      <c r="AM15" s="2204"/>
      <c r="AN15" s="3086"/>
      <c r="AO15" s="3086"/>
      <c r="AP15" s="3086"/>
      <c r="AQ15" s="3086"/>
      <c r="AR15" s="3086"/>
      <c r="AS15" s="3086"/>
      <c r="AT15" s="3086"/>
      <c r="AU15" s="3086"/>
      <c r="AV15" s="3086"/>
      <c r="AW15" s="3086"/>
      <c r="AX15" s="3086"/>
      <c r="AY15" s="3086"/>
      <c r="AZ15" s="3086"/>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8" customFormat="1" ht="15.75" thickBot="1">
      <c r="A16" s="195" t="s">
        <v>261</v>
      </c>
      <c r="B16" s="196"/>
      <c r="C16" s="197"/>
      <c r="D16" s="198"/>
      <c r="E16" s="196"/>
      <c r="F16" s="196"/>
      <c r="G16" s="199">
        <f>ROUND(SUMPRODUCT(G6:G13,K6:K13)/SUMPRODUCT((G6:G13&gt;0)*(K6:K13)),3)</f>
        <v>0.995</v>
      </c>
      <c r="H16" s="200">
        <f>ROUND(SUMPRODUCT(H6:H13,K6:K13)/SUMPRODUCT((H6:H13&gt;0)*(K6:K13)),3)</f>
        <v>4.2000000000000003E-2</v>
      </c>
      <c r="I16" s="201"/>
      <c r="J16" s="201"/>
      <c r="K16" s="202">
        <f>SUM(K6:K15)</f>
        <v>172032.85999999996</v>
      </c>
      <c r="L16" s="203">
        <f>ROUND(M16*10000/SUM(K6:K14),0)</f>
        <v>1800</v>
      </c>
      <c r="M16" s="203">
        <f>SUM(M6:M14)</f>
        <v>30381</v>
      </c>
      <c r="N16" s="204">
        <f>ROUND(SUMPRODUCT(M6:M14,N6:N14)/M16,3)</f>
        <v>0</v>
      </c>
      <c r="O16" s="203">
        <f>SUM(O6:O14)</f>
        <v>0</v>
      </c>
      <c r="P16" s="203">
        <f>SUM(P6:P14)</f>
        <v>30381</v>
      </c>
      <c r="Q16" s="205">
        <f>ROUND(SUMPRODUCT(Q6:Q13,K6:K13)/SUMPRODUCT((Q6:Q13&gt;0)*(K6:K13)),2)</f>
        <v>0.13</v>
      </c>
      <c r="R16" s="2188">
        <f>SUM(R6:R13)</f>
        <v>58645.68</v>
      </c>
      <c r="S16" s="206">
        <f>SUM(S6:S13)</f>
        <v>1470.0300000000002</v>
      </c>
      <c r="T16" s="207">
        <f>IF(SUMIF(T6:T13,"&lt;9E307")=M14,SUMIF(T6:T13,"&lt;9E307"),"有误，请检查")</f>
        <v>265</v>
      </c>
      <c r="U16" s="208"/>
      <c r="V16" s="209"/>
      <c r="W16" s="209"/>
      <c r="X16" s="212"/>
      <c r="Y16" s="210"/>
      <c r="Z16" s="211"/>
      <c r="AA16" s="209"/>
      <c r="AB16" s="209"/>
      <c r="AC16" s="212"/>
      <c r="AD16" s="212"/>
      <c r="AE16" s="208"/>
      <c r="AF16" s="209"/>
      <c r="AG16" s="210"/>
      <c r="AH16" s="209"/>
      <c r="AI16" s="211"/>
      <c r="AJ16" s="211"/>
      <c r="AK16" s="209"/>
      <c r="AL16" s="209"/>
      <c r="AM16" s="210"/>
      <c r="AN16" s="3086"/>
      <c r="AO16" s="3086"/>
      <c r="AP16" s="1186">
        <f>ROUND(SUMPRODUCT(AP6:AP13,K6:K13)/SUMPRODUCT((AP6:AP13&gt;0)*(K6:K13)),3)</f>
        <v>0.90400000000000003</v>
      </c>
      <c r="AQ16" s="3086"/>
      <c r="AR16" s="3086"/>
      <c r="AS16" s="3086"/>
      <c r="AT16" s="3086"/>
      <c r="AU16" s="3086"/>
      <c r="AV16" s="3086"/>
      <c r="AW16" s="3086"/>
      <c r="AX16" s="3086"/>
      <c r="AY16" s="3086"/>
      <c r="AZ16" s="3086"/>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6"/>
      <c r="B17" s="3083"/>
      <c r="C17" s="3083"/>
      <c r="D17" s="3084"/>
      <c r="E17" s="3084"/>
      <c r="F17" s="3083"/>
      <c r="G17" s="3083"/>
      <c r="H17" s="3083"/>
      <c r="I17" s="3083"/>
      <c r="J17" s="3083"/>
      <c r="K17" s="3085"/>
      <c r="L17" s="3085"/>
      <c r="M17" s="3083"/>
      <c r="N17" s="3083"/>
      <c r="O17" s="3083"/>
      <c r="P17" s="3083"/>
      <c r="Q17" s="3083"/>
      <c r="R17" s="3083"/>
      <c r="S17" s="3083"/>
      <c r="T17" s="3083"/>
      <c r="U17" s="3083"/>
      <c r="V17" s="3083"/>
      <c r="W17" s="3083"/>
      <c r="X17" s="3083"/>
      <c r="Y17" s="3083"/>
      <c r="Z17" s="3083"/>
      <c r="AA17" s="3083"/>
      <c r="AB17" s="3083"/>
      <c r="AC17" s="3083"/>
      <c r="AD17" s="3083"/>
      <c r="AE17" s="3083"/>
      <c r="AF17" s="3083"/>
      <c r="AG17" s="3083"/>
      <c r="AH17" s="3083"/>
      <c r="AI17" s="3083"/>
      <c r="AJ17" s="3083"/>
      <c r="AK17" s="3083"/>
      <c r="AL17" s="3083"/>
      <c r="AM17" s="3083"/>
      <c r="AN17" s="3083"/>
      <c r="AO17" s="3083"/>
      <c r="AP17" s="3083"/>
      <c r="AQ17" s="3083"/>
      <c r="AR17" s="3083"/>
      <c r="AS17" s="3083"/>
      <c r="AT17" s="3083"/>
      <c r="AU17" s="3083"/>
      <c r="AV17" s="3083"/>
      <c r="AW17" s="3083"/>
      <c r="AX17" s="3083"/>
      <c r="AY17" s="3083"/>
      <c r="AZ17" s="3083"/>
    </row>
    <row r="18" spans="1:83" ht="15" thickBot="1">
      <c r="A18" s="148" t="s">
        <v>262</v>
      </c>
      <c r="B18" s="3086"/>
      <c r="C18" s="3086"/>
      <c r="D18" s="3087"/>
      <c r="E18" s="3086"/>
      <c r="F18" s="3086"/>
      <c r="G18" s="3086"/>
      <c r="H18" s="3086"/>
      <c r="I18" s="3086"/>
      <c r="J18" s="3086"/>
      <c r="K18" s="3085"/>
      <c r="L18" s="3085"/>
      <c r="M18" s="3083"/>
      <c r="N18" s="3083"/>
      <c r="O18" s="3083"/>
      <c r="P18" s="3083"/>
      <c r="Q18" s="3083"/>
      <c r="R18" s="3083"/>
      <c r="S18" s="3083"/>
      <c r="T18" s="3083"/>
      <c r="U18" s="3083"/>
      <c r="V18" s="3083"/>
      <c r="W18" s="3083"/>
      <c r="X18" s="3083"/>
      <c r="Y18" s="3083"/>
      <c r="Z18" s="3083"/>
      <c r="AA18" s="3083"/>
      <c r="AB18" s="3083"/>
      <c r="AC18" s="3083"/>
      <c r="AD18" s="3083"/>
      <c r="AE18" s="3083"/>
      <c r="AF18" s="3083"/>
      <c r="AG18" s="3083"/>
      <c r="AH18" s="3083"/>
      <c r="AI18" s="3083"/>
      <c r="AJ18" s="3083"/>
      <c r="AK18" s="3083"/>
      <c r="AL18" s="3083"/>
      <c r="AM18" s="3083"/>
      <c r="AN18" s="3083"/>
      <c r="AO18" s="3083"/>
      <c r="AP18" s="3083"/>
      <c r="AQ18" s="3083"/>
      <c r="AR18" s="3083"/>
      <c r="AS18" s="3083"/>
      <c r="AT18" s="3083"/>
      <c r="AU18" s="3083"/>
      <c r="AV18" s="3083"/>
      <c r="AW18" s="3083"/>
      <c r="AX18" s="3083"/>
      <c r="AY18" s="3083"/>
      <c r="AZ18" s="3083"/>
    </row>
    <row r="19" spans="1:83" ht="14.25">
      <c r="A19" s="214" t="s">
        <v>263</v>
      </c>
      <c r="B19" s="215">
        <v>0</v>
      </c>
      <c r="C19" s="3098" t="s">
        <v>2987</v>
      </c>
      <c r="D19" s="3087"/>
      <c r="E19" s="3086"/>
      <c r="F19" s="3086"/>
      <c r="G19" s="3086"/>
      <c r="H19" s="3086"/>
      <c r="I19" s="3086"/>
      <c r="J19" s="3086"/>
      <c r="K19" s="3085"/>
      <c r="L19" s="3085"/>
      <c r="M19" s="3083"/>
      <c r="N19" s="3083"/>
      <c r="O19" s="3083"/>
      <c r="P19" s="3083"/>
      <c r="Q19" s="3083"/>
      <c r="R19" s="3083"/>
      <c r="S19" s="3083"/>
      <c r="T19" s="3083"/>
      <c r="U19" s="3083"/>
      <c r="V19" s="3083"/>
      <c r="W19" s="3083"/>
      <c r="X19" s="3083"/>
      <c r="Y19" s="3083"/>
      <c r="Z19" s="3083"/>
      <c r="AA19" s="3083"/>
      <c r="AB19" s="3083"/>
      <c r="AC19" s="3083"/>
      <c r="AD19" s="3083"/>
      <c r="AE19" s="3083"/>
      <c r="AF19" s="3083"/>
      <c r="AG19" s="3083"/>
      <c r="AH19" s="3083"/>
      <c r="AI19" s="3083"/>
      <c r="AJ19" s="3083"/>
      <c r="AK19" s="3083"/>
      <c r="AL19" s="3083"/>
      <c r="AM19" s="3083"/>
      <c r="AN19" s="3083"/>
      <c r="AO19" s="3083"/>
      <c r="AP19" s="3083"/>
      <c r="AQ19" s="3083"/>
      <c r="AR19" s="3083"/>
      <c r="AS19" s="3083"/>
      <c r="AT19" s="3083"/>
      <c r="AU19" s="3083"/>
      <c r="AV19" s="3083"/>
      <c r="AW19" s="3083"/>
      <c r="AX19" s="3083"/>
      <c r="AY19" s="3083"/>
      <c r="AZ19" s="3083"/>
    </row>
    <row r="20" spans="1:83" ht="14.25">
      <c r="A20" s="216" t="s">
        <v>264</v>
      </c>
      <c r="B20" s="217">
        <v>2.5</v>
      </c>
      <c r="C20" s="3098" t="s">
        <v>2322</v>
      </c>
      <c r="D20" s="3087"/>
      <c r="E20" s="3086"/>
      <c r="F20" s="3086"/>
      <c r="G20" s="3086"/>
      <c r="H20" s="3086"/>
      <c r="I20" s="3086"/>
      <c r="J20" s="3086"/>
      <c r="K20" s="2103"/>
      <c r="L20" s="3290" t="s">
        <v>3065</v>
      </c>
      <c r="M20" s="3291" t="s">
        <v>3066</v>
      </c>
      <c r="N20" s="3291" t="s">
        <v>3067</v>
      </c>
      <c r="O20" s="3083"/>
      <c r="P20" s="3083"/>
      <c r="Q20" s="3083"/>
      <c r="R20" s="3083"/>
      <c r="S20" s="3083"/>
      <c r="T20" s="3083"/>
      <c r="U20" s="3083"/>
      <c r="V20" s="3083"/>
      <c r="W20" s="3083"/>
      <c r="X20" s="3083"/>
      <c r="Y20" s="3083"/>
      <c r="Z20" s="3083"/>
      <c r="AA20" s="3083"/>
      <c r="AB20" s="3083"/>
      <c r="AC20" s="3083"/>
      <c r="AD20" s="3083"/>
      <c r="AE20" s="3083"/>
      <c r="AF20" s="3083"/>
      <c r="AG20" s="3083"/>
      <c r="AH20" s="3083"/>
      <c r="AI20" s="3083"/>
      <c r="AJ20" s="3083"/>
      <c r="AK20" s="3083"/>
      <c r="AL20" s="3083"/>
      <c r="AM20" s="3083"/>
      <c r="AN20" s="3083"/>
      <c r="AO20" s="3083"/>
      <c r="AP20" s="3083"/>
      <c r="AQ20" s="3083"/>
      <c r="AR20" s="3083"/>
      <c r="AS20" s="3083"/>
      <c r="AT20" s="3083"/>
      <c r="AU20" s="3083"/>
      <c r="AV20" s="3083"/>
      <c r="AW20" s="3083"/>
      <c r="AX20" s="3083"/>
      <c r="AY20" s="3083"/>
      <c r="AZ20" s="3083"/>
    </row>
    <row r="21" spans="1:83" ht="14.25">
      <c r="A21" s="218" t="s">
        <v>265</v>
      </c>
      <c r="B21" s="217">
        <v>0</v>
      </c>
      <c r="C21" s="3086"/>
      <c r="D21" s="3087"/>
      <c r="E21" s="3086"/>
      <c r="F21" s="3086"/>
      <c r="G21" s="3086"/>
      <c r="H21" s="3086"/>
      <c r="I21" s="3086"/>
      <c r="J21" s="3086"/>
      <c r="K21" s="3292" t="s">
        <v>3068</v>
      </c>
      <c r="L21" s="2103">
        <v>1392</v>
      </c>
      <c r="M21" s="3293">
        <v>1495</v>
      </c>
      <c r="N21" s="3293">
        <v>1649</v>
      </c>
      <c r="O21" s="3083"/>
      <c r="P21" s="3083"/>
      <c r="Q21" s="3083"/>
      <c r="R21" s="3083"/>
      <c r="S21" s="3083"/>
      <c r="T21" s="3083"/>
      <c r="U21" s="3083"/>
      <c r="V21" s="3083"/>
      <c r="W21" s="3083"/>
      <c r="X21" s="3083"/>
      <c r="Y21" s="3083"/>
      <c r="Z21" s="3083"/>
      <c r="AA21" s="3083"/>
      <c r="AB21" s="3083"/>
      <c r="AC21" s="3083"/>
      <c r="AD21" s="3083"/>
      <c r="AE21" s="3083"/>
      <c r="AF21" s="3083"/>
      <c r="AG21" s="3083"/>
      <c r="AH21" s="3083"/>
      <c r="AI21" s="3083"/>
      <c r="AJ21" s="3083"/>
      <c r="AK21" s="3083"/>
      <c r="AL21" s="3083"/>
      <c r="AM21" s="3083"/>
      <c r="AN21" s="3083"/>
      <c r="AO21" s="3083"/>
      <c r="AP21" s="3083"/>
      <c r="AQ21" s="3083"/>
      <c r="AR21" s="3083"/>
      <c r="AS21" s="3083"/>
      <c r="AT21" s="3083"/>
      <c r="AU21" s="3083"/>
      <c r="AV21" s="3083"/>
      <c r="AW21" s="3083"/>
      <c r="AX21" s="3083"/>
      <c r="AY21" s="3083"/>
      <c r="AZ21" s="3083"/>
    </row>
    <row r="22" spans="1:83" ht="14.25">
      <c r="A22" s="216" t="s">
        <v>266</v>
      </c>
      <c r="B22" s="219">
        <f>B19+B20</f>
        <v>2.5</v>
      </c>
      <c r="C22" s="3086"/>
      <c r="D22" s="3087"/>
      <c r="E22" s="3086"/>
      <c r="F22" s="3086"/>
      <c r="G22" s="3086"/>
      <c r="H22" s="3086"/>
      <c r="I22" s="3086"/>
      <c r="J22" s="3086"/>
      <c r="K22" s="3085"/>
      <c r="L22" s="3085"/>
      <c r="M22" s="3083"/>
      <c r="N22" s="3083"/>
      <c r="O22" s="3083"/>
      <c r="P22" s="3083"/>
      <c r="Q22" s="3083"/>
      <c r="R22" s="3083"/>
      <c r="S22" s="3083"/>
      <c r="T22" s="3083"/>
      <c r="U22" s="3083"/>
      <c r="V22" s="3083"/>
      <c r="W22" s="3083"/>
      <c r="X22" s="3083"/>
      <c r="Y22" s="3083"/>
      <c r="Z22" s="3083"/>
      <c r="AA22" s="3083"/>
      <c r="AB22" s="3083"/>
      <c r="AC22" s="3083"/>
      <c r="AD22" s="3083"/>
      <c r="AE22" s="3083"/>
      <c r="AF22" s="3083"/>
      <c r="AG22" s="3083"/>
      <c r="AH22" s="3083"/>
      <c r="AI22" s="3083"/>
      <c r="AJ22" s="3083"/>
      <c r="AK22" s="3083"/>
      <c r="AL22" s="3083"/>
      <c r="AM22" s="3083"/>
      <c r="AN22" s="3083"/>
      <c r="AO22" s="3083"/>
      <c r="AP22" s="3083"/>
      <c r="AQ22" s="3083"/>
      <c r="AR22" s="3083"/>
      <c r="AS22" s="3083"/>
      <c r="AT22" s="3083"/>
      <c r="AU22" s="3083"/>
      <c r="AV22" s="3083"/>
      <c r="AW22" s="3083"/>
      <c r="AX22" s="3083"/>
      <c r="AY22" s="3083"/>
      <c r="AZ22" s="3083"/>
    </row>
    <row r="23" spans="1:83" ht="14.25">
      <c r="A23" s="218" t="s">
        <v>267</v>
      </c>
      <c r="B23" s="219">
        <f>B19+B21</f>
        <v>0</v>
      </c>
      <c r="C23" s="3086"/>
      <c r="D23" s="3087"/>
      <c r="E23" s="3086"/>
      <c r="F23" s="3086"/>
      <c r="G23" s="3086"/>
      <c r="H23" s="3086"/>
      <c r="I23" s="3086"/>
      <c r="J23" s="3086"/>
      <c r="K23" s="3085"/>
      <c r="L23" s="3085"/>
      <c r="M23" s="3083"/>
      <c r="N23" s="3083"/>
      <c r="O23" s="3083"/>
      <c r="P23" s="3083"/>
      <c r="Q23" s="3083"/>
      <c r="R23" s="3083"/>
      <c r="S23" s="3083"/>
      <c r="T23" s="3083"/>
      <c r="U23" s="3083"/>
      <c r="V23" s="3083"/>
      <c r="W23" s="3083"/>
      <c r="X23" s="3083"/>
      <c r="Y23" s="3083"/>
      <c r="Z23" s="3083"/>
      <c r="AA23" s="3083"/>
      <c r="AB23" s="3083"/>
      <c r="AC23" s="3083"/>
      <c r="AD23" s="3083"/>
      <c r="AE23" s="3083"/>
      <c r="AF23" s="3083"/>
      <c r="AG23" s="3083"/>
      <c r="AH23" s="3083"/>
      <c r="AI23" s="3083"/>
      <c r="AJ23" s="3083"/>
      <c r="AK23" s="3083"/>
      <c r="AL23" s="3083"/>
      <c r="AM23" s="3083"/>
      <c r="AN23" s="3083"/>
      <c r="AO23" s="3083"/>
      <c r="AP23" s="3083"/>
      <c r="AQ23" s="3083"/>
      <c r="AR23" s="3083"/>
      <c r="AS23" s="3083"/>
      <c r="AT23" s="3083"/>
      <c r="AU23" s="3083"/>
      <c r="AV23" s="3083"/>
      <c r="AW23" s="3083"/>
      <c r="AX23" s="3083"/>
      <c r="AY23" s="3083"/>
      <c r="AZ23" s="3083"/>
    </row>
    <row r="24" spans="1:83" ht="15" thickBot="1">
      <c r="A24" s="220" t="s">
        <v>268</v>
      </c>
      <c r="B24" s="221">
        <f>B20-B21</f>
        <v>2.5</v>
      </c>
      <c r="C24" s="3086"/>
      <c r="D24" s="3087"/>
      <c r="E24" s="3086"/>
      <c r="F24" s="3086"/>
      <c r="G24" s="3086"/>
      <c r="H24" s="3086"/>
      <c r="I24" s="3086"/>
      <c r="J24" s="3086"/>
      <c r="K24" s="3085"/>
      <c r="L24" s="3085"/>
      <c r="M24" s="3083"/>
      <c r="N24" s="3083"/>
      <c r="O24" s="3083"/>
      <c r="P24" s="3083"/>
      <c r="Q24" s="3083"/>
      <c r="R24" s="3083"/>
      <c r="S24" s="3083"/>
      <c r="T24" s="3083"/>
      <c r="U24" s="3083"/>
      <c r="V24" s="3083"/>
      <c r="W24" s="3083"/>
      <c r="X24" s="3083"/>
      <c r="Y24" s="3083"/>
      <c r="Z24" s="3083"/>
      <c r="AA24" s="3083"/>
      <c r="AB24" s="3083"/>
      <c r="AC24" s="3083"/>
      <c r="AD24" s="3083"/>
      <c r="AE24" s="3083"/>
      <c r="AF24" s="3083"/>
      <c r="AG24" s="3083"/>
      <c r="AH24" s="3083"/>
      <c r="AI24" s="3083"/>
      <c r="AJ24" s="3083"/>
      <c r="AK24" s="3083"/>
      <c r="AL24" s="3083"/>
      <c r="AM24" s="3083"/>
      <c r="AN24" s="3083"/>
      <c r="AO24" s="3083"/>
      <c r="AP24" s="3083"/>
      <c r="AQ24" s="3083"/>
      <c r="AR24" s="3083"/>
      <c r="AS24" s="3083"/>
      <c r="AT24" s="3083"/>
      <c r="AU24" s="3083"/>
      <c r="AV24" s="3083"/>
      <c r="AW24" s="3083"/>
      <c r="AX24" s="3083"/>
      <c r="AY24" s="3083"/>
      <c r="AZ24" s="3083"/>
    </row>
    <row r="25" spans="1:83" ht="15" thickBot="1">
      <c r="A25" s="1189"/>
      <c r="B25" s="1186"/>
      <c r="C25" s="3086"/>
      <c r="D25" s="3087"/>
      <c r="E25" s="3086"/>
      <c r="F25" s="3086"/>
      <c r="G25" s="3086"/>
      <c r="H25" s="3086"/>
      <c r="I25" s="3086"/>
      <c r="J25" s="3086"/>
      <c r="K25" s="3085"/>
      <c r="L25" s="3085"/>
      <c r="M25" s="3083"/>
      <c r="N25" s="3083"/>
      <c r="O25" s="3083"/>
      <c r="P25" s="3083"/>
      <c r="Q25" s="3083"/>
      <c r="R25" s="3083"/>
      <c r="S25" s="3083"/>
      <c r="T25" s="3083"/>
      <c r="U25" s="3083"/>
      <c r="V25" s="3083"/>
      <c r="W25" s="3083"/>
      <c r="X25" s="3083"/>
      <c r="Y25" s="3083"/>
      <c r="Z25" s="3083"/>
      <c r="AA25" s="3083"/>
      <c r="AB25" s="3083"/>
      <c r="AC25" s="3083"/>
      <c r="AD25" s="3083"/>
      <c r="AE25" s="3083"/>
      <c r="AF25" s="3083"/>
      <c r="AG25" s="3083"/>
      <c r="AH25" s="3083"/>
      <c r="AI25" s="3083"/>
      <c r="AJ25" s="3083"/>
      <c r="AK25" s="3083"/>
      <c r="AL25" s="3083"/>
      <c r="AM25" s="3083"/>
      <c r="AN25" s="3083"/>
      <c r="AO25" s="3083"/>
      <c r="AP25" s="3083"/>
      <c r="AQ25" s="3083"/>
      <c r="AR25" s="3083"/>
      <c r="AS25" s="3083"/>
      <c r="AT25" s="3083"/>
      <c r="AU25" s="3083"/>
      <c r="AV25" s="3083"/>
      <c r="AW25" s="3083"/>
      <c r="AX25" s="3083"/>
      <c r="AY25" s="3083"/>
      <c r="AZ25" s="3083"/>
    </row>
    <row r="26" spans="1:83" ht="15" thickBot="1">
      <c r="A26" s="147" t="s">
        <v>269</v>
      </c>
      <c r="B26" s="222" t="s">
        <v>270</v>
      </c>
      <c r="C26" s="3088" t="s">
        <v>271</v>
      </c>
      <c r="D26" s="3087"/>
      <c r="E26" s="3086"/>
      <c r="F26" s="3086"/>
      <c r="G26" s="3086"/>
      <c r="H26" s="3086"/>
      <c r="I26" s="3086"/>
      <c r="J26" s="3086"/>
      <c r="K26" s="3085"/>
      <c r="L26" s="3085"/>
      <c r="M26" s="3083"/>
      <c r="N26" s="3083"/>
      <c r="O26" s="3083"/>
      <c r="P26" s="3083"/>
      <c r="Q26" s="3083"/>
      <c r="R26" s="3083"/>
      <c r="S26" s="3083"/>
      <c r="T26" s="3083"/>
      <c r="U26" s="3083"/>
      <c r="V26" s="3083"/>
      <c r="W26" s="3083"/>
      <c r="X26" s="3083"/>
      <c r="Y26" s="3083"/>
      <c r="Z26" s="3083"/>
      <c r="AA26" s="3083"/>
      <c r="AB26" s="3083"/>
      <c r="AC26" s="3083"/>
      <c r="AD26" s="3083"/>
      <c r="AE26" s="3083"/>
      <c r="AF26" s="3083"/>
      <c r="AG26" s="3083"/>
      <c r="AH26" s="3083"/>
      <c r="AI26" s="3083"/>
      <c r="AJ26" s="3083"/>
      <c r="AK26" s="3083"/>
      <c r="AL26" s="3083"/>
      <c r="AM26" s="3083"/>
      <c r="AN26" s="3083"/>
      <c r="AO26" s="3083"/>
      <c r="AP26" s="3083"/>
      <c r="AQ26" s="3083"/>
      <c r="AR26" s="3083"/>
      <c r="AS26" s="3083"/>
      <c r="AT26" s="3083"/>
      <c r="AU26" s="3083"/>
      <c r="AV26" s="3083"/>
      <c r="AW26" s="3083"/>
      <c r="AX26" s="3083"/>
      <c r="AY26" s="3083"/>
      <c r="AZ26" s="3083"/>
    </row>
    <row r="27" spans="1:83" s="1197" customFormat="1" ht="27.75">
      <c r="A27" s="223" t="s">
        <v>2324</v>
      </c>
      <c r="B27" s="224">
        <v>75</v>
      </c>
      <c r="C27" s="3099" t="s">
        <v>2988</v>
      </c>
      <c r="D27" s="3090" t="s">
        <v>3583</v>
      </c>
      <c r="E27" s="3091"/>
      <c r="F27" s="3091"/>
      <c r="G27" s="3086"/>
      <c r="H27" s="3086"/>
      <c r="I27" s="3086"/>
      <c r="J27" s="3086"/>
      <c r="K27" s="3085"/>
      <c r="L27" s="3085"/>
      <c r="M27" s="3083"/>
      <c r="N27" s="3083"/>
      <c r="O27" s="3083"/>
      <c r="P27" s="3083"/>
      <c r="Q27" s="3083"/>
      <c r="R27" s="3083"/>
      <c r="S27" s="3083"/>
      <c r="T27" s="3083"/>
      <c r="U27" s="3083"/>
      <c r="V27" s="3083"/>
      <c r="W27" s="3083"/>
      <c r="X27" s="3083"/>
      <c r="Y27" s="3083"/>
      <c r="Z27" s="3083"/>
      <c r="AA27" s="3083"/>
      <c r="AB27" s="3083"/>
      <c r="AC27" s="3083"/>
      <c r="AD27" s="3083"/>
      <c r="AE27" s="3083"/>
      <c r="AF27" s="3083"/>
      <c r="AG27" s="3083"/>
      <c r="AH27" s="3083"/>
      <c r="AI27" s="3083"/>
      <c r="AJ27" s="3083"/>
      <c r="AK27" s="3083"/>
      <c r="AL27" s="3083"/>
      <c r="AM27" s="3083"/>
      <c r="AN27" s="3083"/>
      <c r="AO27" s="3083"/>
      <c r="AP27" s="3083"/>
      <c r="AQ27" s="3083"/>
      <c r="AR27" s="3083"/>
      <c r="AS27" s="3083"/>
      <c r="AT27" s="3083"/>
      <c r="AU27" s="3083"/>
      <c r="AV27" s="3083"/>
      <c r="AW27" s="3083"/>
      <c r="AX27" s="3083"/>
      <c r="AY27" s="3083"/>
      <c r="AZ27" s="3083"/>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7" customFormat="1" ht="27.75">
      <c r="A28" s="225" t="s">
        <v>2325</v>
      </c>
      <c r="B28" s="226">
        <v>75</v>
      </c>
      <c r="C28" s="3092"/>
      <c r="D28" s="3090"/>
      <c r="E28" s="3091"/>
      <c r="F28" s="3091"/>
      <c r="G28" s="3086"/>
      <c r="H28" s="3086"/>
      <c r="I28" s="3086"/>
      <c r="J28" s="3086"/>
      <c r="K28" s="3085"/>
      <c r="L28" s="3085"/>
      <c r="M28" s="3083"/>
      <c r="N28" s="3083"/>
      <c r="O28" s="3083"/>
      <c r="P28" s="3083"/>
      <c r="Q28" s="3083"/>
      <c r="R28" s="3083"/>
      <c r="S28" s="3083"/>
      <c r="T28" s="3083"/>
      <c r="U28" s="3083"/>
      <c r="V28" s="3083"/>
      <c r="W28" s="3083"/>
      <c r="X28" s="3083"/>
      <c r="Y28" s="3083"/>
      <c r="Z28" s="3083"/>
      <c r="AA28" s="3083"/>
      <c r="AB28" s="3083"/>
      <c r="AC28" s="3083"/>
      <c r="AD28" s="3083"/>
      <c r="AE28" s="3083"/>
      <c r="AF28" s="3083"/>
      <c r="AG28" s="3083"/>
      <c r="AH28" s="3083"/>
      <c r="AI28" s="3083"/>
      <c r="AJ28" s="3083"/>
      <c r="AK28" s="3083"/>
      <c r="AL28" s="3083"/>
      <c r="AM28" s="3083"/>
      <c r="AN28" s="3083"/>
      <c r="AO28" s="3083"/>
      <c r="AP28" s="3083"/>
      <c r="AQ28" s="3083"/>
      <c r="AR28" s="3083"/>
      <c r="AS28" s="3083"/>
      <c r="AT28" s="3083"/>
      <c r="AU28" s="3083"/>
      <c r="AV28" s="3083"/>
      <c r="AW28" s="3083"/>
      <c r="AX28" s="3083"/>
      <c r="AY28" s="3083"/>
      <c r="AZ28" s="3083"/>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7" customFormat="1" ht="28.5" thickBot="1">
      <c r="A29" s="228" t="s">
        <v>2323</v>
      </c>
      <c r="B29" s="229">
        <v>0</v>
      </c>
      <c r="C29" s="3100" t="s">
        <v>2326</v>
      </c>
      <c r="D29" s="3090"/>
      <c r="E29" s="3091"/>
      <c r="F29" s="3091"/>
      <c r="G29" s="3086"/>
      <c r="H29" s="3086"/>
      <c r="I29" s="3086"/>
      <c r="J29" s="3086"/>
      <c r="K29" s="3085"/>
      <c r="L29" s="3085"/>
      <c r="M29" s="3083"/>
      <c r="N29" s="3083"/>
      <c r="O29" s="3083"/>
      <c r="P29" s="3083"/>
      <c r="Q29" s="3083"/>
      <c r="R29" s="3083"/>
      <c r="S29" s="3083"/>
      <c r="T29" s="3083"/>
      <c r="U29" s="3083"/>
      <c r="V29" s="3083"/>
      <c r="W29" s="3083"/>
      <c r="X29" s="3083"/>
      <c r="Y29" s="3083"/>
      <c r="Z29" s="3083"/>
      <c r="AA29" s="3083"/>
      <c r="AB29" s="3083"/>
      <c r="AC29" s="3083"/>
      <c r="AD29" s="3083"/>
      <c r="AE29" s="3083"/>
      <c r="AF29" s="3083"/>
      <c r="AG29" s="3083"/>
      <c r="AH29" s="3083"/>
      <c r="AI29" s="3083"/>
      <c r="AJ29" s="3083"/>
      <c r="AK29" s="3083"/>
      <c r="AL29" s="3083"/>
      <c r="AM29" s="3083"/>
      <c r="AN29" s="3083"/>
      <c r="AO29" s="3083"/>
      <c r="AP29" s="3083"/>
      <c r="AQ29" s="3083"/>
      <c r="AR29" s="3083"/>
      <c r="AS29" s="3083"/>
      <c r="AT29" s="3083"/>
      <c r="AU29" s="3083"/>
      <c r="AV29" s="3083"/>
      <c r="AW29" s="3083"/>
      <c r="AX29" s="3083"/>
      <c r="AY29" s="3083"/>
      <c r="AZ29" s="3083"/>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7" customFormat="1" ht="27">
      <c r="A30" s="232" t="s">
        <v>272</v>
      </c>
      <c r="B30" s="965">
        <v>200</v>
      </c>
      <c r="C30" s="3092"/>
      <c r="D30" s="3090"/>
      <c r="E30" s="3091"/>
      <c r="F30" s="3091"/>
      <c r="G30" s="3086"/>
      <c r="H30" s="3086"/>
      <c r="I30" s="3086"/>
      <c r="J30" s="3086"/>
      <c r="K30" s="3085"/>
      <c r="L30" s="3085"/>
      <c r="M30" s="3083"/>
      <c r="N30" s="3083"/>
      <c r="O30" s="3083"/>
      <c r="P30" s="3083"/>
      <c r="Q30" s="3083"/>
      <c r="R30" s="3083"/>
      <c r="S30" s="3083"/>
      <c r="T30" s="3083"/>
      <c r="U30" s="3083"/>
      <c r="V30" s="3083"/>
      <c r="W30" s="3083"/>
      <c r="X30" s="3083"/>
      <c r="Y30" s="3083"/>
      <c r="Z30" s="3083"/>
      <c r="AA30" s="3083"/>
      <c r="AB30" s="3083"/>
      <c r="AC30" s="3083"/>
      <c r="AD30" s="3083"/>
      <c r="AE30" s="3083"/>
      <c r="AF30" s="3083"/>
      <c r="AG30" s="3083"/>
      <c r="AH30" s="3083"/>
      <c r="AI30" s="3083"/>
      <c r="AJ30" s="3083"/>
      <c r="AK30" s="3083"/>
      <c r="AL30" s="3083"/>
      <c r="AM30" s="3083"/>
      <c r="AN30" s="3083"/>
      <c r="AO30" s="3083"/>
      <c r="AP30" s="3083"/>
      <c r="AQ30" s="3083"/>
      <c r="AR30" s="3083"/>
      <c r="AS30" s="3083"/>
      <c r="AT30" s="3083"/>
      <c r="AU30" s="3083"/>
      <c r="AV30" s="3083"/>
      <c r="AW30" s="3083"/>
      <c r="AX30" s="3083"/>
      <c r="AY30" s="3083"/>
      <c r="AZ30" s="3083"/>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7" customFormat="1" ht="27">
      <c r="A31" s="225" t="s">
        <v>273</v>
      </c>
      <c r="B31" s="227">
        <f>B30-B32</f>
        <v>200</v>
      </c>
      <c r="C31" s="3089"/>
      <c r="D31" s="3090"/>
      <c r="E31" s="3091"/>
      <c r="F31" s="3091"/>
      <c r="G31" s="3086"/>
      <c r="H31" s="3086"/>
      <c r="I31" s="3086"/>
      <c r="J31" s="3086"/>
      <c r="K31" s="3085"/>
      <c r="L31" s="3085"/>
      <c r="M31" s="3083"/>
      <c r="N31" s="3083"/>
      <c r="O31" s="3083"/>
      <c r="P31" s="3083"/>
      <c r="Q31" s="3083"/>
      <c r="R31" s="3083"/>
      <c r="S31" s="3083"/>
      <c r="T31" s="3083"/>
      <c r="U31" s="3083"/>
      <c r="V31" s="3083"/>
      <c r="W31" s="3083"/>
      <c r="X31" s="3083"/>
      <c r="Y31" s="3083"/>
      <c r="Z31" s="3083"/>
      <c r="AA31" s="3083"/>
      <c r="AB31" s="3083"/>
      <c r="AC31" s="3083"/>
      <c r="AD31" s="3083"/>
      <c r="AE31" s="3083"/>
      <c r="AF31" s="3083"/>
      <c r="AG31" s="3083"/>
      <c r="AH31" s="3083"/>
      <c r="AI31" s="3083"/>
      <c r="AJ31" s="3083"/>
      <c r="AK31" s="3083"/>
      <c r="AL31" s="3083"/>
      <c r="AM31" s="3083"/>
      <c r="AN31" s="3083"/>
      <c r="AO31" s="3083"/>
      <c r="AP31" s="3083"/>
      <c r="AQ31" s="3083"/>
      <c r="AR31" s="3083"/>
      <c r="AS31" s="3083"/>
      <c r="AT31" s="3083"/>
      <c r="AU31" s="3083"/>
      <c r="AV31" s="3083"/>
      <c r="AW31" s="3083"/>
      <c r="AX31" s="3083"/>
      <c r="AY31" s="3083"/>
      <c r="AZ31" s="3083"/>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7" customFormat="1" ht="27.75" thickBot="1">
      <c r="A32" s="234" t="s">
        <v>274</v>
      </c>
      <c r="B32" s="1327">
        <v>0</v>
      </c>
      <c r="C32" s="3092"/>
      <c r="D32" s="3087"/>
      <c r="E32" s="3086"/>
      <c r="F32" s="3086"/>
      <c r="G32" s="3086"/>
      <c r="H32" s="3086"/>
      <c r="I32" s="3086"/>
      <c r="J32" s="3086"/>
      <c r="K32" s="3085"/>
      <c r="L32" s="3085"/>
      <c r="M32" s="3083"/>
      <c r="N32" s="3083"/>
      <c r="O32" s="3083"/>
      <c r="P32" s="3083"/>
      <c r="Q32" s="3083"/>
      <c r="R32" s="3083"/>
      <c r="S32" s="3083"/>
      <c r="T32" s="3083"/>
      <c r="U32" s="3083"/>
      <c r="V32" s="3083"/>
      <c r="W32" s="3083"/>
      <c r="X32" s="3083"/>
      <c r="Y32" s="3083"/>
      <c r="Z32" s="3083"/>
      <c r="AA32" s="3083"/>
      <c r="AB32" s="3083"/>
      <c r="AC32" s="3083"/>
      <c r="AD32" s="3083"/>
      <c r="AE32" s="3083"/>
      <c r="AF32" s="3083"/>
      <c r="AG32" s="3083"/>
      <c r="AH32" s="3083"/>
      <c r="AI32" s="3083"/>
      <c r="AJ32" s="3083"/>
      <c r="AK32" s="3083"/>
      <c r="AL32" s="3083"/>
      <c r="AM32" s="3083"/>
      <c r="AN32" s="3083"/>
      <c r="AO32" s="3083"/>
      <c r="AP32" s="3083"/>
      <c r="AQ32" s="3083"/>
      <c r="AR32" s="3083"/>
      <c r="AS32" s="3083"/>
      <c r="AT32" s="3083"/>
      <c r="AU32" s="3083"/>
      <c r="AV32" s="3083"/>
      <c r="AW32" s="3083"/>
      <c r="AX32" s="3083"/>
      <c r="AY32" s="3083"/>
      <c r="AZ32" s="3083"/>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7" customFormat="1" ht="14.25">
      <c r="A33" s="223" t="s">
        <v>277</v>
      </c>
      <c r="B33" s="1328">
        <v>0.03</v>
      </c>
      <c r="C33" s="3101" t="s">
        <v>2975</v>
      </c>
      <c r="D33" s="3090"/>
      <c r="E33" s="3091"/>
      <c r="F33" s="3091"/>
      <c r="G33" s="3086"/>
      <c r="H33" s="3086"/>
      <c r="I33" s="3086"/>
      <c r="J33" s="3086"/>
      <c r="K33" s="3085"/>
      <c r="L33" s="3085"/>
      <c r="M33" s="3083"/>
      <c r="N33" s="3083"/>
      <c r="O33" s="3083"/>
      <c r="P33" s="3083"/>
      <c r="Q33" s="3083"/>
      <c r="R33" s="3083"/>
      <c r="S33" s="3083"/>
      <c r="T33" s="3083"/>
      <c r="U33" s="3083"/>
      <c r="V33" s="3083"/>
      <c r="W33" s="3083"/>
      <c r="X33" s="3083"/>
      <c r="Y33" s="3083"/>
      <c r="Z33" s="3083"/>
      <c r="AA33" s="3083"/>
      <c r="AB33" s="3083"/>
      <c r="AC33" s="3083"/>
      <c r="AD33" s="3083"/>
      <c r="AE33" s="3083"/>
      <c r="AF33" s="3083"/>
      <c r="AG33" s="3083"/>
      <c r="AH33" s="3083"/>
      <c r="AI33" s="3083"/>
      <c r="AJ33" s="3083"/>
      <c r="AK33" s="3083"/>
      <c r="AL33" s="3083"/>
      <c r="AM33" s="3083"/>
      <c r="AN33" s="3083"/>
      <c r="AO33" s="3083"/>
      <c r="AP33" s="3083"/>
      <c r="AQ33" s="3083"/>
      <c r="AR33" s="3083"/>
      <c r="AS33" s="3083"/>
      <c r="AT33" s="3083"/>
      <c r="AU33" s="3083"/>
      <c r="AV33" s="3083"/>
      <c r="AW33" s="3083"/>
      <c r="AX33" s="3083"/>
      <c r="AY33" s="3083"/>
      <c r="AZ33" s="3083"/>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278</v>
      </c>
      <c r="B34" s="230">
        <v>0.03</v>
      </c>
      <c r="C34" s="3101" t="s">
        <v>2976</v>
      </c>
      <c r="D34" s="3102" t="s">
        <v>2984</v>
      </c>
      <c r="E34" s="3083"/>
      <c r="F34" s="3086"/>
      <c r="G34" s="3086"/>
      <c r="H34" s="3086"/>
      <c r="I34" s="3086"/>
      <c r="J34" s="3086"/>
      <c r="K34" s="3085"/>
      <c r="L34" s="3085"/>
      <c r="M34" s="3083"/>
      <c r="N34" s="3083"/>
      <c r="O34" s="3083"/>
      <c r="P34" s="3083"/>
      <c r="Q34" s="3083"/>
      <c r="R34" s="3083"/>
      <c r="S34" s="3083"/>
      <c r="T34" s="3083"/>
      <c r="U34" s="3083"/>
      <c r="V34" s="3083"/>
      <c r="W34" s="3083"/>
      <c r="X34" s="3083"/>
      <c r="Y34" s="3083"/>
      <c r="Z34" s="3083"/>
      <c r="AA34" s="3083"/>
      <c r="AB34" s="3083"/>
      <c r="AC34" s="3083"/>
      <c r="AD34" s="3083"/>
      <c r="AE34" s="3083"/>
      <c r="AF34" s="3083"/>
      <c r="AG34" s="3083"/>
      <c r="AH34" s="3083"/>
      <c r="AI34" s="3083"/>
      <c r="AJ34" s="3083"/>
      <c r="AK34" s="3083"/>
      <c r="AL34" s="3083"/>
      <c r="AM34" s="3083"/>
      <c r="AN34" s="3083"/>
      <c r="AO34" s="3083"/>
      <c r="AP34" s="3083"/>
      <c r="AQ34" s="3083"/>
      <c r="AR34" s="3083"/>
      <c r="AS34" s="3083"/>
      <c r="AT34" s="3083"/>
      <c r="AU34" s="3083"/>
      <c r="AV34" s="3083"/>
      <c r="AW34" s="3083"/>
      <c r="AX34" s="3083"/>
      <c r="AY34" s="3083"/>
      <c r="AZ34" s="3083"/>
    </row>
    <row r="35" spans="1:83" ht="14.25">
      <c r="A35" s="225" t="s">
        <v>275</v>
      </c>
      <c r="B35" s="226">
        <v>200</v>
      </c>
      <c r="C35" s="3101" t="s">
        <v>2977</v>
      </c>
      <c r="D35" s="3087"/>
      <c r="E35" s="3086"/>
      <c r="F35" s="3086"/>
      <c r="G35" s="3086"/>
      <c r="H35" s="3086"/>
      <c r="I35" s="3086"/>
      <c r="J35" s="3086"/>
      <c r="K35" s="3085"/>
      <c r="L35" s="3085"/>
      <c r="M35" s="3083"/>
      <c r="N35" s="3083"/>
      <c r="O35" s="3083"/>
      <c r="P35" s="3083"/>
      <c r="Q35" s="3083"/>
      <c r="R35" s="3083"/>
      <c r="S35" s="3083"/>
      <c r="T35" s="3083"/>
      <c r="U35" s="3083"/>
      <c r="V35" s="3083"/>
      <c r="W35" s="3083"/>
      <c r="X35" s="3083"/>
      <c r="Y35" s="3083"/>
      <c r="Z35" s="3083"/>
      <c r="AA35" s="3083"/>
      <c r="AB35" s="3083"/>
      <c r="AC35" s="3083"/>
      <c r="AD35" s="3083"/>
      <c r="AE35" s="3083"/>
      <c r="AF35" s="3083"/>
      <c r="AG35" s="3083"/>
      <c r="AH35" s="3083"/>
      <c r="AI35" s="3083"/>
      <c r="AJ35" s="3083"/>
      <c r="AK35" s="3083"/>
      <c r="AL35" s="3083"/>
      <c r="AM35" s="3083"/>
      <c r="AN35" s="3083"/>
      <c r="AO35" s="3083"/>
      <c r="AP35" s="3083"/>
      <c r="AQ35" s="3083"/>
      <c r="AR35" s="3083"/>
      <c r="AS35" s="3083"/>
      <c r="AT35" s="3083"/>
      <c r="AU35" s="3083"/>
      <c r="AV35" s="3083"/>
      <c r="AW35" s="3083"/>
      <c r="AX35" s="3083"/>
      <c r="AY35" s="3083"/>
      <c r="AZ35" s="3083"/>
    </row>
    <row r="36" spans="1:83" ht="15" thickBot="1">
      <c r="A36" s="228" t="s">
        <v>276</v>
      </c>
      <c r="B36" s="231">
        <v>1.4999999999999999E-2</v>
      </c>
      <c r="C36" s="3101" t="s">
        <v>2978</v>
      </c>
      <c r="D36" s="3084"/>
      <c r="E36" s="3083"/>
      <c r="F36" s="3086"/>
      <c r="G36" s="3086"/>
      <c r="H36" s="3086"/>
      <c r="I36" s="3086"/>
      <c r="J36" s="3086"/>
      <c r="K36" s="3085"/>
      <c r="L36" s="3085"/>
      <c r="M36" s="3083"/>
      <c r="N36" s="3083"/>
      <c r="O36" s="3083"/>
      <c r="P36" s="3083"/>
      <c r="Q36" s="3083"/>
      <c r="R36" s="3083"/>
      <c r="S36" s="3083"/>
      <c r="T36" s="3083"/>
      <c r="U36" s="3083"/>
      <c r="V36" s="3083"/>
      <c r="W36" s="3083"/>
      <c r="X36" s="3083"/>
      <c r="Y36" s="3083"/>
      <c r="Z36" s="3083"/>
      <c r="AA36" s="3083"/>
      <c r="AB36" s="3083"/>
      <c r="AC36" s="3083"/>
      <c r="AD36" s="3083"/>
      <c r="AE36" s="3083"/>
      <c r="AF36" s="3083"/>
      <c r="AG36" s="3083"/>
      <c r="AH36" s="3083"/>
      <c r="AI36" s="3083"/>
      <c r="AJ36" s="3083"/>
      <c r="AK36" s="3083"/>
      <c r="AL36" s="3083"/>
      <c r="AM36" s="3083"/>
      <c r="AN36" s="3083"/>
      <c r="AO36" s="3083"/>
      <c r="AP36" s="3083"/>
      <c r="AQ36" s="3083"/>
      <c r="AR36" s="3083"/>
      <c r="AS36" s="3083"/>
      <c r="AT36" s="3083"/>
      <c r="AU36" s="3083"/>
      <c r="AV36" s="3083"/>
      <c r="AW36" s="3083"/>
      <c r="AX36" s="3083"/>
      <c r="AY36" s="3083"/>
      <c r="AZ36" s="3083"/>
    </row>
    <row r="37" spans="1:83" ht="14.25">
      <c r="A37" s="232" t="s">
        <v>279</v>
      </c>
      <c r="B37" s="233">
        <v>1.4999999999999999E-2</v>
      </c>
      <c r="C37" s="3101" t="s">
        <v>2979</v>
      </c>
      <c r="D37" s="3087"/>
      <c r="E37" s="3086"/>
      <c r="F37" s="3086"/>
      <c r="G37" s="3086"/>
      <c r="H37" s="3086"/>
      <c r="I37" s="3086"/>
      <c r="J37" s="3086"/>
      <c r="K37" s="3085"/>
      <c r="L37" s="3085"/>
      <c r="M37" s="3083"/>
      <c r="N37" s="3083"/>
      <c r="O37" s="3083"/>
      <c r="P37" s="3083"/>
      <c r="Q37" s="3083"/>
      <c r="R37" s="3083"/>
      <c r="S37" s="3083"/>
      <c r="T37" s="3083"/>
      <c r="U37" s="3083"/>
      <c r="V37" s="3083"/>
      <c r="W37" s="3083"/>
      <c r="X37" s="3083"/>
      <c r="Y37" s="3083"/>
      <c r="Z37" s="3083"/>
      <c r="AA37" s="3083"/>
      <c r="AB37" s="3083"/>
      <c r="AC37" s="3083"/>
      <c r="AD37" s="3083"/>
      <c r="AE37" s="3083"/>
      <c r="AF37" s="3083"/>
      <c r="AG37" s="3083"/>
      <c r="AH37" s="3083"/>
      <c r="AI37" s="3083"/>
      <c r="AJ37" s="3083"/>
      <c r="AK37" s="3083"/>
      <c r="AL37" s="3083"/>
      <c r="AM37" s="3083"/>
      <c r="AN37" s="3083"/>
      <c r="AO37" s="3083"/>
      <c r="AP37" s="3083"/>
      <c r="AQ37" s="3083"/>
      <c r="AR37" s="3083"/>
      <c r="AS37" s="3083"/>
      <c r="AT37" s="3083"/>
      <c r="AU37" s="3083"/>
      <c r="AV37" s="3083"/>
      <c r="AW37" s="3083"/>
      <c r="AX37" s="3083"/>
      <c r="AY37" s="3083"/>
      <c r="AZ37" s="3083"/>
    </row>
    <row r="38" spans="1:83" ht="14.25">
      <c r="A38" s="225" t="s">
        <v>280</v>
      </c>
      <c r="B38" s="230">
        <v>1.4999999999999999E-2</v>
      </c>
      <c r="C38" s="3101" t="s">
        <v>2979</v>
      </c>
      <c r="D38" s="3087"/>
      <c r="E38" s="3086"/>
      <c r="F38" s="3086"/>
      <c r="G38" s="3086"/>
      <c r="H38" s="3086"/>
      <c r="I38" s="3086"/>
      <c r="J38" s="3086"/>
      <c r="K38" s="3085"/>
      <c r="L38" s="3085"/>
      <c r="M38" s="3083"/>
      <c r="N38" s="3083"/>
      <c r="O38" s="3083"/>
      <c r="P38" s="3083"/>
      <c r="Q38" s="3083"/>
      <c r="R38" s="3083"/>
      <c r="S38" s="3083"/>
      <c r="T38" s="3083"/>
      <c r="U38" s="3083"/>
      <c r="V38" s="3083"/>
      <c r="W38" s="3083"/>
      <c r="X38" s="3083"/>
      <c r="Y38" s="3083"/>
      <c r="Z38" s="3083"/>
      <c r="AA38" s="3083"/>
      <c r="AB38" s="3083"/>
      <c r="AC38" s="3083"/>
      <c r="AD38" s="3083"/>
      <c r="AE38" s="3083"/>
      <c r="AF38" s="3083"/>
      <c r="AG38" s="3083"/>
      <c r="AH38" s="3083"/>
      <c r="AI38" s="3083"/>
      <c r="AJ38" s="3083"/>
      <c r="AK38" s="3083"/>
      <c r="AL38" s="3083"/>
      <c r="AM38" s="3083"/>
      <c r="AN38" s="3083"/>
      <c r="AO38" s="3083"/>
      <c r="AP38" s="3083"/>
      <c r="AQ38" s="3083"/>
      <c r="AR38" s="3083"/>
      <c r="AS38" s="3083"/>
      <c r="AT38" s="3083"/>
      <c r="AU38" s="3083"/>
      <c r="AV38" s="3083"/>
      <c r="AW38" s="3083"/>
      <c r="AX38" s="3083"/>
      <c r="AY38" s="3083"/>
      <c r="AZ38" s="3083"/>
    </row>
    <row r="39" spans="1:83" ht="14.25">
      <c r="A39" s="2339" t="s">
        <v>2437</v>
      </c>
      <c r="B39" s="789">
        <f ca="1">存贷款利率!C4</f>
        <v>1.4999999999999999E-2</v>
      </c>
      <c r="C39" s="3093"/>
      <c r="D39" s="3087"/>
      <c r="E39" s="3086"/>
      <c r="F39" s="3086"/>
      <c r="G39" s="3086"/>
      <c r="H39" s="3086"/>
      <c r="I39" s="3086"/>
      <c r="J39" s="3086"/>
      <c r="K39" s="3085"/>
      <c r="L39" s="3085"/>
      <c r="M39" s="3083"/>
      <c r="N39" s="3083"/>
      <c r="O39" s="3083"/>
      <c r="P39" s="3083"/>
      <c r="Q39" s="3083"/>
      <c r="R39" s="3083"/>
      <c r="S39" s="3083"/>
      <c r="T39" s="3083"/>
      <c r="U39" s="3083"/>
      <c r="V39" s="3083"/>
      <c r="W39" s="3083"/>
      <c r="X39" s="3083"/>
      <c r="Y39" s="3083"/>
      <c r="Z39" s="3083"/>
      <c r="AA39" s="3083"/>
      <c r="AB39" s="3083"/>
      <c r="AC39" s="3083"/>
      <c r="AD39" s="3083"/>
      <c r="AE39" s="3083"/>
      <c r="AF39" s="3083"/>
      <c r="AG39" s="3083"/>
      <c r="AH39" s="3083"/>
      <c r="AI39" s="3083"/>
      <c r="AJ39" s="3083"/>
      <c r="AK39" s="3083"/>
      <c r="AL39" s="3083"/>
      <c r="AM39" s="3083"/>
      <c r="AN39" s="3083"/>
      <c r="AO39" s="3083"/>
      <c r="AP39" s="3083"/>
      <c r="AQ39" s="3083"/>
      <c r="AR39" s="3083"/>
      <c r="AS39" s="3083"/>
      <c r="AT39" s="3083"/>
      <c r="AU39" s="3083"/>
      <c r="AV39" s="3083"/>
      <c r="AW39" s="3083"/>
      <c r="AX39" s="3083"/>
      <c r="AY39" s="3083"/>
      <c r="AZ39" s="3083"/>
    </row>
    <row r="40" spans="1:83" ht="15" thickBot="1">
      <c r="A40" s="2339" t="s">
        <v>2438</v>
      </c>
      <c r="B40" s="2331">
        <f ca="1">存贷款利率!E2</f>
        <v>4.7500000000000001E-2</v>
      </c>
      <c r="C40" s="3101" t="s">
        <v>2980</v>
      </c>
      <c r="D40" s="3087"/>
      <c r="E40" s="3086"/>
      <c r="F40" s="3086"/>
      <c r="G40" s="3086"/>
      <c r="H40" s="3086"/>
      <c r="I40" s="3086"/>
      <c r="J40" s="3086"/>
      <c r="K40" s="3085"/>
      <c r="L40" s="3085"/>
      <c r="M40" s="3083"/>
      <c r="N40" s="3083"/>
      <c r="O40" s="3083"/>
      <c r="P40" s="3083"/>
      <c r="Q40" s="3083"/>
      <c r="R40" s="3083"/>
      <c r="S40" s="3083"/>
      <c r="T40" s="3083"/>
      <c r="U40" s="3083"/>
      <c r="V40" s="3083"/>
      <c r="W40" s="3083"/>
      <c r="X40" s="3083"/>
      <c r="Y40" s="3083"/>
      <c r="Z40" s="3083"/>
      <c r="AA40" s="3083"/>
      <c r="AB40" s="3083"/>
      <c r="AC40" s="3083"/>
      <c r="AD40" s="3083"/>
      <c r="AE40" s="3083"/>
      <c r="AF40" s="3083"/>
      <c r="AG40" s="3083"/>
      <c r="AH40" s="3083"/>
      <c r="AI40" s="3083"/>
      <c r="AJ40" s="3083"/>
      <c r="AK40" s="3083"/>
      <c r="AL40" s="3083"/>
      <c r="AM40" s="3083"/>
      <c r="AN40" s="3083"/>
      <c r="AO40" s="3083"/>
      <c r="AP40" s="3083"/>
      <c r="AQ40" s="3083"/>
      <c r="AR40" s="3083"/>
      <c r="AS40" s="3083"/>
      <c r="AT40" s="3083"/>
      <c r="AU40" s="3083"/>
      <c r="AV40" s="3083"/>
      <c r="AW40" s="3083"/>
      <c r="AX40" s="3083"/>
      <c r="AY40" s="3083"/>
      <c r="AZ40" s="3083"/>
    </row>
    <row r="41" spans="1:83" ht="14.25">
      <c r="A41" s="223" t="s">
        <v>281</v>
      </c>
      <c r="B41" s="235">
        <f>B42+B43</f>
        <v>5.5000000000000007E-2</v>
      </c>
      <c r="C41" s="3089"/>
      <c r="D41" s="3087"/>
      <c r="E41" s="3086"/>
      <c r="F41" s="3086"/>
      <c r="G41" s="3086"/>
      <c r="H41" s="3086"/>
      <c r="I41" s="3086"/>
      <c r="J41" s="3086"/>
      <c r="K41" s="3085"/>
      <c r="L41" s="3085"/>
      <c r="M41" s="3083"/>
      <c r="N41" s="3083"/>
      <c r="O41" s="3083"/>
      <c r="P41" s="3083"/>
      <c r="Q41" s="3083"/>
      <c r="R41" s="3083"/>
      <c r="S41" s="3083"/>
      <c r="T41" s="3083"/>
      <c r="U41" s="3083"/>
      <c r="V41" s="3083"/>
      <c r="W41" s="3083"/>
      <c r="X41" s="3083"/>
      <c r="Y41" s="3083"/>
      <c r="Z41" s="3083"/>
      <c r="AA41" s="3083"/>
      <c r="AB41" s="3083"/>
      <c r="AC41" s="3083"/>
      <c r="AD41" s="3083"/>
      <c r="AE41" s="3083"/>
      <c r="AF41" s="3083"/>
      <c r="AG41" s="3083"/>
      <c r="AH41" s="3083"/>
      <c r="AI41" s="3083"/>
      <c r="AJ41" s="3083"/>
      <c r="AK41" s="3083"/>
      <c r="AL41" s="3083"/>
      <c r="AM41" s="3083"/>
      <c r="AN41" s="3083"/>
      <c r="AO41" s="3083"/>
      <c r="AP41" s="3083"/>
      <c r="AQ41" s="3083"/>
      <c r="AR41" s="3083"/>
      <c r="AS41" s="3083"/>
      <c r="AT41" s="3083"/>
      <c r="AU41" s="3083"/>
      <c r="AV41" s="3083"/>
      <c r="AW41" s="3083"/>
      <c r="AX41" s="3083"/>
      <c r="AY41" s="3083"/>
      <c r="AZ41" s="3083"/>
    </row>
    <row r="42" spans="1:83" ht="14.25">
      <c r="A42" s="966" t="s">
        <v>282</v>
      </c>
      <c r="B42" s="237">
        <v>0.05</v>
      </c>
      <c r="C42" s="3103">
        <f>IF(B2&lt;DATE(2016,5,1),0,B42)</f>
        <v>0.05</v>
      </c>
      <c r="D42" s="3087"/>
      <c r="E42" s="3086"/>
      <c r="F42" s="3086"/>
      <c r="G42" s="3086"/>
      <c r="H42" s="3086"/>
      <c r="I42" s="3086"/>
      <c r="J42" s="3086"/>
      <c r="K42" s="3085"/>
      <c r="L42" s="3085"/>
      <c r="M42" s="3083"/>
      <c r="N42" s="3083"/>
      <c r="O42" s="3083"/>
      <c r="P42" s="3083"/>
      <c r="Q42" s="3083"/>
      <c r="R42" s="3083"/>
      <c r="S42" s="3083"/>
      <c r="T42" s="3083"/>
      <c r="U42" s="3083"/>
      <c r="V42" s="3083"/>
      <c r="W42" s="3083"/>
      <c r="X42" s="3083"/>
      <c r="Y42" s="3083"/>
      <c r="Z42" s="3083"/>
      <c r="AA42" s="3083"/>
      <c r="AB42" s="3083"/>
      <c r="AC42" s="3083"/>
      <c r="AD42" s="3083"/>
      <c r="AE42" s="3083"/>
      <c r="AF42" s="3083"/>
      <c r="AG42" s="3083"/>
      <c r="AH42" s="3083"/>
      <c r="AI42" s="3083"/>
      <c r="AJ42" s="3083"/>
      <c r="AK42" s="3083"/>
      <c r="AL42" s="3083"/>
      <c r="AM42" s="3083"/>
      <c r="AN42" s="3083"/>
      <c r="AO42" s="3083"/>
      <c r="AP42" s="3083"/>
      <c r="AQ42" s="3083"/>
      <c r="AR42" s="3083"/>
      <c r="AS42" s="3083"/>
      <c r="AT42" s="3083"/>
      <c r="AU42" s="3083"/>
      <c r="AV42" s="3083"/>
      <c r="AW42" s="3083"/>
      <c r="AX42" s="3083"/>
      <c r="AY42" s="3083"/>
      <c r="AZ42" s="3083"/>
    </row>
    <row r="43" spans="1:83" ht="14.25">
      <c r="A43" s="966" t="s">
        <v>283</v>
      </c>
      <c r="B43" s="238">
        <f>B42*(B44+B45+B46)+B47</f>
        <v>5.000000000000001E-3</v>
      </c>
      <c r="C43" s="3089"/>
      <c r="D43" s="3087"/>
      <c r="E43" s="3086"/>
      <c r="F43" s="3086"/>
      <c r="G43" s="3086"/>
      <c r="H43" s="3086"/>
      <c r="I43" s="3086"/>
      <c r="J43" s="3086"/>
      <c r="K43" s="3085"/>
      <c r="L43" s="3085"/>
      <c r="M43" s="3083"/>
      <c r="N43" s="3083"/>
      <c r="O43" s="3083"/>
      <c r="P43" s="3083"/>
      <c r="Q43" s="3083"/>
      <c r="R43" s="3083"/>
      <c r="S43" s="3083"/>
      <c r="T43" s="3083"/>
      <c r="U43" s="3083"/>
      <c r="V43" s="3083"/>
      <c r="W43" s="3083"/>
      <c r="X43" s="3083"/>
      <c r="Y43" s="3083"/>
      <c r="Z43" s="3083"/>
      <c r="AA43" s="3083"/>
      <c r="AB43" s="3083"/>
      <c r="AC43" s="3083"/>
      <c r="AD43" s="3083"/>
      <c r="AE43" s="3083"/>
      <c r="AF43" s="3083"/>
      <c r="AG43" s="3083"/>
      <c r="AH43" s="3083"/>
      <c r="AI43" s="3083"/>
      <c r="AJ43" s="3083"/>
      <c r="AK43" s="3083"/>
      <c r="AL43" s="3083"/>
      <c r="AM43" s="3083"/>
      <c r="AN43" s="3083"/>
      <c r="AO43" s="3083"/>
      <c r="AP43" s="3083"/>
      <c r="AQ43" s="3083"/>
      <c r="AR43" s="3083"/>
      <c r="AS43" s="3083"/>
      <c r="AT43" s="3083"/>
      <c r="AU43" s="3083"/>
      <c r="AV43" s="3083"/>
      <c r="AW43" s="3083"/>
      <c r="AX43" s="3083"/>
      <c r="AY43" s="3083"/>
      <c r="AZ43" s="3083"/>
    </row>
    <row r="44" spans="1:83" ht="14.25">
      <c r="A44" s="236" t="s">
        <v>284</v>
      </c>
      <c r="B44" s="239">
        <v>0.05</v>
      </c>
      <c r="C44" s="3101" t="s">
        <v>2985</v>
      </c>
      <c r="D44" s="3087"/>
      <c r="E44" s="3086"/>
      <c r="F44" s="3086"/>
      <c r="G44" s="3086"/>
      <c r="H44" s="3086"/>
      <c r="I44" s="3086"/>
      <c r="J44" s="3086"/>
      <c r="K44" s="3085"/>
      <c r="L44" s="3085"/>
      <c r="M44" s="3083"/>
      <c r="N44" s="3083"/>
      <c r="O44" s="3083"/>
      <c r="P44" s="3083"/>
      <c r="Q44" s="3083"/>
      <c r="R44" s="3083"/>
      <c r="S44" s="3083"/>
      <c r="T44" s="3083"/>
      <c r="U44" s="3083"/>
      <c r="V44" s="3083"/>
      <c r="W44" s="3083"/>
      <c r="X44" s="3083"/>
      <c r="Y44" s="3083"/>
      <c r="Z44" s="3083"/>
      <c r="AA44" s="3083"/>
      <c r="AB44" s="3083"/>
      <c r="AC44" s="3083"/>
      <c r="AD44" s="3083"/>
      <c r="AE44" s="3083"/>
      <c r="AF44" s="3083"/>
      <c r="AG44" s="3083"/>
      <c r="AH44" s="3083"/>
      <c r="AI44" s="3083"/>
      <c r="AJ44" s="3083"/>
      <c r="AK44" s="3083"/>
      <c r="AL44" s="3083"/>
      <c r="AM44" s="3083"/>
      <c r="AN44" s="3083"/>
      <c r="AO44" s="3083"/>
      <c r="AP44" s="3083"/>
      <c r="AQ44" s="3083"/>
      <c r="AR44" s="3083"/>
      <c r="AS44" s="3083"/>
      <c r="AT44" s="3083"/>
      <c r="AU44" s="3083"/>
      <c r="AV44" s="3083"/>
      <c r="AW44" s="3083"/>
      <c r="AX44" s="3083"/>
      <c r="AY44" s="3083"/>
      <c r="AZ44" s="3083"/>
    </row>
    <row r="45" spans="1:83" ht="14.25">
      <c r="A45" s="236" t="s">
        <v>285</v>
      </c>
      <c r="B45" s="237">
        <v>0.03</v>
      </c>
      <c r="C45" s="3104" t="s">
        <v>2981</v>
      </c>
      <c r="D45" s="3087"/>
      <c r="E45" s="3086"/>
      <c r="F45" s="3086"/>
      <c r="G45" s="3086"/>
      <c r="H45" s="3086"/>
      <c r="I45" s="3086"/>
      <c r="J45" s="3086"/>
      <c r="K45" s="3085"/>
      <c r="L45" s="3085"/>
      <c r="M45" s="3083"/>
      <c r="N45" s="3083"/>
      <c r="O45" s="3083"/>
      <c r="P45" s="3083"/>
      <c r="Q45" s="3083"/>
      <c r="R45" s="3083"/>
      <c r="S45" s="3083"/>
      <c r="T45" s="3083"/>
      <c r="U45" s="3083"/>
      <c r="V45" s="3083"/>
      <c r="W45" s="3083"/>
      <c r="X45" s="3083"/>
      <c r="Y45" s="3083"/>
      <c r="Z45" s="3083"/>
      <c r="AA45" s="3083"/>
      <c r="AB45" s="3083"/>
      <c r="AC45" s="3083"/>
      <c r="AD45" s="3083"/>
      <c r="AE45" s="3083"/>
      <c r="AF45" s="3083"/>
      <c r="AG45" s="3083"/>
      <c r="AH45" s="3083"/>
      <c r="AI45" s="3083"/>
      <c r="AJ45" s="3083"/>
      <c r="AK45" s="3083"/>
      <c r="AL45" s="3083"/>
      <c r="AM45" s="3083"/>
      <c r="AN45" s="3083"/>
      <c r="AO45" s="3083"/>
      <c r="AP45" s="3083"/>
      <c r="AQ45" s="3083"/>
      <c r="AR45" s="3083"/>
      <c r="AS45" s="3083"/>
      <c r="AT45" s="3083"/>
      <c r="AU45" s="3083"/>
      <c r="AV45" s="3083"/>
      <c r="AW45" s="3083"/>
      <c r="AX45" s="3083"/>
      <c r="AY45" s="3083"/>
      <c r="AZ45" s="3083"/>
    </row>
    <row r="46" spans="1:83" ht="14.25">
      <c r="A46" s="236" t="s">
        <v>286</v>
      </c>
      <c r="B46" s="237">
        <v>0.02</v>
      </c>
      <c r="C46" s="3104" t="s">
        <v>2982</v>
      </c>
      <c r="D46" s="3087"/>
      <c r="E46" s="3086"/>
      <c r="F46" s="3086"/>
      <c r="G46" s="3086"/>
      <c r="H46" s="3086"/>
      <c r="I46" s="3086"/>
      <c r="J46" s="3086"/>
      <c r="K46" s="3085"/>
      <c r="L46" s="3085"/>
      <c r="M46" s="3083"/>
      <c r="N46" s="3083"/>
      <c r="O46" s="3083"/>
      <c r="P46" s="3083"/>
      <c r="Q46" s="3083"/>
      <c r="R46" s="3083"/>
      <c r="S46" s="3083"/>
      <c r="T46" s="3083"/>
      <c r="U46" s="3083"/>
      <c r="V46" s="3083"/>
      <c r="W46" s="3083"/>
      <c r="X46" s="3083"/>
      <c r="Y46" s="3083"/>
      <c r="Z46" s="3083"/>
      <c r="AA46" s="3083"/>
      <c r="AB46" s="3083"/>
      <c r="AC46" s="3083"/>
      <c r="AD46" s="3083"/>
      <c r="AE46" s="3083"/>
      <c r="AF46" s="3083"/>
      <c r="AG46" s="3083"/>
      <c r="AH46" s="3083"/>
      <c r="AI46" s="3083"/>
      <c r="AJ46" s="3083"/>
      <c r="AK46" s="3083"/>
      <c r="AL46" s="3083"/>
      <c r="AM46" s="3083"/>
      <c r="AN46" s="3083"/>
      <c r="AO46" s="3083"/>
      <c r="AP46" s="3083"/>
      <c r="AQ46" s="3083"/>
      <c r="AR46" s="3083"/>
      <c r="AS46" s="3083"/>
      <c r="AT46" s="3083"/>
      <c r="AU46" s="3083"/>
      <c r="AV46" s="3083"/>
      <c r="AW46" s="3083"/>
      <c r="AX46" s="3083"/>
      <c r="AY46" s="3083"/>
      <c r="AZ46" s="3083"/>
    </row>
    <row r="47" spans="1:83" ht="15" thickBot="1">
      <c r="A47" s="240" t="s">
        <v>287</v>
      </c>
      <c r="B47" s="241"/>
      <c r="C47" s="3099" t="s">
        <v>2989</v>
      </c>
      <c r="D47" s="3087"/>
      <c r="E47" s="3086"/>
      <c r="F47" s="3086"/>
      <c r="G47" s="3086"/>
      <c r="H47" s="3086"/>
      <c r="I47" s="3086"/>
      <c r="J47" s="3086"/>
      <c r="K47" s="3085"/>
      <c r="L47" s="3085"/>
      <c r="M47" s="3083"/>
      <c r="N47" s="3083"/>
      <c r="O47" s="3083"/>
      <c r="P47" s="3083"/>
      <c r="Q47" s="3083"/>
      <c r="R47" s="3083"/>
      <c r="S47" s="3083"/>
      <c r="T47" s="3083"/>
      <c r="U47" s="3083"/>
      <c r="V47" s="3083"/>
      <c r="W47" s="3083"/>
      <c r="X47" s="3083"/>
      <c r="Y47" s="3083"/>
      <c r="Z47" s="3083"/>
      <c r="AA47" s="3083"/>
      <c r="AB47" s="3083"/>
      <c r="AC47" s="3083"/>
      <c r="AD47" s="3083"/>
      <c r="AE47" s="3083"/>
      <c r="AF47" s="3083"/>
      <c r="AG47" s="3083"/>
      <c r="AH47" s="3083"/>
      <c r="AI47" s="3083"/>
      <c r="AJ47" s="3083"/>
      <c r="AK47" s="3083"/>
      <c r="AL47" s="3083"/>
      <c r="AM47" s="3083"/>
      <c r="AN47" s="3083"/>
      <c r="AO47" s="3083"/>
      <c r="AP47" s="3083"/>
      <c r="AQ47" s="3083"/>
      <c r="AR47" s="3083"/>
      <c r="AS47" s="3083"/>
      <c r="AT47" s="3083"/>
      <c r="AU47" s="3083"/>
      <c r="AV47" s="3083"/>
      <c r="AW47" s="3083"/>
      <c r="AX47" s="3083"/>
      <c r="AY47" s="3083"/>
      <c r="AZ47" s="3083"/>
    </row>
    <row r="48" spans="1:83" ht="14.25">
      <c r="A48" s="242" t="s">
        <v>288</v>
      </c>
      <c r="B48" s="243">
        <v>0.04</v>
      </c>
      <c r="C48" s="3104" t="s">
        <v>2981</v>
      </c>
      <c r="D48" s="3087"/>
      <c r="E48" s="3086"/>
      <c r="F48" s="3086"/>
      <c r="G48" s="3086"/>
      <c r="H48" s="3086"/>
      <c r="I48" s="3086"/>
      <c r="J48" s="3086"/>
      <c r="K48" s="3085"/>
      <c r="L48" s="3085"/>
      <c r="M48" s="3083"/>
      <c r="N48" s="3083"/>
      <c r="O48" s="3083"/>
      <c r="P48" s="3083"/>
      <c r="Q48" s="3083"/>
      <c r="R48" s="3083"/>
      <c r="S48" s="3083"/>
      <c r="T48" s="3083"/>
      <c r="U48" s="3083"/>
      <c r="V48" s="3083"/>
      <c r="W48" s="3083"/>
      <c r="X48" s="3083"/>
      <c r="Y48" s="3083"/>
      <c r="Z48" s="3083"/>
      <c r="AA48" s="3083"/>
      <c r="AB48" s="3083"/>
      <c r="AC48" s="3083"/>
      <c r="AD48" s="3083"/>
      <c r="AE48" s="3083"/>
      <c r="AF48" s="3083"/>
      <c r="AG48" s="3083"/>
      <c r="AH48" s="3083"/>
      <c r="AI48" s="3083"/>
      <c r="AJ48" s="3083"/>
      <c r="AK48" s="3083"/>
      <c r="AL48" s="3083"/>
      <c r="AM48" s="3083"/>
      <c r="AN48" s="3083"/>
      <c r="AO48" s="3083"/>
      <c r="AP48" s="3083"/>
      <c r="AQ48" s="3083"/>
      <c r="AR48" s="3083"/>
      <c r="AS48" s="3083"/>
      <c r="AT48" s="3083"/>
      <c r="AU48" s="3083"/>
      <c r="AV48" s="3083"/>
      <c r="AW48" s="3083"/>
      <c r="AX48" s="3083"/>
      <c r="AY48" s="3083"/>
      <c r="AZ48" s="3083"/>
    </row>
    <row r="49" spans="1:52" ht="15" thickBot="1">
      <c r="A49" s="234" t="s">
        <v>289</v>
      </c>
      <c r="B49" s="237">
        <v>5.0000000000000001E-4</v>
      </c>
      <c r="C49" s="3104" t="s">
        <v>2983</v>
      </c>
      <c r="D49" s="3087"/>
      <c r="E49" s="3086"/>
      <c r="F49" s="3086"/>
      <c r="G49" s="3086"/>
      <c r="H49" s="3086"/>
      <c r="I49" s="3086"/>
      <c r="J49" s="3086"/>
      <c r="K49" s="3085"/>
      <c r="L49" s="3085"/>
      <c r="M49" s="3083"/>
      <c r="N49" s="3083"/>
      <c r="O49" s="3083"/>
      <c r="P49" s="3083"/>
      <c r="Q49" s="3083"/>
      <c r="R49" s="3083"/>
      <c r="S49" s="3083"/>
      <c r="T49" s="3083"/>
      <c r="U49" s="3083"/>
      <c r="V49" s="3083"/>
      <c r="W49" s="3083"/>
      <c r="X49" s="3083"/>
      <c r="Y49" s="3083"/>
      <c r="Z49" s="3083"/>
      <c r="AA49" s="3083"/>
      <c r="AB49" s="3083"/>
      <c r="AC49" s="3083"/>
      <c r="AD49" s="3083"/>
      <c r="AE49" s="3083"/>
      <c r="AF49" s="3083"/>
      <c r="AG49" s="3083"/>
      <c r="AH49" s="3083"/>
      <c r="AI49" s="3083"/>
      <c r="AJ49" s="3083"/>
      <c r="AK49" s="3083"/>
      <c r="AL49" s="3083"/>
      <c r="AM49" s="3083"/>
      <c r="AN49" s="3083"/>
      <c r="AO49" s="3083"/>
      <c r="AP49" s="3083"/>
      <c r="AQ49" s="3083"/>
      <c r="AR49" s="3083"/>
      <c r="AS49" s="3083"/>
      <c r="AT49" s="3083"/>
      <c r="AU49" s="3083"/>
      <c r="AV49" s="3083"/>
      <c r="AW49" s="3083"/>
      <c r="AX49" s="3083"/>
      <c r="AY49" s="3083"/>
      <c r="AZ49" s="3083"/>
    </row>
    <row r="50" spans="1:52" ht="14.25">
      <c r="A50" s="244" t="s">
        <v>290</v>
      </c>
      <c r="B50" s="245">
        <v>1.2E-2</v>
      </c>
      <c r="C50" s="3092"/>
      <c r="D50" s="3087"/>
      <c r="E50" s="3086"/>
      <c r="F50" s="3086"/>
      <c r="G50" s="3086"/>
      <c r="H50" s="3086"/>
      <c r="I50" s="3086"/>
      <c r="J50" s="3086"/>
      <c r="K50" s="3085"/>
      <c r="L50" s="3085"/>
      <c r="M50" s="3083"/>
      <c r="N50" s="3083"/>
      <c r="O50" s="3083"/>
      <c r="P50" s="3083"/>
      <c r="Q50" s="3083"/>
      <c r="R50" s="3083"/>
      <c r="S50" s="3083"/>
      <c r="T50" s="3083"/>
      <c r="U50" s="3083"/>
      <c r="V50" s="3083"/>
      <c r="W50" s="3083"/>
      <c r="X50" s="3083"/>
      <c r="Y50" s="3083"/>
      <c r="Z50" s="3083"/>
      <c r="AA50" s="3083"/>
      <c r="AB50" s="3083"/>
      <c r="AC50" s="3083"/>
      <c r="AD50" s="3083"/>
      <c r="AE50" s="3083"/>
      <c r="AF50" s="3083"/>
      <c r="AG50" s="3083"/>
      <c r="AH50" s="3083"/>
      <c r="AI50" s="3083"/>
      <c r="AJ50" s="3083"/>
      <c r="AK50" s="3083"/>
      <c r="AL50" s="3083"/>
      <c r="AM50" s="3083"/>
      <c r="AN50" s="3083"/>
      <c r="AO50" s="3083"/>
      <c r="AP50" s="3083"/>
      <c r="AQ50" s="3083"/>
      <c r="AR50" s="3083"/>
      <c r="AS50" s="3083"/>
      <c r="AT50" s="3083"/>
      <c r="AU50" s="3083"/>
      <c r="AV50" s="3083"/>
      <c r="AW50" s="3083"/>
      <c r="AX50" s="3083"/>
      <c r="AY50" s="3083"/>
      <c r="AZ50" s="3083"/>
    </row>
    <row r="51" spans="1:52" ht="15" thickBot="1">
      <c r="A51" s="228" t="s">
        <v>291</v>
      </c>
      <c r="B51" s="246">
        <v>0.12</v>
      </c>
      <c r="C51" s="3092"/>
      <c r="D51" s="3087"/>
      <c r="E51" s="3086"/>
      <c r="F51" s="3086"/>
      <c r="G51" s="3086"/>
      <c r="H51" s="3086"/>
      <c r="I51" s="3086"/>
      <c r="J51" s="3086"/>
      <c r="K51" s="3085"/>
      <c r="L51" s="3085"/>
      <c r="M51" s="3083"/>
      <c r="N51" s="3083"/>
      <c r="O51" s="3083"/>
      <c r="P51" s="3083"/>
      <c r="Q51" s="3083"/>
      <c r="R51" s="3083"/>
      <c r="S51" s="3083"/>
      <c r="T51" s="3083"/>
      <c r="U51" s="3083"/>
      <c r="V51" s="3083"/>
      <c r="W51" s="3083"/>
      <c r="X51" s="3083"/>
      <c r="Y51" s="3083"/>
      <c r="Z51" s="3083"/>
      <c r="AA51" s="3083"/>
      <c r="AB51" s="3083"/>
      <c r="AC51" s="3083"/>
      <c r="AD51" s="3083"/>
      <c r="AE51" s="3083"/>
      <c r="AF51" s="3083"/>
      <c r="AG51" s="3083"/>
      <c r="AH51" s="3083"/>
      <c r="AI51" s="3083"/>
      <c r="AJ51" s="3083"/>
      <c r="AK51" s="3083"/>
      <c r="AL51" s="3083"/>
      <c r="AM51" s="3083"/>
      <c r="AN51" s="3083"/>
      <c r="AO51" s="3083"/>
      <c r="AP51" s="3083"/>
      <c r="AQ51" s="3083"/>
      <c r="AR51" s="3083"/>
      <c r="AS51" s="3083"/>
      <c r="AT51" s="3083"/>
      <c r="AU51" s="3083"/>
      <c r="AV51" s="3083"/>
      <c r="AW51" s="3083"/>
      <c r="AX51" s="3083"/>
      <c r="AY51" s="3083"/>
      <c r="AZ51" s="3083"/>
    </row>
    <row r="52" spans="1:52" ht="14.25">
      <c r="A52" s="244" t="s">
        <v>292</v>
      </c>
      <c r="B52" s="247">
        <f>SUMIF(A54:A63,B53,B54:B63)</f>
        <v>8</v>
      </c>
      <c r="C52" s="3092"/>
      <c r="D52" s="3087"/>
      <c r="E52" s="3086"/>
      <c r="F52" s="3086"/>
      <c r="G52" s="3086"/>
      <c r="H52" s="3086"/>
      <c r="I52" s="3086"/>
      <c r="J52" s="3086"/>
      <c r="K52" s="3085"/>
      <c r="L52" s="3085"/>
      <c r="M52" s="3083"/>
      <c r="N52" s="3083"/>
      <c r="O52" s="3083"/>
      <c r="P52" s="3083"/>
      <c r="Q52" s="3083"/>
      <c r="R52" s="3083"/>
      <c r="S52" s="3083"/>
      <c r="T52" s="3083"/>
      <c r="U52" s="3083"/>
      <c r="V52" s="3083"/>
      <c r="W52" s="3083"/>
      <c r="X52" s="3083"/>
      <c r="Y52" s="3083"/>
      <c r="Z52" s="3083"/>
      <c r="AA52" s="3083"/>
      <c r="AB52" s="3083"/>
      <c r="AC52" s="3083"/>
      <c r="AD52" s="3083"/>
      <c r="AE52" s="3083"/>
      <c r="AF52" s="3083"/>
      <c r="AG52" s="3083"/>
      <c r="AH52" s="3083"/>
      <c r="AI52" s="3083"/>
      <c r="AJ52" s="3083"/>
      <c r="AK52" s="3083"/>
      <c r="AL52" s="3083"/>
      <c r="AM52" s="3083"/>
      <c r="AN52" s="3083"/>
      <c r="AO52" s="3083"/>
      <c r="AP52" s="3083"/>
      <c r="AQ52" s="3083"/>
      <c r="AR52" s="3083"/>
      <c r="AS52" s="3083"/>
      <c r="AT52" s="3083"/>
      <c r="AU52" s="3083"/>
      <c r="AV52" s="3083"/>
      <c r="AW52" s="3083"/>
      <c r="AX52" s="3083"/>
      <c r="AY52" s="3083"/>
      <c r="AZ52" s="3083"/>
    </row>
    <row r="53" spans="1:52" ht="27">
      <c r="A53" s="225" t="s">
        <v>293</v>
      </c>
      <c r="B53" s="248" t="s">
        <v>1086</v>
      </c>
      <c r="C53" s="3094" t="s">
        <v>2871</v>
      </c>
      <c r="D53" s="3105" t="s">
        <v>2986</v>
      </c>
      <c r="E53" s="3086"/>
      <c r="F53" s="3086"/>
      <c r="G53" s="3086"/>
      <c r="H53" s="3086"/>
      <c r="I53" s="3086"/>
      <c r="J53" s="3086"/>
      <c r="K53" s="3085"/>
      <c r="L53" s="3085"/>
      <c r="M53" s="3083"/>
      <c r="N53" s="3083"/>
      <c r="O53" s="3083"/>
      <c r="P53" s="3083"/>
      <c r="Q53" s="3083"/>
      <c r="R53" s="3083"/>
      <c r="S53" s="3083"/>
      <c r="T53" s="3083"/>
      <c r="U53" s="3083"/>
      <c r="V53" s="3083"/>
      <c r="W53" s="3083"/>
      <c r="X53" s="3083"/>
      <c r="Y53" s="3083"/>
      <c r="Z53" s="3083"/>
      <c r="AA53" s="3083"/>
      <c r="AB53" s="3083"/>
      <c r="AC53" s="3083"/>
      <c r="AD53" s="3083"/>
      <c r="AE53" s="3083"/>
      <c r="AF53" s="3083"/>
      <c r="AG53" s="3083"/>
      <c r="AH53" s="3083"/>
      <c r="AI53" s="3083"/>
      <c r="AJ53" s="3083"/>
      <c r="AK53" s="3083"/>
      <c r="AL53" s="3083"/>
      <c r="AM53" s="3083"/>
      <c r="AN53" s="3083"/>
      <c r="AO53" s="3083"/>
      <c r="AP53" s="3083"/>
      <c r="AQ53" s="3083"/>
      <c r="AR53" s="3083"/>
      <c r="AS53" s="3083"/>
      <c r="AT53" s="3083"/>
      <c r="AU53" s="3083"/>
      <c r="AV53" s="3083"/>
      <c r="AW53" s="3083"/>
      <c r="AX53" s="3083"/>
      <c r="AY53" s="3083"/>
      <c r="AZ53" s="3083"/>
    </row>
    <row r="54" spans="1:52" ht="14.25">
      <c r="A54" s="2768" t="s">
        <v>2872</v>
      </c>
      <c r="B54" s="184">
        <v>8</v>
      </c>
      <c r="C54" s="3091">
        <v>30</v>
      </c>
      <c r="D54" s="3095"/>
      <c r="E54" s="3086"/>
      <c r="F54" s="3086"/>
      <c r="G54" s="3086"/>
      <c r="H54" s="3086"/>
      <c r="I54" s="3086"/>
      <c r="J54" s="3086"/>
      <c r="K54" s="3085"/>
      <c r="L54" s="3085"/>
      <c r="M54" s="3083"/>
      <c r="N54" s="3083"/>
      <c r="O54" s="3083"/>
      <c r="P54" s="3083"/>
      <c r="Q54" s="3083"/>
      <c r="R54" s="3083"/>
      <c r="S54" s="3083"/>
      <c r="T54" s="3083"/>
      <c r="U54" s="3083"/>
      <c r="V54" s="3083"/>
      <c r="W54" s="3083"/>
      <c r="X54" s="3083"/>
      <c r="Y54" s="3083"/>
      <c r="Z54" s="3083"/>
      <c r="AA54" s="3083"/>
      <c r="AB54" s="3083"/>
      <c r="AC54" s="3083"/>
      <c r="AD54" s="3083"/>
      <c r="AE54" s="3083"/>
      <c r="AF54" s="3083"/>
      <c r="AG54" s="3083"/>
      <c r="AH54" s="3083"/>
      <c r="AI54" s="3083"/>
      <c r="AJ54" s="3083"/>
      <c r="AK54" s="3083"/>
      <c r="AL54" s="3083"/>
      <c r="AM54" s="3083"/>
      <c r="AN54" s="3083"/>
      <c r="AO54" s="3083"/>
      <c r="AP54" s="3083"/>
      <c r="AQ54" s="3083"/>
      <c r="AR54" s="3083"/>
      <c r="AS54" s="3083"/>
      <c r="AT54" s="3083"/>
      <c r="AU54" s="3083"/>
      <c r="AV54" s="3083"/>
      <c r="AW54" s="3083"/>
      <c r="AX54" s="3083"/>
      <c r="AY54" s="3083"/>
      <c r="AZ54" s="3083"/>
    </row>
    <row r="55" spans="1:52" ht="14.25">
      <c r="A55" s="2768" t="s">
        <v>2873</v>
      </c>
      <c r="B55" s="184"/>
      <c r="C55" s="3091">
        <v>24</v>
      </c>
      <c r="D55" s="3095"/>
      <c r="E55" s="3086"/>
      <c r="F55" s="3086"/>
      <c r="G55" s="3086"/>
      <c r="H55" s="3086"/>
      <c r="I55" s="3096"/>
      <c r="J55" s="3086"/>
      <c r="K55" s="3085"/>
      <c r="L55" s="3085"/>
      <c r="M55" s="3083"/>
      <c r="N55" s="3083"/>
      <c r="O55" s="3083"/>
      <c r="P55" s="3083"/>
      <c r="Q55" s="3083"/>
      <c r="R55" s="3083"/>
      <c r="S55" s="3083"/>
      <c r="T55" s="3083"/>
      <c r="U55" s="3083"/>
      <c r="V55" s="3083"/>
      <c r="W55" s="3083"/>
      <c r="X55" s="3083"/>
      <c r="Y55" s="3083"/>
      <c r="Z55" s="3083"/>
      <c r="AA55" s="3083"/>
      <c r="AB55" s="3083"/>
      <c r="AC55" s="3083"/>
      <c r="AD55" s="3083"/>
      <c r="AE55" s="3083"/>
      <c r="AF55" s="3083"/>
      <c r="AG55" s="3083"/>
      <c r="AH55" s="3083"/>
      <c r="AI55" s="3083"/>
      <c r="AJ55" s="3083"/>
      <c r="AK55" s="3083"/>
      <c r="AL55" s="3083"/>
      <c r="AM55" s="3083"/>
      <c r="AN55" s="3083"/>
      <c r="AO55" s="3083"/>
      <c r="AP55" s="3083"/>
      <c r="AQ55" s="3083"/>
      <c r="AR55" s="3083"/>
      <c r="AS55" s="3083"/>
      <c r="AT55" s="3083"/>
      <c r="AU55" s="3083"/>
      <c r="AV55" s="3083"/>
      <c r="AW55" s="3083"/>
      <c r="AX55" s="3083"/>
      <c r="AY55" s="3083"/>
      <c r="AZ55" s="3083"/>
    </row>
    <row r="56" spans="1:52" ht="14.25">
      <c r="A56" s="2768" t="s">
        <v>2874</v>
      </c>
      <c r="B56" s="184"/>
      <c r="C56" s="3091">
        <v>18</v>
      </c>
      <c r="D56" s="3095"/>
      <c r="E56" s="3086"/>
      <c r="F56" s="3086"/>
      <c r="G56" s="3086"/>
      <c r="H56" s="3086"/>
      <c r="I56" s="3086"/>
      <c r="J56" s="3086"/>
      <c r="K56" s="3085"/>
      <c r="L56" s="3085"/>
      <c r="M56" s="3083"/>
      <c r="N56" s="3083"/>
      <c r="O56" s="3083"/>
      <c r="P56" s="3083"/>
      <c r="Q56" s="3083"/>
      <c r="R56" s="3083"/>
      <c r="S56" s="3083"/>
      <c r="T56" s="3083"/>
      <c r="U56" s="3083"/>
      <c r="V56" s="3083"/>
      <c r="W56" s="3083"/>
      <c r="X56" s="3083"/>
      <c r="Y56" s="3083"/>
      <c r="Z56" s="3083"/>
      <c r="AA56" s="3083"/>
      <c r="AB56" s="3083"/>
      <c r="AC56" s="3083"/>
      <c r="AD56" s="3083"/>
      <c r="AE56" s="3083"/>
      <c r="AF56" s="3083"/>
      <c r="AG56" s="3083"/>
      <c r="AH56" s="3083"/>
      <c r="AI56" s="3083"/>
      <c r="AJ56" s="3083"/>
      <c r="AK56" s="3083"/>
      <c r="AL56" s="3083"/>
      <c r="AM56" s="3083"/>
      <c r="AN56" s="3083"/>
      <c r="AO56" s="3083"/>
      <c r="AP56" s="3083"/>
      <c r="AQ56" s="3083"/>
      <c r="AR56" s="3083"/>
      <c r="AS56" s="3083"/>
      <c r="AT56" s="3083"/>
      <c r="AU56" s="3083"/>
      <c r="AV56" s="3083"/>
      <c r="AW56" s="3083"/>
      <c r="AX56" s="3083"/>
      <c r="AY56" s="3083"/>
      <c r="AZ56" s="3083"/>
    </row>
    <row r="57" spans="1:52" ht="14.25">
      <c r="A57" s="2768" t="s">
        <v>2875</v>
      </c>
      <c r="B57" s="184"/>
      <c r="C57" s="3091">
        <v>12</v>
      </c>
      <c r="D57" s="3095"/>
      <c r="E57" s="3086"/>
      <c r="F57" s="3086"/>
      <c r="G57" s="3086"/>
      <c r="H57" s="3086"/>
      <c r="I57" s="3086"/>
      <c r="J57" s="3086"/>
      <c r="K57" s="3085"/>
      <c r="L57" s="3085"/>
      <c r="M57" s="3083"/>
      <c r="N57" s="3083"/>
      <c r="O57" s="3083"/>
      <c r="P57" s="3083"/>
      <c r="Q57" s="3083"/>
      <c r="R57" s="3083"/>
      <c r="S57" s="3083"/>
      <c r="T57" s="3083"/>
      <c r="U57" s="3083"/>
      <c r="V57" s="3083"/>
      <c r="W57" s="3083"/>
      <c r="X57" s="3083"/>
      <c r="Y57" s="3083"/>
      <c r="Z57" s="3083"/>
      <c r="AA57" s="3083"/>
      <c r="AB57" s="3083"/>
      <c r="AC57" s="3083"/>
      <c r="AD57" s="3083"/>
      <c r="AE57" s="3083"/>
      <c r="AF57" s="3083"/>
      <c r="AG57" s="3083"/>
      <c r="AH57" s="3083"/>
      <c r="AI57" s="3083"/>
      <c r="AJ57" s="3083"/>
      <c r="AK57" s="3083"/>
      <c r="AL57" s="3083"/>
      <c r="AM57" s="3083"/>
      <c r="AN57" s="3083"/>
      <c r="AO57" s="3083"/>
      <c r="AP57" s="3083"/>
      <c r="AQ57" s="3083"/>
      <c r="AR57" s="3083"/>
      <c r="AS57" s="3083"/>
      <c r="AT57" s="3083"/>
      <c r="AU57" s="3083"/>
      <c r="AV57" s="3083"/>
      <c r="AW57" s="3083"/>
      <c r="AX57" s="3083"/>
      <c r="AY57" s="3083"/>
      <c r="AZ57" s="3083"/>
    </row>
    <row r="58" spans="1:52" ht="14.25">
      <c r="A58" s="2768" t="s">
        <v>2876</v>
      </c>
      <c r="B58" s="184"/>
      <c r="C58" s="3091">
        <v>3</v>
      </c>
      <c r="D58" s="3095"/>
      <c r="E58" s="3086"/>
      <c r="F58" s="3086"/>
      <c r="G58" s="3086"/>
      <c r="H58" s="3086"/>
      <c r="I58" s="3086"/>
      <c r="J58" s="3086"/>
      <c r="K58" s="3085"/>
      <c r="L58" s="3085"/>
      <c r="M58" s="3083"/>
      <c r="N58" s="3083"/>
      <c r="O58" s="3083"/>
      <c r="P58" s="3083"/>
      <c r="Q58" s="3083"/>
      <c r="R58" s="3083"/>
      <c r="S58" s="3083"/>
      <c r="T58" s="3083"/>
      <c r="U58" s="3083"/>
      <c r="V58" s="3083"/>
      <c r="W58" s="3083"/>
      <c r="X58" s="3083"/>
      <c r="Y58" s="3083"/>
      <c r="Z58" s="3083"/>
      <c r="AA58" s="3083"/>
      <c r="AB58" s="3083"/>
      <c r="AC58" s="3083"/>
      <c r="AD58" s="3083"/>
      <c r="AE58" s="3083"/>
      <c r="AF58" s="3083"/>
      <c r="AG58" s="3083"/>
      <c r="AH58" s="3083"/>
      <c r="AI58" s="3083"/>
      <c r="AJ58" s="3083"/>
      <c r="AK58" s="3083"/>
      <c r="AL58" s="3083"/>
      <c r="AM58" s="3083"/>
      <c r="AN58" s="3083"/>
      <c r="AO58" s="3083"/>
      <c r="AP58" s="3083"/>
      <c r="AQ58" s="3083"/>
      <c r="AR58" s="3083"/>
      <c r="AS58" s="3083"/>
      <c r="AT58" s="3083"/>
      <c r="AU58" s="3083"/>
      <c r="AV58" s="3083"/>
      <c r="AW58" s="3083"/>
      <c r="AX58" s="3083"/>
      <c r="AY58" s="3083"/>
      <c r="AZ58" s="3083"/>
    </row>
    <row r="59" spans="1:52" ht="14.25">
      <c r="A59" s="2768" t="s">
        <v>2877</v>
      </c>
      <c r="B59" s="184"/>
      <c r="C59" s="3091">
        <v>1.5</v>
      </c>
      <c r="D59" s="3095"/>
      <c r="E59" s="3086"/>
      <c r="F59" s="3086"/>
      <c r="G59" s="3086"/>
      <c r="H59" s="3086"/>
      <c r="I59" s="3086"/>
      <c r="J59" s="3086"/>
      <c r="K59" s="3085"/>
      <c r="L59" s="3085"/>
      <c r="M59" s="3083"/>
      <c r="N59" s="3083"/>
      <c r="O59" s="3083"/>
      <c r="P59" s="3083"/>
      <c r="Q59" s="3083"/>
      <c r="R59" s="3083"/>
      <c r="S59" s="3083"/>
      <c r="T59" s="3083"/>
      <c r="U59" s="3083"/>
      <c r="V59" s="3083"/>
      <c r="W59" s="3083"/>
      <c r="X59" s="3083"/>
      <c r="Y59" s="3083"/>
      <c r="Z59" s="3083"/>
      <c r="AA59" s="3083"/>
      <c r="AB59" s="3083"/>
      <c r="AC59" s="3083"/>
      <c r="AD59" s="3083"/>
      <c r="AE59" s="3083"/>
      <c r="AF59" s="3083"/>
      <c r="AG59" s="3083"/>
      <c r="AH59" s="3083"/>
      <c r="AI59" s="3083"/>
      <c r="AJ59" s="3083"/>
      <c r="AK59" s="3083"/>
      <c r="AL59" s="3083"/>
      <c r="AM59" s="3083"/>
      <c r="AN59" s="3083"/>
      <c r="AO59" s="3083"/>
      <c r="AP59" s="3083"/>
      <c r="AQ59" s="3083"/>
      <c r="AR59" s="3083"/>
      <c r="AS59" s="3083"/>
      <c r="AT59" s="3083"/>
      <c r="AU59" s="3083"/>
      <c r="AV59" s="3083"/>
      <c r="AW59" s="3083"/>
      <c r="AX59" s="3083"/>
      <c r="AY59" s="3083"/>
      <c r="AZ59" s="3083"/>
    </row>
    <row r="60" spans="1:52" ht="14.25">
      <c r="A60" s="2768" t="s">
        <v>2878</v>
      </c>
      <c r="B60" s="184"/>
      <c r="C60" s="3086"/>
      <c r="D60" s="3087"/>
      <c r="E60" s="3086"/>
      <c r="F60" s="3086"/>
      <c r="G60" s="3086"/>
      <c r="H60" s="3086"/>
      <c r="I60" s="3086"/>
      <c r="J60" s="3086"/>
      <c r="K60" s="3085"/>
      <c r="L60" s="3085"/>
      <c r="M60" s="3083"/>
      <c r="N60" s="3083"/>
      <c r="O60" s="3083"/>
      <c r="P60" s="3083"/>
      <c r="Q60" s="3083"/>
      <c r="R60" s="3083"/>
      <c r="S60" s="3083"/>
      <c r="T60" s="3083"/>
      <c r="U60" s="3083"/>
      <c r="V60" s="3083"/>
      <c r="W60" s="3083"/>
      <c r="X60" s="3083"/>
      <c r="Y60" s="3083"/>
      <c r="Z60" s="3083"/>
      <c r="AA60" s="3083"/>
      <c r="AB60" s="3083"/>
      <c r="AC60" s="3083"/>
      <c r="AD60" s="3083"/>
      <c r="AE60" s="3083"/>
      <c r="AF60" s="3083"/>
      <c r="AG60" s="3083"/>
      <c r="AH60" s="3083"/>
      <c r="AI60" s="3083"/>
      <c r="AJ60" s="3083"/>
      <c r="AK60" s="3083"/>
      <c r="AL60" s="3083"/>
      <c r="AM60" s="3083"/>
      <c r="AN60" s="3083"/>
      <c r="AO60" s="3083"/>
      <c r="AP60" s="3083"/>
      <c r="AQ60" s="3083"/>
      <c r="AR60" s="3083"/>
      <c r="AS60" s="3083"/>
      <c r="AT60" s="3083"/>
      <c r="AU60" s="3083"/>
      <c r="AV60" s="3083"/>
      <c r="AW60" s="3083"/>
      <c r="AX60" s="3083"/>
      <c r="AY60" s="3083"/>
      <c r="AZ60" s="3083"/>
    </row>
    <row r="61" spans="1:52" ht="14.25">
      <c r="A61" s="2768" t="s">
        <v>2879</v>
      </c>
      <c r="B61" s="184"/>
      <c r="C61" s="3086"/>
      <c r="D61" s="3087"/>
      <c r="E61" s="3086"/>
      <c r="F61" s="3086"/>
      <c r="G61" s="3086"/>
      <c r="H61" s="3086"/>
      <c r="I61" s="3086"/>
      <c r="J61" s="3086"/>
      <c r="K61" s="3085"/>
      <c r="L61" s="3085"/>
      <c r="M61" s="3083"/>
      <c r="N61" s="3083"/>
      <c r="O61" s="3083"/>
      <c r="P61" s="3083"/>
      <c r="Q61" s="3083"/>
      <c r="R61" s="3083"/>
      <c r="S61" s="3083"/>
      <c r="T61" s="3083"/>
      <c r="U61" s="3083"/>
      <c r="V61" s="3083"/>
      <c r="W61" s="3083"/>
      <c r="X61" s="3083"/>
      <c r="Y61" s="3083"/>
      <c r="Z61" s="3083"/>
      <c r="AA61" s="3083"/>
      <c r="AB61" s="3083"/>
      <c r="AC61" s="3083"/>
      <c r="AD61" s="3083"/>
      <c r="AE61" s="3083"/>
      <c r="AF61" s="3083"/>
      <c r="AG61" s="3083"/>
      <c r="AH61" s="3083"/>
      <c r="AI61" s="3083"/>
      <c r="AJ61" s="3083"/>
      <c r="AK61" s="3083"/>
      <c r="AL61" s="3083"/>
      <c r="AM61" s="3083"/>
      <c r="AN61" s="3083"/>
      <c r="AO61" s="3083"/>
      <c r="AP61" s="3083"/>
      <c r="AQ61" s="3083"/>
      <c r="AR61" s="3083"/>
      <c r="AS61" s="3083"/>
      <c r="AT61" s="3083"/>
      <c r="AU61" s="3083"/>
      <c r="AV61" s="3083"/>
      <c r="AW61" s="3083"/>
      <c r="AX61" s="3083"/>
      <c r="AY61" s="3083"/>
      <c r="AZ61" s="3083"/>
    </row>
    <row r="62" spans="1:52" ht="14.25">
      <c r="A62" s="2768" t="s">
        <v>2880</v>
      </c>
      <c r="B62" s="184"/>
      <c r="C62" s="3086"/>
      <c r="D62" s="3087"/>
      <c r="E62" s="3086"/>
      <c r="F62" s="3086"/>
      <c r="G62" s="3086"/>
      <c r="H62" s="3086"/>
      <c r="I62" s="3086"/>
      <c r="J62" s="3086"/>
      <c r="K62" s="3085"/>
      <c r="L62" s="3085"/>
      <c r="M62" s="3083"/>
      <c r="N62" s="3083"/>
      <c r="O62" s="3083"/>
      <c r="P62" s="3083"/>
      <c r="Q62" s="3083"/>
      <c r="R62" s="3083"/>
      <c r="S62" s="3083"/>
      <c r="T62" s="3083"/>
      <c r="U62" s="3083"/>
      <c r="V62" s="3083"/>
      <c r="W62" s="3083"/>
      <c r="X62" s="3083"/>
      <c r="Y62" s="3083"/>
      <c r="Z62" s="3083"/>
      <c r="AA62" s="3083"/>
      <c r="AB62" s="3083"/>
      <c r="AC62" s="3083"/>
      <c r="AD62" s="3083"/>
      <c r="AE62" s="3083"/>
      <c r="AF62" s="3083"/>
      <c r="AG62" s="3083"/>
      <c r="AH62" s="3083"/>
      <c r="AI62" s="3083"/>
      <c r="AJ62" s="3083"/>
      <c r="AK62" s="3083"/>
      <c r="AL62" s="3083"/>
      <c r="AM62" s="3083"/>
      <c r="AN62" s="3083"/>
      <c r="AO62" s="3083"/>
      <c r="AP62" s="3083"/>
      <c r="AQ62" s="3083"/>
      <c r="AR62" s="3083"/>
      <c r="AS62" s="3083"/>
      <c r="AT62" s="3083"/>
      <c r="AU62" s="3083"/>
      <c r="AV62" s="3083"/>
      <c r="AW62" s="3083"/>
      <c r="AX62" s="3083"/>
      <c r="AY62" s="3083"/>
      <c r="AZ62" s="3083"/>
    </row>
    <row r="63" spans="1:52" ht="15" thickBot="1">
      <c r="A63" s="2769" t="s">
        <v>2881</v>
      </c>
      <c r="B63" s="249"/>
      <c r="C63" s="3086"/>
      <c r="D63" s="3087"/>
      <c r="E63" s="3086"/>
      <c r="F63" s="3086"/>
      <c r="G63" s="3086"/>
      <c r="H63" s="3086"/>
      <c r="I63" s="3086"/>
      <c r="J63" s="3086"/>
      <c r="K63" s="3085"/>
      <c r="L63" s="3085"/>
      <c r="M63" s="3083"/>
      <c r="N63" s="3083"/>
      <c r="O63" s="3083"/>
      <c r="P63" s="3083"/>
      <c r="Q63" s="3083"/>
      <c r="R63" s="3083"/>
      <c r="S63" s="3083"/>
      <c r="T63" s="3083"/>
      <c r="U63" s="3083"/>
      <c r="V63" s="3083"/>
      <c r="W63" s="3083"/>
      <c r="X63" s="3083"/>
      <c r="Y63" s="3083"/>
      <c r="Z63" s="3083"/>
      <c r="AA63" s="3083"/>
      <c r="AB63" s="3083"/>
      <c r="AC63" s="3083"/>
      <c r="AD63" s="3083"/>
      <c r="AE63" s="3083"/>
      <c r="AF63" s="3083"/>
      <c r="AG63" s="3083"/>
      <c r="AH63" s="3083"/>
      <c r="AI63" s="3083"/>
      <c r="AJ63" s="3083"/>
      <c r="AK63" s="3083"/>
      <c r="AL63" s="3083"/>
      <c r="AM63" s="3083"/>
      <c r="AN63" s="3083"/>
      <c r="AO63" s="3083"/>
      <c r="AP63" s="3083"/>
      <c r="AQ63" s="3083"/>
      <c r="AR63" s="3083"/>
      <c r="AS63" s="3083"/>
      <c r="AT63" s="3083"/>
      <c r="AU63" s="3083"/>
      <c r="AV63" s="3083"/>
      <c r="AW63" s="3083"/>
      <c r="AX63" s="3083"/>
      <c r="AY63" s="3083"/>
      <c r="AZ63" s="3083"/>
    </row>
    <row r="64" spans="1:52" s="1905" customFormat="1">
      <c r="A64" s="250"/>
      <c r="D64" s="1906"/>
      <c r="K64" s="57"/>
      <c r="L64" s="57"/>
    </row>
    <row r="65" spans="1:12" s="1905" customFormat="1">
      <c r="A65" s="250"/>
      <c r="D65" s="1906"/>
      <c r="K65" s="57"/>
      <c r="L65" s="57"/>
    </row>
    <row r="66" spans="1:12" s="1905" customFormat="1">
      <c r="A66" s="250"/>
      <c r="D66" s="1906"/>
      <c r="K66" s="57"/>
      <c r="L66" s="57"/>
    </row>
    <row r="67" spans="1:12" s="1905" customFormat="1">
      <c r="A67" s="250"/>
      <c r="D67" s="1906"/>
      <c r="K67" s="57"/>
      <c r="L67" s="57"/>
    </row>
    <row r="68" spans="1:12" s="1905" customFormat="1">
      <c r="A68" s="250"/>
      <c r="D68" s="1906"/>
      <c r="K68" s="57"/>
      <c r="L68" s="57"/>
    </row>
    <row r="69" spans="1:12" s="1905" customFormat="1">
      <c r="A69" s="250"/>
      <c r="D69" s="1906"/>
      <c r="K69" s="57"/>
      <c r="L69" s="57"/>
    </row>
    <row r="70" spans="1:12" s="1905" customFormat="1">
      <c r="A70" s="250"/>
      <c r="D70" s="1906"/>
      <c r="K70" s="57"/>
      <c r="L70" s="57"/>
    </row>
    <row r="71" spans="1:12" s="1905" customFormat="1">
      <c r="A71" s="250"/>
      <c r="D71" s="1906"/>
      <c r="K71" s="57"/>
      <c r="L71" s="57"/>
    </row>
    <row r="72" spans="1:12" s="1905" customFormat="1">
      <c r="A72" s="250"/>
      <c r="D72" s="1906"/>
      <c r="K72" s="57"/>
      <c r="L72" s="57"/>
    </row>
    <row r="73" spans="1:12" s="1905" customFormat="1">
      <c r="A73" s="250"/>
      <c r="D73" s="1906"/>
      <c r="K73" s="57"/>
      <c r="L73" s="57"/>
    </row>
    <row r="74" spans="1:12" s="1905" customFormat="1">
      <c r="A74" s="250"/>
      <c r="D74" s="1906"/>
      <c r="K74" s="57"/>
      <c r="L74" s="57"/>
    </row>
    <row r="75" spans="1:12" s="1905" customFormat="1">
      <c r="A75" s="250"/>
      <c r="D75" s="1906"/>
      <c r="K75" s="57"/>
      <c r="L75" s="57"/>
    </row>
    <row r="76" spans="1:12" s="1905" customFormat="1">
      <c r="A76" s="250"/>
      <c r="D76" s="1906"/>
      <c r="K76" s="57"/>
      <c r="L76" s="57"/>
    </row>
    <row r="77" spans="1:12" s="1905" customFormat="1">
      <c r="A77" s="250"/>
      <c r="D77" s="1906"/>
      <c r="K77" s="57"/>
      <c r="L77" s="57"/>
    </row>
    <row r="78" spans="1:12" s="1905" customFormat="1">
      <c r="A78" s="250"/>
      <c r="D78" s="1906"/>
      <c r="K78" s="57"/>
      <c r="L78" s="57"/>
    </row>
    <row r="79" spans="1:12" s="1905" customFormat="1">
      <c r="A79" s="250"/>
      <c r="D79" s="1906"/>
      <c r="K79" s="57"/>
      <c r="L79" s="57"/>
    </row>
    <row r="80" spans="1:12" s="1905" customFormat="1">
      <c r="A80" s="250"/>
      <c r="D80" s="1906"/>
      <c r="K80" s="57"/>
      <c r="L80" s="57"/>
    </row>
    <row r="81" spans="1:12" s="1905" customFormat="1">
      <c r="A81" s="250"/>
      <c r="D81" s="1906"/>
      <c r="K81" s="57"/>
      <c r="L81" s="57"/>
    </row>
    <row r="82" spans="1:12" s="1905" customFormat="1">
      <c r="A82" s="250"/>
      <c r="D82" s="1906"/>
      <c r="K82" s="57"/>
      <c r="L82" s="57"/>
    </row>
    <row r="83" spans="1:12" s="1905" customFormat="1">
      <c r="A83" s="250"/>
      <c r="D83" s="1906"/>
      <c r="K83" s="57"/>
      <c r="L83" s="57"/>
    </row>
    <row r="84" spans="1:12" s="1905" customFormat="1">
      <c r="A84" s="250"/>
      <c r="D84" s="1906"/>
      <c r="K84" s="57"/>
      <c r="L84" s="57"/>
    </row>
    <row r="85" spans="1:12" s="1905" customFormat="1">
      <c r="A85" s="250"/>
      <c r="D85" s="1906"/>
      <c r="K85" s="57"/>
      <c r="L85" s="57"/>
    </row>
    <row r="86" spans="1:12" s="1905" customFormat="1">
      <c r="A86" s="250"/>
      <c r="D86" s="1906"/>
      <c r="K86" s="57"/>
      <c r="L86" s="57"/>
    </row>
    <row r="87" spans="1:12" s="1905" customFormat="1">
      <c r="A87" s="250"/>
      <c r="D87" s="1906"/>
      <c r="K87" s="57"/>
      <c r="L87" s="57"/>
    </row>
    <row r="88" spans="1:12" s="1905" customFormat="1">
      <c r="A88" s="250"/>
      <c r="D88" s="1906"/>
      <c r="K88" s="57"/>
      <c r="L88" s="57"/>
    </row>
    <row r="89" spans="1:12" s="1905" customFormat="1">
      <c r="A89" s="250"/>
      <c r="D89" s="1906"/>
      <c r="K89" s="57"/>
      <c r="L89" s="57"/>
    </row>
    <row r="90" spans="1:12" s="1905" customFormat="1">
      <c r="A90" s="250"/>
      <c r="D90" s="1906"/>
      <c r="K90" s="57"/>
      <c r="L90" s="57"/>
    </row>
    <row r="91" spans="1:12" s="1905" customFormat="1">
      <c r="A91" s="250"/>
      <c r="D91" s="1906"/>
      <c r="K91" s="57"/>
      <c r="L91" s="57"/>
    </row>
    <row r="92" spans="1:12" s="1905" customFormat="1">
      <c r="A92" s="250"/>
      <c r="D92" s="1906"/>
      <c r="K92" s="57"/>
      <c r="L92" s="57"/>
    </row>
    <row r="93" spans="1:12" s="1905" customFormat="1">
      <c r="A93" s="250"/>
      <c r="D93" s="1906"/>
      <c r="K93" s="57"/>
      <c r="L93" s="57"/>
    </row>
    <row r="94" spans="1:12" s="1905" customFormat="1">
      <c r="A94" s="250"/>
      <c r="D94" s="1906"/>
      <c r="K94" s="57"/>
      <c r="L94" s="57"/>
    </row>
    <row r="95" spans="1:12" s="1905" customFormat="1">
      <c r="A95" s="250"/>
      <c r="D95" s="1906"/>
      <c r="K95" s="57"/>
      <c r="L95" s="57"/>
    </row>
    <row r="96" spans="1:12" s="1905" customFormat="1">
      <c r="A96" s="250"/>
      <c r="D96" s="1906"/>
      <c r="K96" s="57"/>
      <c r="L96" s="57"/>
    </row>
    <row r="97" spans="1:12" s="1905" customFormat="1">
      <c r="A97" s="250"/>
      <c r="D97" s="1906"/>
      <c r="K97" s="57"/>
      <c r="L97" s="57"/>
    </row>
    <row r="98" spans="1:12" s="1905" customFormat="1">
      <c r="A98" s="250"/>
      <c r="D98" s="1906"/>
      <c r="K98" s="57"/>
      <c r="L98" s="57"/>
    </row>
    <row r="99" spans="1:12" s="1905" customFormat="1">
      <c r="A99" s="250"/>
      <c r="D99" s="1906"/>
      <c r="K99" s="57"/>
      <c r="L99" s="57"/>
    </row>
    <row r="100" spans="1:12" s="1905" customFormat="1">
      <c r="A100" s="250"/>
      <c r="D100" s="1906"/>
      <c r="K100" s="57"/>
      <c r="L100" s="57"/>
    </row>
    <row r="101" spans="1:12" s="1905" customFormat="1">
      <c r="A101" s="250"/>
      <c r="D101" s="1906"/>
      <c r="K101" s="57"/>
      <c r="L101" s="57"/>
    </row>
    <row r="102" spans="1:12" s="1905" customFormat="1">
      <c r="A102" s="250"/>
      <c r="D102" s="1906"/>
      <c r="K102" s="57"/>
      <c r="L102" s="57"/>
    </row>
    <row r="103" spans="1:12" s="1905" customFormat="1">
      <c r="A103" s="250"/>
      <c r="D103" s="1906"/>
      <c r="K103" s="57"/>
      <c r="L103" s="57"/>
    </row>
    <row r="104" spans="1:12" s="1905" customFormat="1">
      <c r="A104" s="250"/>
      <c r="D104" s="1906"/>
      <c r="K104" s="57"/>
      <c r="L104" s="57"/>
    </row>
    <row r="105" spans="1:12" s="1905" customFormat="1">
      <c r="A105" s="250"/>
      <c r="D105" s="1906"/>
      <c r="K105" s="57"/>
      <c r="L105" s="57"/>
    </row>
    <row r="106" spans="1:12" s="1905" customFormat="1">
      <c r="A106" s="250"/>
      <c r="D106" s="1906"/>
      <c r="K106" s="57"/>
      <c r="L106" s="57"/>
    </row>
    <row r="107" spans="1:12" s="1905" customFormat="1">
      <c r="A107" s="250"/>
      <c r="D107" s="1906"/>
      <c r="K107" s="57"/>
      <c r="L107" s="57"/>
    </row>
    <row r="108" spans="1:12" s="1905" customFormat="1">
      <c r="A108" s="250"/>
      <c r="D108" s="1906"/>
      <c r="K108" s="57"/>
      <c r="L108" s="57"/>
    </row>
    <row r="109" spans="1:12" s="1905" customFormat="1">
      <c r="A109" s="250"/>
      <c r="D109" s="1906"/>
      <c r="K109" s="57"/>
      <c r="L109" s="57"/>
    </row>
    <row r="110" spans="1:12" s="1905" customFormat="1">
      <c r="A110" s="250"/>
      <c r="D110" s="1906"/>
      <c r="K110" s="57"/>
      <c r="L110" s="57"/>
    </row>
    <row r="111" spans="1:12" s="1905" customFormat="1">
      <c r="A111" s="250"/>
      <c r="D111" s="1906"/>
      <c r="K111" s="57"/>
      <c r="L111" s="57"/>
    </row>
    <row r="112" spans="1:12" s="1905" customFormat="1">
      <c r="A112" s="250"/>
      <c r="D112" s="1906"/>
      <c r="K112" s="57"/>
      <c r="L112" s="57"/>
    </row>
    <row r="113" spans="1:12" s="1905" customFormat="1">
      <c r="A113" s="250"/>
      <c r="D113" s="1906"/>
      <c r="K113" s="57"/>
      <c r="L113" s="57"/>
    </row>
    <row r="114" spans="1:12" s="1905" customFormat="1">
      <c r="A114" s="250"/>
      <c r="D114" s="1906"/>
      <c r="K114" s="57"/>
      <c r="L114" s="57"/>
    </row>
    <row r="115" spans="1:12" s="1905" customFormat="1">
      <c r="A115" s="250"/>
      <c r="D115" s="1906"/>
      <c r="K115" s="57"/>
      <c r="L115" s="57"/>
    </row>
    <row r="116" spans="1:12" s="1905" customFormat="1">
      <c r="A116" s="250"/>
      <c r="D116" s="1906"/>
      <c r="K116" s="57"/>
      <c r="L116" s="57"/>
    </row>
    <row r="117" spans="1:12" s="1905" customFormat="1">
      <c r="A117" s="250"/>
      <c r="D117" s="1906"/>
      <c r="K117" s="57"/>
      <c r="L117" s="57"/>
    </row>
    <row r="118" spans="1:12" s="1905" customFormat="1">
      <c r="A118" s="250"/>
      <c r="D118" s="1906"/>
      <c r="K118" s="57"/>
      <c r="L118" s="57"/>
    </row>
    <row r="119" spans="1:12" s="1905" customFormat="1">
      <c r="A119" s="250"/>
      <c r="D119" s="1906"/>
      <c r="K119" s="57"/>
      <c r="L119" s="57"/>
    </row>
    <row r="120" spans="1:12" s="1905" customFormat="1">
      <c r="A120" s="250"/>
      <c r="D120" s="1906"/>
      <c r="K120" s="57"/>
      <c r="L120" s="57"/>
    </row>
    <row r="121" spans="1:12" s="1905" customFormat="1">
      <c r="A121" s="250"/>
      <c r="D121" s="1906"/>
      <c r="K121" s="57"/>
      <c r="L121" s="57"/>
    </row>
    <row r="122" spans="1:12" s="1905" customFormat="1">
      <c r="A122" s="250"/>
      <c r="D122" s="1906"/>
      <c r="K122" s="57"/>
      <c r="L122" s="57"/>
    </row>
    <row r="123" spans="1:12" s="1905" customFormat="1">
      <c r="A123" s="250"/>
      <c r="D123" s="1906"/>
      <c r="K123" s="57"/>
      <c r="L123" s="57"/>
    </row>
    <row r="124" spans="1:12" s="1905" customFormat="1">
      <c r="A124" s="250"/>
      <c r="D124" s="1906"/>
      <c r="K124" s="57"/>
      <c r="L124" s="57"/>
    </row>
    <row r="125" spans="1:12" s="1905" customFormat="1">
      <c r="A125" s="250"/>
      <c r="D125" s="1906"/>
      <c r="K125" s="57"/>
      <c r="L125" s="57"/>
    </row>
    <row r="126" spans="1:12" s="1905" customFormat="1">
      <c r="A126" s="250"/>
      <c r="D126" s="1906"/>
      <c r="K126" s="57"/>
      <c r="L126" s="57"/>
    </row>
    <row r="127" spans="1:12" s="1905" customFormat="1">
      <c r="A127" s="250"/>
      <c r="D127" s="1906"/>
      <c r="K127" s="57"/>
      <c r="L127" s="57"/>
    </row>
    <row r="128" spans="1:12" s="1905" customFormat="1">
      <c r="A128" s="250"/>
      <c r="D128" s="1906"/>
      <c r="K128" s="57"/>
      <c r="L128" s="57"/>
    </row>
    <row r="129" spans="1:12" s="1905" customFormat="1">
      <c r="A129" s="250"/>
      <c r="D129" s="1906"/>
      <c r="K129" s="57"/>
      <c r="L129" s="57"/>
    </row>
    <row r="130" spans="1:12" s="1905" customFormat="1">
      <c r="A130" s="250"/>
      <c r="D130" s="1906"/>
      <c r="K130" s="57"/>
      <c r="L130" s="57"/>
    </row>
    <row r="131" spans="1:12" s="1905" customFormat="1">
      <c r="A131" s="250"/>
      <c r="D131" s="1906"/>
      <c r="K131" s="57"/>
      <c r="L131" s="57"/>
    </row>
    <row r="132" spans="1:12" s="1905" customFormat="1">
      <c r="A132" s="250"/>
      <c r="D132" s="1906"/>
      <c r="K132" s="57"/>
      <c r="L132" s="57"/>
    </row>
    <row r="133" spans="1:12" s="1905" customFormat="1">
      <c r="A133" s="250"/>
      <c r="D133" s="1906"/>
      <c r="K133" s="57"/>
      <c r="L133" s="57"/>
    </row>
    <row r="134" spans="1:12" s="1905" customFormat="1">
      <c r="A134" s="250"/>
      <c r="D134" s="1906"/>
      <c r="K134" s="57"/>
      <c r="L134" s="57"/>
    </row>
    <row r="135" spans="1:12" s="1905" customFormat="1">
      <c r="A135" s="250"/>
      <c r="D135" s="1906"/>
      <c r="K135" s="57"/>
      <c r="L135" s="57"/>
    </row>
    <row r="136" spans="1:12" s="1905" customFormat="1">
      <c r="A136" s="250"/>
      <c r="D136" s="1906"/>
      <c r="K136" s="57"/>
      <c r="L136" s="57"/>
    </row>
    <row r="137" spans="1:12" s="1905" customFormat="1">
      <c r="A137" s="250"/>
      <c r="D137" s="1906"/>
      <c r="K137" s="57"/>
      <c r="L137" s="57"/>
    </row>
    <row r="138" spans="1:12" s="1905" customFormat="1">
      <c r="A138" s="250"/>
      <c r="D138" s="1906"/>
      <c r="K138" s="57"/>
      <c r="L138" s="57"/>
    </row>
    <row r="139" spans="1:12" s="1905" customFormat="1">
      <c r="A139" s="250"/>
      <c r="D139" s="1906"/>
      <c r="K139" s="57"/>
      <c r="L139" s="57"/>
    </row>
    <row r="140" spans="1:12" s="1905" customFormat="1">
      <c r="A140" s="250"/>
      <c r="D140" s="1906"/>
      <c r="K140" s="57"/>
      <c r="L140" s="57"/>
    </row>
    <row r="141" spans="1:12" s="1905" customFormat="1">
      <c r="A141" s="250"/>
      <c r="D141" s="1906"/>
      <c r="K141" s="57"/>
      <c r="L141" s="57"/>
    </row>
    <row r="142" spans="1:12" s="1905" customFormat="1">
      <c r="A142" s="250"/>
      <c r="D142" s="1906"/>
      <c r="K142" s="57"/>
      <c r="L142" s="57"/>
    </row>
    <row r="143" spans="1:12" s="1905" customFormat="1">
      <c r="A143" s="250"/>
      <c r="D143" s="1906"/>
      <c r="K143" s="57"/>
      <c r="L143" s="57"/>
    </row>
    <row r="144" spans="1:12" s="1905" customFormat="1">
      <c r="A144" s="250"/>
      <c r="D144" s="1906"/>
      <c r="K144" s="57"/>
      <c r="L144" s="57"/>
    </row>
    <row r="145" spans="1:12" s="1905" customFormat="1">
      <c r="A145" s="250"/>
      <c r="D145" s="1906"/>
      <c r="K145" s="57"/>
      <c r="L145" s="57"/>
    </row>
    <row r="146" spans="1:12" s="1905" customFormat="1">
      <c r="A146" s="250"/>
      <c r="D146" s="1906"/>
      <c r="K146" s="57"/>
      <c r="L146" s="57"/>
    </row>
    <row r="147" spans="1:12" s="1905" customFormat="1">
      <c r="A147" s="250"/>
      <c r="D147" s="1906"/>
      <c r="K147" s="57"/>
      <c r="L147" s="57"/>
    </row>
    <row r="148" spans="1:12" s="1905" customFormat="1">
      <c r="A148" s="250"/>
      <c r="D148" s="1906"/>
      <c r="K148" s="57"/>
      <c r="L148" s="57"/>
    </row>
    <row r="149" spans="1:12" s="1905" customFormat="1">
      <c r="A149" s="250"/>
      <c r="D149" s="1906"/>
      <c r="K149" s="57"/>
      <c r="L149" s="57"/>
    </row>
    <row r="150" spans="1:12" s="1905" customFormat="1">
      <c r="A150" s="250"/>
      <c r="D150" s="1906"/>
      <c r="K150" s="57"/>
      <c r="L150" s="57"/>
    </row>
    <row r="151" spans="1:12" s="1905" customFormat="1">
      <c r="A151" s="250"/>
      <c r="D151" s="1906"/>
      <c r="K151" s="57"/>
      <c r="L151" s="57"/>
    </row>
    <row r="152" spans="1:12" s="1905" customFormat="1">
      <c r="A152" s="250"/>
      <c r="D152" s="1906"/>
      <c r="K152" s="57"/>
      <c r="L152" s="57"/>
    </row>
    <row r="153" spans="1:12" s="1905" customFormat="1">
      <c r="A153" s="250"/>
      <c r="D153" s="1906"/>
      <c r="K153" s="57"/>
      <c r="L153" s="57"/>
    </row>
    <row r="154" spans="1:12" s="1905" customFormat="1">
      <c r="A154" s="250"/>
      <c r="D154" s="1906"/>
      <c r="K154" s="57"/>
      <c r="L154" s="57"/>
    </row>
    <row r="155" spans="1:12" s="1905" customFormat="1">
      <c r="A155" s="250"/>
      <c r="D155" s="1906"/>
      <c r="K155" s="57"/>
      <c r="L155" s="57"/>
    </row>
    <row r="156" spans="1:12" s="1905" customFormat="1">
      <c r="A156" s="250"/>
      <c r="D156" s="1906"/>
      <c r="K156" s="57"/>
      <c r="L156" s="57"/>
    </row>
    <row r="157" spans="1:12" s="1905" customFormat="1">
      <c r="A157" s="250"/>
      <c r="D157" s="1906"/>
      <c r="K157" s="57"/>
      <c r="L157" s="57"/>
    </row>
    <row r="158" spans="1:12" s="1905" customFormat="1">
      <c r="A158" s="250"/>
      <c r="D158" s="1906"/>
      <c r="K158" s="57"/>
      <c r="L158" s="57"/>
    </row>
    <row r="159" spans="1:12" s="1905" customFormat="1">
      <c r="A159" s="250"/>
      <c r="D159" s="1906"/>
      <c r="K159" s="57"/>
      <c r="L159" s="57"/>
    </row>
    <row r="160" spans="1:12" s="1905" customFormat="1">
      <c r="A160" s="250"/>
      <c r="D160" s="1906"/>
      <c r="K160" s="57"/>
      <c r="L160" s="57"/>
    </row>
    <row r="161" spans="1:12" s="1905" customFormat="1">
      <c r="A161" s="250"/>
      <c r="D161" s="1906"/>
      <c r="K161" s="57"/>
      <c r="L161" s="57"/>
    </row>
    <row r="162" spans="1:12" s="1905" customFormat="1">
      <c r="A162" s="250"/>
      <c r="D162" s="1906"/>
      <c r="K162" s="57"/>
      <c r="L162" s="57"/>
    </row>
    <row r="163" spans="1:12" s="1905" customFormat="1">
      <c r="A163" s="250"/>
      <c r="D163" s="1906"/>
      <c r="K163" s="57"/>
      <c r="L163" s="57"/>
    </row>
    <row r="164" spans="1:12" s="1905" customFormat="1">
      <c r="A164" s="250"/>
      <c r="D164" s="1906"/>
      <c r="K164" s="57"/>
      <c r="L164" s="57"/>
    </row>
    <row r="165" spans="1:12" s="1905" customFormat="1">
      <c r="A165" s="250"/>
      <c r="D165" s="1906"/>
      <c r="K165" s="57"/>
      <c r="L165" s="57"/>
    </row>
    <row r="166" spans="1:12" s="1905" customFormat="1">
      <c r="A166" s="250"/>
      <c r="D166" s="1906"/>
      <c r="K166" s="57"/>
      <c r="L166" s="57"/>
    </row>
    <row r="167" spans="1:12" s="1905" customFormat="1">
      <c r="A167" s="250"/>
      <c r="D167" s="1906"/>
      <c r="K167" s="57"/>
      <c r="L167" s="57"/>
    </row>
    <row r="168" spans="1:12" s="1905" customFormat="1">
      <c r="A168" s="250"/>
      <c r="D168" s="1906"/>
      <c r="K168" s="57"/>
      <c r="L168" s="57"/>
    </row>
    <row r="169" spans="1:12" s="1905" customFormat="1">
      <c r="A169" s="250"/>
      <c r="D169" s="1906"/>
      <c r="K169" s="57"/>
      <c r="L169" s="57"/>
    </row>
    <row r="170" spans="1:12" s="1905" customFormat="1">
      <c r="A170" s="250"/>
      <c r="D170" s="1906"/>
      <c r="K170" s="57"/>
      <c r="L170" s="57"/>
    </row>
    <row r="171" spans="1:12" s="1905" customFormat="1">
      <c r="A171" s="250"/>
      <c r="D171" s="1906"/>
      <c r="K171" s="57"/>
      <c r="L171" s="57"/>
    </row>
    <row r="172" spans="1:12" s="1905" customFormat="1">
      <c r="A172" s="250"/>
      <c r="D172" s="1906"/>
      <c r="K172" s="57"/>
      <c r="L172" s="57"/>
    </row>
    <row r="173" spans="1:12" s="1905" customFormat="1">
      <c r="A173" s="250"/>
      <c r="D173" s="1906"/>
      <c r="K173" s="57"/>
      <c r="L173" s="57"/>
    </row>
    <row r="174" spans="1:12" s="1905" customFormat="1">
      <c r="A174" s="250"/>
      <c r="D174" s="1906"/>
      <c r="K174" s="57"/>
      <c r="L174" s="57"/>
    </row>
    <row r="175" spans="1:12" s="1905" customFormat="1">
      <c r="A175" s="250"/>
      <c r="D175" s="1906"/>
      <c r="K175" s="57"/>
      <c r="L175" s="57"/>
    </row>
    <row r="176" spans="1:12" s="1905" customFormat="1">
      <c r="A176" s="250"/>
      <c r="D176" s="1906"/>
      <c r="K176" s="57"/>
      <c r="L176" s="57"/>
    </row>
    <row r="177" spans="1:12" s="1905" customFormat="1">
      <c r="A177" s="250"/>
      <c r="D177" s="1906"/>
      <c r="K177" s="57"/>
      <c r="L177" s="57"/>
    </row>
    <row r="178" spans="1:12" s="1905" customFormat="1">
      <c r="A178" s="250"/>
      <c r="D178" s="1906"/>
      <c r="K178" s="57"/>
      <c r="L178" s="57"/>
    </row>
    <row r="179" spans="1:12" s="1905" customFormat="1">
      <c r="A179" s="250"/>
      <c r="D179" s="1906"/>
      <c r="K179" s="57"/>
      <c r="L179" s="57"/>
    </row>
    <row r="180" spans="1:12" s="1905" customFormat="1">
      <c r="A180" s="250"/>
      <c r="D180" s="1906"/>
      <c r="K180" s="57"/>
      <c r="L180" s="57"/>
    </row>
    <row r="181" spans="1:12" s="1905" customFormat="1">
      <c r="A181" s="250"/>
      <c r="D181" s="1906"/>
      <c r="K181" s="57"/>
      <c r="L181" s="57"/>
    </row>
    <row r="182" spans="1:12" s="1905" customFormat="1">
      <c r="A182" s="250"/>
      <c r="D182" s="1906"/>
      <c r="K182" s="57"/>
      <c r="L182" s="57"/>
    </row>
    <row r="183" spans="1:12" s="1905" customFormat="1">
      <c r="A183" s="250"/>
      <c r="D183" s="1906"/>
      <c r="K183" s="57"/>
      <c r="L183" s="57"/>
    </row>
    <row r="184" spans="1:12" s="1905" customFormat="1">
      <c r="A184" s="250"/>
      <c r="D184" s="1906"/>
      <c r="K184" s="57"/>
      <c r="L184" s="57"/>
    </row>
    <row r="185" spans="1:12" s="1905" customFormat="1">
      <c r="A185" s="250"/>
      <c r="D185" s="1906"/>
      <c r="K185" s="57"/>
      <c r="L185" s="57"/>
    </row>
    <row r="186" spans="1:12" s="1905" customFormat="1">
      <c r="A186" s="250"/>
      <c r="D186" s="1906"/>
      <c r="K186" s="57"/>
      <c r="L186" s="57"/>
    </row>
    <row r="187" spans="1:12" s="1905" customFormat="1">
      <c r="A187" s="250"/>
      <c r="D187" s="1906"/>
      <c r="K187" s="57"/>
      <c r="L187" s="57"/>
    </row>
    <row r="188" spans="1:12" s="1905" customFormat="1">
      <c r="A188" s="250"/>
      <c r="D188" s="1906"/>
      <c r="K188" s="57"/>
      <c r="L188" s="57"/>
    </row>
    <row r="189" spans="1:12" s="1905" customFormat="1">
      <c r="A189" s="250"/>
      <c r="D189" s="1906"/>
      <c r="K189" s="57"/>
      <c r="L189" s="57"/>
    </row>
    <row r="190" spans="1:12" s="1905" customFormat="1">
      <c r="A190" s="250"/>
      <c r="D190" s="1906"/>
      <c r="K190" s="57"/>
      <c r="L190" s="57"/>
    </row>
    <row r="191" spans="1:12" s="1905" customFormat="1">
      <c r="A191" s="250"/>
      <c r="D191" s="1906"/>
      <c r="K191" s="57"/>
      <c r="L191" s="57"/>
    </row>
    <row r="192" spans="1:12" s="1905" customFormat="1">
      <c r="A192" s="250"/>
      <c r="D192" s="1906"/>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7" customWidth="1"/>
    <col min="2" max="2" width="23.5" style="3152" customWidth="1"/>
    <col min="3" max="3" width="32.25" style="3154" customWidth="1"/>
    <col min="4" max="4" width="2.625" style="3154" customWidth="1"/>
    <col min="5" max="5" width="5.875" style="3154" customWidth="1"/>
    <col min="6" max="6" width="23.625" style="3152" customWidth="1"/>
    <col min="7" max="7" width="33.375" style="3153" customWidth="1"/>
    <col min="8" max="8" width="11.875" style="3152" customWidth="1"/>
    <col min="9" max="9" width="16.75" style="3153" customWidth="1"/>
    <col min="10" max="10" width="2.625" style="3154" customWidth="1"/>
    <col min="11" max="11" width="11.875" style="3152" customWidth="1"/>
    <col min="12" max="12" width="16.75" style="3153" customWidth="1"/>
    <col min="13" max="13" width="2.625" style="3154" customWidth="1"/>
    <col min="14" max="14" width="11.875" style="3152" customWidth="1"/>
    <col min="15" max="15" width="16.75" style="3153" customWidth="1"/>
    <col min="16" max="16" width="2.625" style="3154" customWidth="1"/>
    <col min="17" max="17" width="11.875" style="3152" customWidth="1"/>
    <col min="18" max="18" width="16.75" style="3155" customWidth="1"/>
    <col min="19" max="16384" width="9" style="3117"/>
  </cols>
  <sheetData>
    <row r="1" spans="1:18" s="3111" customFormat="1" ht="19.5" thickBot="1">
      <c r="A1" s="3406" t="s">
        <v>1653</v>
      </c>
      <c r="B1" s="3407"/>
      <c r="C1" s="3407"/>
      <c r="D1" s="3407"/>
      <c r="E1" s="3407"/>
      <c r="F1" s="3407"/>
      <c r="G1" s="3407"/>
      <c r="H1" s="3106"/>
      <c r="I1" s="3107"/>
      <c r="J1" s="3108"/>
      <c r="K1" s="3106"/>
      <c r="L1" s="3107"/>
      <c r="M1" s="3108"/>
      <c r="N1" s="3106"/>
      <c r="O1" s="3107"/>
      <c r="P1" s="3108"/>
      <c r="Q1" s="3109"/>
      <c r="R1" s="3110"/>
    </row>
    <row r="2" spans="1:18" ht="14.25" thickBot="1">
      <c r="A2" s="3112"/>
      <c r="B2" s="3113"/>
      <c r="C2" s="3114" t="s">
        <v>1654</v>
      </c>
      <c r="D2" s="3115"/>
      <c r="E2" s="3112"/>
      <c r="F2" s="3116"/>
      <c r="G2" s="3114" t="s">
        <v>1655</v>
      </c>
      <c r="H2" s="3117"/>
      <c r="I2" s="3117"/>
      <c r="J2" s="3117"/>
      <c r="K2" s="3117"/>
      <c r="L2" s="3117"/>
      <c r="M2" s="3117"/>
      <c r="N2" s="3117"/>
      <c r="O2" s="3117"/>
      <c r="P2" s="3117"/>
      <c r="Q2" s="3117"/>
      <c r="R2" s="3117"/>
    </row>
    <row r="3" spans="1:18" ht="40.5">
      <c r="A3" s="3118" t="s">
        <v>1656</v>
      </c>
      <c r="B3" s="3119" t="s">
        <v>1643</v>
      </c>
      <c r="C3" s="3120" t="s">
        <v>2888</v>
      </c>
      <c r="D3" s="3121"/>
      <c r="E3" s="3122" t="s">
        <v>1656</v>
      </c>
      <c r="F3" s="3123" t="s">
        <v>1644</v>
      </c>
      <c r="G3" s="3124" t="s">
        <v>2887</v>
      </c>
      <c r="H3" s="3117"/>
      <c r="I3" s="3117"/>
      <c r="J3" s="3117"/>
      <c r="K3" s="3117"/>
      <c r="L3" s="3117"/>
      <c r="M3" s="3117"/>
      <c r="N3" s="3117"/>
      <c r="O3" s="3117"/>
      <c r="P3" s="3117"/>
      <c r="Q3" s="3117"/>
      <c r="R3" s="3117"/>
    </row>
    <row r="4" spans="1:18" ht="40.5">
      <c r="A4" s="3122"/>
      <c r="B4" s="3125" t="s">
        <v>1657</v>
      </c>
      <c r="C4" s="3126" t="s">
        <v>2889</v>
      </c>
      <c r="D4" s="3121"/>
      <c r="E4" s="3127"/>
      <c r="F4" s="3128" t="s">
        <v>1658</v>
      </c>
      <c r="G4" s="3129" t="s">
        <v>2884</v>
      </c>
      <c r="H4" s="3117"/>
      <c r="I4" s="3117"/>
      <c r="J4" s="3117"/>
      <c r="K4" s="3117"/>
      <c r="L4" s="3117"/>
      <c r="M4" s="3117"/>
      <c r="N4" s="3117"/>
      <c r="O4" s="3117"/>
      <c r="P4" s="3117"/>
      <c r="Q4" s="3117"/>
      <c r="R4" s="3117"/>
    </row>
    <row r="5" spans="1:18" ht="41.25">
      <c r="A5" s="3122"/>
      <c r="B5" s="3125" t="s">
        <v>1659</v>
      </c>
      <c r="C5" s="3126" t="s">
        <v>2890</v>
      </c>
      <c r="D5" s="3121"/>
      <c r="E5" s="3127"/>
      <c r="F5" s="3125" t="s">
        <v>2527</v>
      </c>
      <c r="G5" s="3129" t="s">
        <v>2885</v>
      </c>
      <c r="H5" s="3117"/>
      <c r="I5" s="3117"/>
      <c r="J5" s="3117"/>
      <c r="K5" s="3117"/>
      <c r="L5" s="3117"/>
      <c r="M5" s="3117"/>
      <c r="N5" s="3117"/>
      <c r="O5" s="3117"/>
      <c r="P5" s="3117"/>
      <c r="Q5" s="3117"/>
      <c r="R5" s="3117"/>
    </row>
    <row r="6" spans="1:18" ht="40.5">
      <c r="A6" s="3122"/>
      <c r="B6" s="3125" t="s">
        <v>1645</v>
      </c>
      <c r="C6" s="3129" t="s">
        <v>2884</v>
      </c>
      <c r="D6" s="3121"/>
      <c r="E6" s="3127"/>
      <c r="F6" s="3125" t="s">
        <v>2528</v>
      </c>
      <c r="G6" s="3129" t="s">
        <v>2882</v>
      </c>
      <c r="H6" s="3117"/>
      <c r="I6" s="3117"/>
      <c r="J6" s="3117"/>
      <c r="K6" s="3117"/>
      <c r="L6" s="3117"/>
      <c r="M6" s="3117"/>
      <c r="N6" s="3117"/>
      <c r="O6" s="3117"/>
      <c r="P6" s="3117"/>
      <c r="Q6" s="3117"/>
      <c r="R6" s="3117"/>
    </row>
    <row r="7" spans="1:18" ht="27.75" thickBot="1">
      <c r="A7" s="3122"/>
      <c r="B7" s="3125" t="s">
        <v>2527</v>
      </c>
      <c r="C7" s="3129" t="s">
        <v>2885</v>
      </c>
      <c r="D7" s="3130"/>
      <c r="E7" s="3131"/>
      <c r="F7" s="3132" t="s">
        <v>1660</v>
      </c>
      <c r="G7" s="3133" t="s">
        <v>2886</v>
      </c>
      <c r="H7" s="3117"/>
      <c r="I7" s="3117"/>
      <c r="J7" s="3117"/>
      <c r="K7" s="3117"/>
      <c r="L7" s="3117"/>
      <c r="M7" s="3117"/>
      <c r="N7" s="3117"/>
      <c r="O7" s="3117"/>
      <c r="P7" s="3117"/>
      <c r="Q7" s="3117"/>
      <c r="R7" s="3117"/>
    </row>
    <row r="8" spans="1:18">
      <c r="A8" s="3122"/>
      <c r="B8" s="3125" t="s">
        <v>2528</v>
      </c>
      <c r="C8" s="3129" t="s">
        <v>2882</v>
      </c>
      <c r="D8" s="3130"/>
      <c r="E8" s="3130"/>
      <c r="F8" s="3134"/>
      <c r="G8" s="3134"/>
      <c r="H8" s="3117"/>
      <c r="I8" s="3117"/>
      <c r="J8" s="3117"/>
      <c r="K8" s="3117"/>
      <c r="L8" s="3117"/>
      <c r="M8" s="3117"/>
      <c r="N8" s="3117"/>
      <c r="O8" s="3117"/>
      <c r="P8" s="3117"/>
      <c r="Q8" s="3117"/>
      <c r="R8" s="3117"/>
    </row>
    <row r="9" spans="1:18" ht="27">
      <c r="A9" s="3122"/>
      <c r="B9" s="3125" t="s">
        <v>1646</v>
      </c>
      <c r="C9" s="3126" t="s">
        <v>2883</v>
      </c>
      <c r="D9" s="3121"/>
      <c r="E9" s="3130"/>
      <c r="F9" s="3134"/>
      <c r="G9" s="3134"/>
      <c r="H9" s="3117"/>
      <c r="I9" s="3117"/>
      <c r="J9" s="3117"/>
      <c r="K9" s="3117"/>
      <c r="L9" s="3117"/>
      <c r="M9" s="3117"/>
      <c r="N9" s="3117"/>
      <c r="O9" s="3117"/>
      <c r="P9" s="3117"/>
      <c r="Q9" s="3117"/>
      <c r="R9" s="3117"/>
    </row>
    <row r="10" spans="1:18" s="3141" customFormat="1" ht="15" thickBot="1">
      <c r="A10" s="3135"/>
      <c r="B10" s="3136" t="s">
        <v>1661</v>
      </c>
      <c r="C10" s="3137"/>
      <c r="D10" s="3121"/>
      <c r="E10" s="3121"/>
      <c r="F10" s="3134"/>
      <c r="G10" s="3134"/>
      <c r="H10" s="3138"/>
      <c r="I10" s="3139"/>
      <c r="J10" s="3140"/>
      <c r="K10" s="3138"/>
      <c r="L10" s="3139"/>
      <c r="M10" s="3140"/>
      <c r="N10" s="3138"/>
      <c r="O10" s="3139"/>
      <c r="P10" s="3140"/>
      <c r="Q10" s="3138"/>
      <c r="R10" s="3139"/>
    </row>
    <row r="11" spans="1:18" s="3141" customFormat="1">
      <c r="A11" s="3142"/>
      <c r="B11" s="3130"/>
      <c r="C11" s="3121"/>
      <c r="D11" s="3121"/>
      <c r="E11" s="3121"/>
      <c r="F11" s="3130"/>
      <c r="G11" s="3143"/>
      <c r="H11" s="3138"/>
      <c r="I11" s="3139"/>
      <c r="J11" s="3140"/>
      <c r="K11" s="3138"/>
      <c r="L11" s="3139"/>
      <c r="M11" s="3140"/>
      <c r="N11" s="3138"/>
      <c r="O11" s="3139"/>
      <c r="P11" s="3140"/>
      <c r="Q11" s="3138"/>
      <c r="R11" s="3139"/>
    </row>
    <row r="12" spans="1:18" s="3111" customFormat="1" ht="18.75">
      <c r="A12" s="3142"/>
      <c r="B12" s="3130"/>
      <c r="C12" s="3121"/>
      <c r="D12" s="3144"/>
      <c r="E12" s="3121"/>
      <c r="F12" s="3130"/>
      <c r="G12" s="3143"/>
      <c r="H12" s="3145"/>
      <c r="I12" s="3146"/>
      <c r="J12" s="3145"/>
      <c r="K12" s="3145"/>
      <c r="L12" s="3147"/>
      <c r="M12" s="3145"/>
      <c r="N12" s="3148"/>
      <c r="O12" s="3149"/>
      <c r="P12" s="3150"/>
      <c r="Q12" s="3148"/>
      <c r="R12" s="3110"/>
    </row>
    <row r="13" spans="1:18" ht="19.5" thickBot="1">
      <c r="A13" s="3151" t="s">
        <v>1662</v>
      </c>
      <c r="B13" s="3144"/>
      <c r="C13" s="3144"/>
      <c r="D13" s="3115"/>
      <c r="E13" s="3144"/>
      <c r="F13" s="3144"/>
      <c r="G13" s="3144"/>
    </row>
    <row r="14" spans="1:18" ht="14.25" thickBot="1">
      <c r="A14" s="3156"/>
      <c r="B14" s="3156"/>
      <c r="C14" s="3157" t="s">
        <v>1654</v>
      </c>
      <c r="D14" s="3121"/>
      <c r="E14" s="3158"/>
      <c r="F14" s="3158"/>
      <c r="G14" s="3114" t="s">
        <v>1655</v>
      </c>
    </row>
    <row r="15" spans="1:18" ht="40.5">
      <c r="A15" s="3159" t="s">
        <v>1647</v>
      </c>
      <c r="B15" s="3160" t="s">
        <v>1643</v>
      </c>
      <c r="C15" s="3161" t="str">
        <f>C3</f>
        <v>估价对象周边居住用地比例、居住小区规模和社区发展完善程度，综合评价居住社区成熟度一般</v>
      </c>
      <c r="D15" s="3121"/>
      <c r="E15" s="3162" t="s">
        <v>1648</v>
      </c>
      <c r="F15" s="3160" t="s">
        <v>1663</v>
      </c>
      <c r="G15" s="3163" t="str">
        <f>G3</f>
        <v>估价对象位于XX开发区，园区建设成熟度XX，产业集聚程度XX</v>
      </c>
    </row>
    <row r="16" spans="1:18" ht="40.5">
      <c r="A16" s="3164"/>
      <c r="B16" s="3165" t="s">
        <v>1657</v>
      </c>
      <c r="C16" s="3166" t="str">
        <f>C4</f>
        <v>估价对象位于XX商圈，周边商业氛围成熟，人流量大，商业繁华度好</v>
      </c>
      <c r="D16" s="3121"/>
      <c r="E16" s="3167"/>
      <c r="F16" s="3168" t="s">
        <v>1658</v>
      </c>
      <c r="G16" s="3169" t="str">
        <f>G4</f>
        <v>估价对象周边道路状况、公共交通通达情况、停车便捷程度，综合评价交通便捷度较好</v>
      </c>
    </row>
    <row r="17" spans="1:7" ht="40.5">
      <c r="A17" s="3164"/>
      <c r="B17" s="3165" t="s">
        <v>1659</v>
      </c>
      <c r="C17" s="3166" t="str">
        <f>C5</f>
        <v>估价对象位于XX商圈，周边办公楼项目较多，入驻率高，办公集聚程度较好</v>
      </c>
      <c r="D17" s="3130"/>
      <c r="E17" s="3167"/>
      <c r="F17" s="3168" t="s">
        <v>1664</v>
      </c>
      <c r="G17" s="3170"/>
    </row>
    <row r="18" spans="1:7" ht="40.5">
      <c r="A18" s="3164"/>
      <c r="B18" s="3168" t="s">
        <v>1645</v>
      </c>
      <c r="C18" s="3169" t="str">
        <f>C6</f>
        <v>估价对象周边道路状况、公共交通通达情况、停车便捷程度，综合评价交通便捷度较好</v>
      </c>
      <c r="D18" s="3130"/>
      <c r="E18" s="3167"/>
      <c r="F18" s="3168" t="s">
        <v>1660</v>
      </c>
      <c r="G18" s="3169" t="str">
        <f>G7</f>
        <v>该园区内是否有污染型企业，绿化情况，卫生条件，整体环境状况判断</v>
      </c>
    </row>
    <row r="19" spans="1:7" ht="27">
      <c r="A19" s="3164"/>
      <c r="B19" s="3168" t="s">
        <v>1649</v>
      </c>
      <c r="C19" s="3170"/>
      <c r="D19" s="3121"/>
      <c r="E19" s="3167"/>
      <c r="F19" s="3125" t="s">
        <v>2527</v>
      </c>
      <c r="G19" s="3169" t="str">
        <f>G5</f>
        <v>估价对象所在区域公共配套设施齐备情况</v>
      </c>
    </row>
    <row r="20" spans="1:7" ht="27">
      <c r="A20" s="3164"/>
      <c r="B20" s="3168" t="s">
        <v>1650</v>
      </c>
      <c r="C20" s="3166" t="str">
        <f>C9</f>
        <v>区域自然环境：；人文环境；综合评价环境状况一般</v>
      </c>
      <c r="D20" s="3130"/>
      <c r="E20" s="3167"/>
      <c r="F20" s="3125" t="s">
        <v>2528</v>
      </c>
      <c r="G20" s="3169" t="str">
        <f>G6</f>
        <v>估价对象所在区域基础设施水平</v>
      </c>
    </row>
    <row r="21" spans="1:7" ht="27">
      <c r="A21" s="3164"/>
      <c r="B21" s="3125" t="s">
        <v>2527</v>
      </c>
      <c r="C21" s="3169" t="str">
        <f>C7</f>
        <v>估价对象所在区域公共配套设施齐备情况</v>
      </c>
      <c r="D21" s="3121"/>
      <c r="E21" s="3167"/>
      <c r="F21" s="3168" t="s">
        <v>1651</v>
      </c>
      <c r="G21" s="3171"/>
    </row>
    <row r="22" spans="1:7" ht="14.25">
      <c r="A22" s="3164"/>
      <c r="B22" s="3125" t="s">
        <v>2528</v>
      </c>
      <c r="C22" s="3169" t="str">
        <f>C8</f>
        <v>估价对象所在区域基础设施水平</v>
      </c>
      <c r="D22" s="3121"/>
      <c r="E22" s="3167"/>
      <c r="F22" s="3168" t="s">
        <v>1661</v>
      </c>
      <c r="G22" s="3170"/>
    </row>
    <row r="23" spans="1:7" ht="15" thickBot="1">
      <c r="A23" s="3164"/>
      <c r="B23" s="3168" t="s">
        <v>1651</v>
      </c>
      <c r="C23" s="3171"/>
      <c r="E23" s="3172"/>
      <c r="F23" s="3173" t="s">
        <v>1665</v>
      </c>
      <c r="G23" s="3174"/>
    </row>
    <row r="24" spans="1:7" ht="14.25" thickBot="1">
      <c r="A24" s="3175"/>
      <c r="B24" s="3173" t="s">
        <v>1652</v>
      </c>
      <c r="C24" s="3176">
        <f>C10</f>
        <v>0</v>
      </c>
      <c r="E24" s="3177"/>
      <c r="F24" s="3177"/>
      <c r="G24" s="3178"/>
    </row>
    <row r="25" spans="1:7">
      <c r="E25" s="3117"/>
      <c r="F25" s="3117"/>
      <c r="G25" s="3117"/>
    </row>
    <row r="26" spans="1:7">
      <c r="E26" s="3117"/>
      <c r="F26" s="3117"/>
      <c r="G26" s="3117"/>
    </row>
    <row r="27" spans="1:7">
      <c r="E27" s="3117"/>
      <c r="F27" s="3117"/>
      <c r="G27" s="3117"/>
    </row>
    <row r="28" spans="1:7">
      <c r="E28" s="3117"/>
      <c r="F28" s="3117"/>
      <c r="G28" s="3117"/>
    </row>
    <row r="29" spans="1:7">
      <c r="E29" s="3117"/>
      <c r="F29" s="3117"/>
      <c r="G29" s="3117"/>
    </row>
    <row r="30" spans="1:7">
      <c r="E30" s="3117"/>
      <c r="F30" s="3117"/>
      <c r="G30" s="3117"/>
    </row>
    <row r="31" spans="1:7">
      <c r="E31" s="3117"/>
      <c r="F31" s="3117"/>
      <c r="G31" s="3117"/>
    </row>
    <row r="32" spans="1:7">
      <c r="E32" s="3117"/>
      <c r="F32" s="3117"/>
      <c r="G32" s="3117"/>
    </row>
    <row r="33" spans="5:7">
      <c r="E33" s="3117"/>
      <c r="F33" s="3117"/>
      <c r="G33" s="3117"/>
    </row>
    <row r="34" spans="5:7">
      <c r="E34" s="3117"/>
      <c r="F34" s="3117"/>
      <c r="G34" s="3117"/>
    </row>
    <row r="35" spans="5:7">
      <c r="E35" s="3117"/>
      <c r="F35" s="3117"/>
      <c r="G35" s="3117"/>
    </row>
    <row r="36" spans="5:7">
      <c r="E36" s="3117"/>
      <c r="F36" s="3117"/>
      <c r="G36" s="3117"/>
    </row>
    <row r="37" spans="5:7">
      <c r="E37" s="3117"/>
      <c r="F37" s="3117"/>
      <c r="G37" s="311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0" customWidth="1"/>
    <col min="2" max="16384" width="14.625" style="3180"/>
  </cols>
  <sheetData>
    <row r="1" spans="1:10" ht="16.5">
      <c r="A1" s="3179" t="s">
        <v>2823</v>
      </c>
      <c r="B1" s="3179">
        <f>SUM(B14:B23)</f>
        <v>172032.86</v>
      </c>
      <c r="C1" s="3188"/>
      <c r="D1" s="3188"/>
      <c r="E1" s="3188"/>
      <c r="F1" s="3188"/>
      <c r="G1" s="3189"/>
      <c r="H1" s="3189"/>
      <c r="I1" s="3189"/>
      <c r="J1" s="3189"/>
    </row>
    <row r="2" spans="1:10" ht="16.5">
      <c r="A2" s="3179" t="s">
        <v>2824</v>
      </c>
      <c r="B2" s="3179">
        <f>SUM(C14:C23)</f>
        <v>59775.26</v>
      </c>
      <c r="C2" s="3188"/>
      <c r="D2" s="3188"/>
      <c r="E2" s="3188"/>
      <c r="F2" s="3188"/>
      <c r="G2" s="3189"/>
      <c r="H2" s="3189"/>
      <c r="I2" s="3189"/>
      <c r="J2" s="3189"/>
    </row>
    <row r="3" spans="1:10" ht="16.5">
      <c r="A3" s="3179" t="s">
        <v>2825</v>
      </c>
      <c r="B3" s="3181">
        <f>项目基本情况!D3</f>
        <v>44254</v>
      </c>
      <c r="C3" s="3188"/>
      <c r="D3" s="3188"/>
      <c r="E3" s="3188"/>
      <c r="F3" s="3188"/>
      <c r="G3" s="3189"/>
      <c r="H3" s="3189"/>
      <c r="I3" s="3189"/>
      <c r="J3" s="3189"/>
    </row>
    <row r="4" spans="1:10" ht="33">
      <c r="A4" s="3179" t="s">
        <v>2826</v>
      </c>
      <c r="B4" s="3179" t="s">
        <v>2827</v>
      </c>
      <c r="C4" s="3179" t="s">
        <v>2828</v>
      </c>
      <c r="D4" s="3179" t="s">
        <v>2829</v>
      </c>
      <c r="E4" s="3188"/>
      <c r="F4" s="3188"/>
      <c r="G4" s="3189"/>
      <c r="H4" s="3189"/>
      <c r="I4" s="3189"/>
      <c r="J4" s="3189"/>
    </row>
    <row r="5" spans="1:10" ht="16.5">
      <c r="A5" s="3179" t="s">
        <v>2830</v>
      </c>
      <c r="B5" s="3179">
        <f ca="1">SUM(D14:D23)</f>
        <v>30230</v>
      </c>
      <c r="C5" s="3179">
        <f ca="1">ROUND(B5*10000/$B$1,0)</f>
        <v>1757</v>
      </c>
      <c r="D5" s="3179">
        <f ca="1">ROUND(B5*10000/$B$2,0)</f>
        <v>5057</v>
      </c>
      <c r="E5" s="3188"/>
      <c r="F5" s="3188"/>
      <c r="G5" s="3189"/>
      <c r="H5" s="3189"/>
      <c r="I5" s="3189"/>
      <c r="J5" s="3189"/>
    </row>
    <row r="6" spans="1:10" ht="16.5">
      <c r="A6" s="3179" t="s">
        <v>2831</v>
      </c>
      <c r="B6" s="3179">
        <f ca="1">SUM(G14:G23)</f>
        <v>30230</v>
      </c>
      <c r="C6" s="3179">
        <f t="shared" ref="C6:C8" ca="1" si="0">ROUND(B6*10000/$B$1,0)</f>
        <v>1757</v>
      </c>
      <c r="D6" s="3179">
        <f t="shared" ref="D6:D8" ca="1" si="1">ROUND(B6*10000/$B$2,0)</f>
        <v>5057</v>
      </c>
      <c r="E6" s="3188"/>
      <c r="F6" s="3188"/>
      <c r="G6" s="3189"/>
      <c r="H6" s="3189"/>
      <c r="I6" s="3189"/>
      <c r="J6" s="3189"/>
    </row>
    <row r="7" spans="1:10" ht="16.5">
      <c r="A7" s="3179" t="s">
        <v>2832</v>
      </c>
      <c r="B7" s="3179">
        <f>SUM(H14:H23)</f>
        <v>0</v>
      </c>
      <c r="C7" s="3179">
        <f t="shared" si="0"/>
        <v>0</v>
      </c>
      <c r="D7" s="3179">
        <f t="shared" si="1"/>
        <v>0</v>
      </c>
      <c r="E7" s="3188"/>
      <c r="F7" s="3188"/>
      <c r="G7" s="3189"/>
      <c r="H7" s="3189"/>
      <c r="I7" s="3189"/>
      <c r="J7" s="3189"/>
    </row>
    <row r="8" spans="1:10" ht="16.5">
      <c r="A8" s="3179" t="s">
        <v>2833</v>
      </c>
      <c r="B8" s="3179">
        <f ca="1">SUM(I14:I23)</f>
        <v>28632</v>
      </c>
      <c r="C8" s="3179">
        <f t="shared" ca="1" si="0"/>
        <v>1664</v>
      </c>
      <c r="D8" s="3179">
        <f t="shared" ca="1" si="1"/>
        <v>4790</v>
      </c>
      <c r="E8" s="3188"/>
      <c r="F8" s="3188"/>
      <c r="G8" s="3189"/>
      <c r="H8" s="3189"/>
      <c r="I8" s="3189"/>
      <c r="J8" s="3189"/>
    </row>
    <row r="9" spans="1:10" ht="16.5">
      <c r="A9" s="3179" t="s">
        <v>2834</v>
      </c>
      <c r="B9" s="3187"/>
      <c r="C9" s="3188"/>
      <c r="D9" s="3188"/>
      <c r="E9" s="3188"/>
      <c r="F9" s="3188"/>
      <c r="G9" s="3189"/>
      <c r="H9" s="3189"/>
      <c r="I9" s="3189"/>
      <c r="J9" s="3189"/>
    </row>
    <row r="10" spans="1:10" ht="16.5">
      <c r="A10" s="3179" t="s">
        <v>2835</v>
      </c>
      <c r="B10" s="3187"/>
      <c r="C10" s="3188"/>
      <c r="D10" s="3188"/>
      <c r="E10" s="3188"/>
      <c r="F10" s="3188"/>
      <c r="G10" s="3189"/>
      <c r="H10" s="3189"/>
      <c r="I10" s="3189"/>
      <c r="J10" s="3189"/>
    </row>
    <row r="11" spans="1:10" ht="16.5">
      <c r="A11" s="3179" t="s">
        <v>2852</v>
      </c>
      <c r="B11" s="3187"/>
      <c r="C11" s="3188"/>
      <c r="D11" s="3188"/>
      <c r="E11" s="3188"/>
      <c r="F11" s="3188"/>
      <c r="G11" s="3189"/>
      <c r="H11" s="3189"/>
      <c r="I11" s="3189"/>
      <c r="J11" s="3189"/>
    </row>
    <row r="12" spans="1:10" ht="16.5">
      <c r="A12" s="3188"/>
      <c r="B12" s="3188"/>
      <c r="C12" s="3188"/>
      <c r="D12" s="3188"/>
      <c r="E12" s="3188"/>
      <c r="F12" s="3188"/>
      <c r="G12" s="3189"/>
      <c r="H12" s="3189"/>
      <c r="I12" s="3189"/>
      <c r="J12" s="3189"/>
    </row>
    <row r="13" spans="1:10" ht="33">
      <c r="A13" s="3182" t="s">
        <v>2851</v>
      </c>
      <c r="B13" s="3183" t="s">
        <v>2823</v>
      </c>
      <c r="C13" s="3183" t="s">
        <v>2824</v>
      </c>
      <c r="D13" s="3183" t="s">
        <v>2836</v>
      </c>
      <c r="E13" s="3179" t="s">
        <v>2850</v>
      </c>
      <c r="F13" s="3179" t="s">
        <v>2829</v>
      </c>
      <c r="G13" s="3183" t="s">
        <v>2837</v>
      </c>
      <c r="H13" s="3183" t="s">
        <v>2838</v>
      </c>
      <c r="I13" s="3183" t="s">
        <v>2839</v>
      </c>
      <c r="J13" s="3189"/>
    </row>
    <row r="14" spans="1:10" ht="16.5">
      <c r="A14" s="3184" t="s">
        <v>2849</v>
      </c>
      <c r="B14" s="3185">
        <f>结果表!L38</f>
        <v>172032.86</v>
      </c>
      <c r="C14" s="3185">
        <f>结果表!K38</f>
        <v>59775.26</v>
      </c>
      <c r="D14" s="3185">
        <f ca="1">结果表!C42</f>
        <v>30230</v>
      </c>
      <c r="E14" s="3185">
        <f ca="1">ROUND(D14*10000/B14,0)</f>
        <v>1757</v>
      </c>
      <c r="F14" s="3185">
        <f ca="1">ROUND(D14*10000/C14,0)</f>
        <v>5057</v>
      </c>
      <c r="G14" s="3185">
        <f ca="1">结果表!C44</f>
        <v>30230</v>
      </c>
      <c r="H14" s="3185" t="str">
        <f>结果表!C45</f>
        <v>——</v>
      </c>
      <c r="I14" s="3185">
        <f ca="1">结果表!C46</f>
        <v>28632</v>
      </c>
      <c r="J14" s="3189"/>
    </row>
    <row r="15" spans="1:10" ht="16.5">
      <c r="A15" s="3184" t="s">
        <v>2840</v>
      </c>
      <c r="B15" s="3186"/>
      <c r="C15" s="3186"/>
      <c r="D15" s="3186"/>
      <c r="E15" s="3185" t="e">
        <f t="shared" ref="E15:E23" si="2">ROUND(D15*10000/B15,0)</f>
        <v>#DIV/0!</v>
      </c>
      <c r="F15" s="3185" t="e">
        <f t="shared" ref="F15:F23" si="3">ROUND(D15*10000/C15,0)</f>
        <v>#DIV/0!</v>
      </c>
      <c r="G15" s="2751"/>
      <c r="H15" s="2751"/>
      <c r="I15" s="3186"/>
      <c r="J15" s="3189"/>
    </row>
    <row r="16" spans="1:10" ht="16.5">
      <c r="A16" s="3184" t="s">
        <v>2841</v>
      </c>
      <c r="B16" s="3186"/>
      <c r="C16" s="3186"/>
      <c r="D16" s="3186"/>
      <c r="E16" s="3185" t="e">
        <f t="shared" si="2"/>
        <v>#DIV/0!</v>
      </c>
      <c r="F16" s="3185" t="e">
        <f t="shared" si="3"/>
        <v>#DIV/0!</v>
      </c>
      <c r="G16" s="2751"/>
      <c r="H16" s="2751"/>
      <c r="I16" s="3186"/>
      <c r="J16" s="3189"/>
    </row>
    <row r="17" spans="1:10" ht="16.5">
      <c r="A17" s="3184" t="s">
        <v>2842</v>
      </c>
      <c r="B17" s="3186"/>
      <c r="C17" s="3186"/>
      <c r="D17" s="3186"/>
      <c r="E17" s="3185" t="e">
        <f t="shared" si="2"/>
        <v>#DIV/0!</v>
      </c>
      <c r="F17" s="3185" t="e">
        <f t="shared" si="3"/>
        <v>#DIV/0!</v>
      </c>
      <c r="G17" s="2751"/>
      <c r="H17" s="2751"/>
      <c r="I17" s="3186"/>
      <c r="J17" s="3189"/>
    </row>
    <row r="18" spans="1:10" ht="16.5">
      <c r="A18" s="3184" t="s">
        <v>2843</v>
      </c>
      <c r="B18" s="3186"/>
      <c r="C18" s="3186"/>
      <c r="D18" s="3186"/>
      <c r="E18" s="3185" t="e">
        <f t="shared" si="2"/>
        <v>#DIV/0!</v>
      </c>
      <c r="F18" s="3185" t="e">
        <f t="shared" si="3"/>
        <v>#DIV/0!</v>
      </c>
      <c r="G18" s="3186"/>
      <c r="H18" s="3186"/>
      <c r="I18" s="3186"/>
      <c r="J18" s="3189"/>
    </row>
    <row r="19" spans="1:10" ht="16.5">
      <c r="A19" s="3184" t="s">
        <v>2844</v>
      </c>
      <c r="B19" s="3186"/>
      <c r="C19" s="3186"/>
      <c r="D19" s="3186"/>
      <c r="E19" s="3185" t="e">
        <f t="shared" si="2"/>
        <v>#DIV/0!</v>
      </c>
      <c r="F19" s="3185" t="e">
        <f t="shared" si="3"/>
        <v>#DIV/0!</v>
      </c>
      <c r="G19" s="3186"/>
      <c r="H19" s="3186"/>
      <c r="I19" s="3186"/>
      <c r="J19" s="3189"/>
    </row>
    <row r="20" spans="1:10" ht="16.5">
      <c r="A20" s="3184" t="s">
        <v>2845</v>
      </c>
      <c r="B20" s="3186"/>
      <c r="C20" s="3186"/>
      <c r="D20" s="3186"/>
      <c r="E20" s="3185" t="e">
        <f t="shared" si="2"/>
        <v>#DIV/0!</v>
      </c>
      <c r="F20" s="3185" t="e">
        <f t="shared" si="3"/>
        <v>#DIV/0!</v>
      </c>
      <c r="G20" s="3186"/>
      <c r="H20" s="3186"/>
      <c r="I20" s="3186"/>
      <c r="J20" s="3189"/>
    </row>
    <row r="21" spans="1:10" ht="16.5">
      <c r="A21" s="3184" t="s">
        <v>2846</v>
      </c>
      <c r="B21" s="3186"/>
      <c r="C21" s="3186"/>
      <c r="D21" s="3186"/>
      <c r="E21" s="3185" t="e">
        <f t="shared" si="2"/>
        <v>#DIV/0!</v>
      </c>
      <c r="F21" s="3185" t="e">
        <f t="shared" si="3"/>
        <v>#DIV/0!</v>
      </c>
      <c r="G21" s="3186"/>
      <c r="H21" s="3186"/>
      <c r="I21" s="3186"/>
      <c r="J21" s="3189"/>
    </row>
    <row r="22" spans="1:10" ht="16.5">
      <c r="A22" s="3184" t="s">
        <v>2847</v>
      </c>
      <c r="B22" s="3186"/>
      <c r="C22" s="3186"/>
      <c r="D22" s="3186"/>
      <c r="E22" s="3185" t="e">
        <f t="shared" si="2"/>
        <v>#DIV/0!</v>
      </c>
      <c r="F22" s="3185" t="e">
        <f t="shared" si="3"/>
        <v>#DIV/0!</v>
      </c>
      <c r="G22" s="3186"/>
      <c r="H22" s="3186"/>
      <c r="I22" s="3186"/>
      <c r="J22" s="3189"/>
    </row>
    <row r="23" spans="1:10" ht="16.5">
      <c r="A23" s="3184" t="s">
        <v>2848</v>
      </c>
      <c r="B23" s="3186"/>
      <c r="C23" s="3186"/>
      <c r="D23" s="3186"/>
      <c r="E23" s="3187" t="e">
        <f t="shared" si="2"/>
        <v>#DIV/0!</v>
      </c>
      <c r="F23" s="3187" t="e">
        <f t="shared" si="3"/>
        <v>#DIV/0!</v>
      </c>
      <c r="G23" s="3186"/>
      <c r="H23" s="3186"/>
      <c r="I23" s="3186"/>
      <c r="J23" s="3189"/>
    </row>
    <row r="24" spans="1:10">
      <c r="A24" s="3189"/>
      <c r="B24" s="3189"/>
      <c r="C24" s="3189"/>
      <c r="D24" s="3189"/>
      <c r="E24" s="3189"/>
      <c r="F24" s="3189"/>
      <c r="G24" s="3189"/>
      <c r="H24" s="3189"/>
      <c r="I24" s="3189"/>
      <c r="J24" s="3189"/>
    </row>
    <row r="25" spans="1:10">
      <c r="A25" s="3189"/>
      <c r="B25" s="3189"/>
      <c r="C25" s="3189"/>
      <c r="D25" s="3189"/>
      <c r="E25" s="3189"/>
      <c r="F25" s="3189"/>
      <c r="G25" s="3189"/>
      <c r="H25" s="3189"/>
      <c r="I25" s="3189"/>
      <c r="J25" s="3189"/>
    </row>
    <row r="26" spans="1:10">
      <c r="A26" s="3189"/>
      <c r="B26" s="3189"/>
      <c r="C26" s="3189"/>
      <c r="D26" s="3189"/>
      <c r="E26" s="3189"/>
      <c r="F26" s="3189"/>
      <c r="G26" s="3189"/>
      <c r="H26" s="3189"/>
      <c r="I26" s="3189"/>
      <c r="J26" s="3189"/>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16" zoomScaleNormal="100" zoomScaleSheetLayoutView="100" zoomScalePageLayoutView="80" workbookViewId="0">
      <selection activeCell="C106" sqref="C10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8" t="s">
        <v>2043</v>
      </c>
      <c r="B1" s="1689"/>
      <c r="C1" s="1717" t="s">
        <v>2044</v>
      </c>
      <c r="D1" s="1718" t="s">
        <v>3569</v>
      </c>
      <c r="E1" s="1717" t="s">
        <v>2045</v>
      </c>
      <c r="F1" s="1719" t="s">
        <v>3568</v>
      </c>
      <c r="G1" s="308"/>
      <c r="H1" s="308"/>
      <c r="I1" s="308"/>
      <c r="J1" s="1909"/>
      <c r="K1" s="1909"/>
      <c r="L1" s="1909"/>
      <c r="M1" s="1909"/>
      <c r="N1" s="1909"/>
      <c r="O1" s="1909"/>
      <c r="P1" s="1909"/>
      <c r="Q1" s="1909"/>
      <c r="R1" s="1909"/>
      <c r="S1" s="1909"/>
      <c r="T1" s="1909"/>
      <c r="U1" s="1909"/>
      <c r="V1" s="1909"/>
    </row>
    <row r="2" spans="1:22" ht="21.75" customHeight="1" thickBot="1">
      <c r="A2" s="3452" t="str">
        <f>项目基本情况!K2</f>
        <v>四川省内江市内江经开区甜德街西侧，甜和街东侧A-5-2地块出让国有建设用地使用权</v>
      </c>
      <c r="B2" s="3453"/>
      <c r="C2" s="3454"/>
      <c r="D2" s="3454"/>
      <c r="E2" s="3454"/>
      <c r="F2" s="3454"/>
      <c r="G2" s="3453"/>
      <c r="H2" s="3453"/>
      <c r="I2" s="3455"/>
      <c r="J2" s="1910"/>
      <c r="K2" s="1909"/>
      <c r="L2" s="1909"/>
      <c r="M2" s="1909"/>
      <c r="N2" s="1909"/>
      <c r="O2" s="1909"/>
      <c r="P2" s="1909"/>
      <c r="Q2" s="1909"/>
      <c r="R2" s="1909"/>
      <c r="S2" s="1909"/>
      <c r="T2" s="1909"/>
      <c r="U2" s="1909"/>
      <c r="V2" s="1909"/>
    </row>
    <row r="3" spans="1:22" ht="14.25">
      <c r="A3" s="3463" t="s">
        <v>297</v>
      </c>
      <c r="B3" s="3464"/>
      <c r="C3" s="3464"/>
      <c r="D3" s="3464"/>
      <c r="E3" s="3464"/>
      <c r="F3" s="3464"/>
      <c r="G3" s="3464"/>
      <c r="H3" s="3464"/>
      <c r="I3" s="3464"/>
      <c r="J3" s="1910"/>
      <c r="K3" s="1909"/>
      <c r="L3" s="1909"/>
      <c r="M3" s="1909"/>
      <c r="N3" s="1909"/>
      <c r="O3" s="1909"/>
      <c r="P3" s="1909"/>
      <c r="Q3" s="1909"/>
      <c r="R3" s="1909"/>
      <c r="S3" s="1909"/>
      <c r="T3" s="1909"/>
      <c r="U3" s="1909"/>
      <c r="V3" s="1909"/>
    </row>
    <row r="4" spans="1:22" ht="14.25">
      <c r="A4" s="255" t="s">
        <v>298</v>
      </c>
      <c r="B4" s="256" t="s">
        <v>299</v>
      </c>
      <c r="C4" s="257" t="s">
        <v>3570</v>
      </c>
      <c r="D4" s="257" t="s">
        <v>3571</v>
      </c>
      <c r="E4" s="3427" t="s">
        <v>300</v>
      </c>
      <c r="F4" s="3469"/>
      <c r="G4" s="3469"/>
      <c r="H4" s="3469"/>
      <c r="I4" s="3428"/>
      <c r="J4" s="1910"/>
      <c r="K4" s="1909"/>
      <c r="L4" s="3190"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456" t="s">
        <v>301</v>
      </c>
      <c r="B5" s="3457">
        <v>25</v>
      </c>
      <c r="C5" s="3465">
        <v>23</v>
      </c>
      <c r="D5" s="3468">
        <v>22</v>
      </c>
      <c r="E5" s="258" t="s">
        <v>302</v>
      </c>
      <c r="F5" s="259"/>
      <c r="G5" s="259"/>
      <c r="H5" s="259"/>
      <c r="I5" s="260"/>
      <c r="J5" s="1910"/>
      <c r="K5" s="1909"/>
      <c r="L5" s="1909"/>
      <c r="M5" s="1909"/>
      <c r="N5" s="1909"/>
      <c r="O5" s="1909"/>
      <c r="P5" s="1909"/>
      <c r="Q5" s="1909"/>
      <c r="R5" s="1909"/>
      <c r="S5" s="1909"/>
      <c r="T5" s="1909"/>
      <c r="U5" s="1909"/>
      <c r="V5" s="1909"/>
    </row>
    <row r="6" spans="1:22" ht="14.25">
      <c r="A6" s="3456"/>
      <c r="B6" s="3457"/>
      <c r="C6" s="3466"/>
      <c r="D6" s="3468"/>
      <c r="E6" s="258" t="s">
        <v>303</v>
      </c>
      <c r="F6" s="259"/>
      <c r="G6" s="259"/>
      <c r="H6" s="259"/>
      <c r="I6" s="260"/>
      <c r="J6" s="1910"/>
      <c r="K6" s="1909"/>
      <c r="L6" s="1909"/>
      <c r="M6" s="1909"/>
      <c r="N6" s="1909"/>
      <c r="O6" s="1909"/>
      <c r="P6" s="1909"/>
      <c r="Q6" s="1909"/>
      <c r="R6" s="1909"/>
      <c r="S6" s="1909"/>
      <c r="T6" s="1909"/>
      <c r="U6" s="1909"/>
      <c r="V6" s="1909"/>
    </row>
    <row r="7" spans="1:22" ht="14.25">
      <c r="A7" s="3456"/>
      <c r="B7" s="3457"/>
      <c r="C7" s="3467"/>
      <c r="D7" s="3468"/>
      <c r="E7" s="258" t="s">
        <v>304</v>
      </c>
      <c r="F7" s="259"/>
      <c r="G7" s="259"/>
      <c r="H7" s="259"/>
      <c r="I7" s="260"/>
      <c r="J7" s="1910"/>
      <c r="K7" s="1909"/>
      <c r="L7" s="1909"/>
      <c r="M7" s="1909"/>
      <c r="N7" s="1909"/>
      <c r="O7" s="1909"/>
      <c r="P7" s="1909"/>
      <c r="Q7" s="1909"/>
      <c r="R7" s="1909"/>
      <c r="S7" s="1909"/>
      <c r="T7" s="1909"/>
      <c r="U7" s="1909"/>
      <c r="V7" s="1909"/>
    </row>
    <row r="8" spans="1:22" ht="14.25">
      <c r="A8" s="3456" t="s">
        <v>305</v>
      </c>
      <c r="B8" s="3457">
        <v>15</v>
      </c>
      <c r="C8" s="3465">
        <v>14</v>
      </c>
      <c r="D8" s="3468">
        <v>14</v>
      </c>
      <c r="E8" s="258" t="s">
        <v>306</v>
      </c>
      <c r="F8" s="259"/>
      <c r="G8" s="259"/>
      <c r="H8" s="259"/>
      <c r="I8" s="260"/>
      <c r="J8" s="1910"/>
      <c r="K8" s="1909"/>
      <c r="L8" s="1909"/>
      <c r="M8" s="1909"/>
      <c r="N8" s="1909"/>
      <c r="O8" s="1909"/>
      <c r="P8" s="1909"/>
      <c r="Q8" s="1909"/>
      <c r="R8" s="1909"/>
      <c r="S8" s="1909"/>
      <c r="T8" s="1909"/>
      <c r="U8" s="1909"/>
      <c r="V8" s="1909"/>
    </row>
    <row r="9" spans="1:22" ht="14.25">
      <c r="A9" s="3456"/>
      <c r="B9" s="3457"/>
      <c r="C9" s="3467"/>
      <c r="D9" s="3468"/>
      <c r="E9" s="258" t="s">
        <v>307</v>
      </c>
      <c r="F9" s="259"/>
      <c r="G9" s="259"/>
      <c r="H9" s="259"/>
      <c r="I9" s="260"/>
      <c r="J9" s="1910"/>
      <c r="K9" s="1909"/>
      <c r="L9" s="1909"/>
      <c r="M9" s="1909"/>
      <c r="N9" s="1909"/>
      <c r="O9" s="1909"/>
      <c r="P9" s="1909"/>
      <c r="Q9" s="1909"/>
      <c r="R9" s="1909"/>
      <c r="S9" s="1909"/>
      <c r="T9" s="1909"/>
      <c r="U9" s="1909"/>
      <c r="V9" s="1909"/>
    </row>
    <row r="10" spans="1:22" ht="14.25">
      <c r="A10" s="3456" t="s">
        <v>308</v>
      </c>
      <c r="B10" s="3457">
        <v>15</v>
      </c>
      <c r="C10" s="3465">
        <v>13</v>
      </c>
      <c r="D10" s="3468">
        <v>13</v>
      </c>
      <c r="E10" s="258" t="s">
        <v>309</v>
      </c>
      <c r="F10" s="259"/>
      <c r="G10" s="259"/>
      <c r="H10" s="259"/>
      <c r="I10" s="260"/>
      <c r="J10" s="1910"/>
      <c r="K10" s="1909"/>
      <c r="L10" s="1909"/>
      <c r="M10" s="1909"/>
      <c r="N10" s="1909"/>
      <c r="O10" s="1909"/>
      <c r="P10" s="1909"/>
      <c r="Q10" s="1909"/>
      <c r="R10" s="1909"/>
      <c r="S10" s="1909"/>
      <c r="T10" s="1909"/>
      <c r="U10" s="1909"/>
      <c r="V10" s="1909"/>
    </row>
    <row r="11" spans="1:22" ht="14.25">
      <c r="A11" s="3456"/>
      <c r="B11" s="3457"/>
      <c r="C11" s="3467"/>
      <c r="D11" s="3468"/>
      <c r="E11" s="258" t="s">
        <v>310</v>
      </c>
      <c r="F11" s="259"/>
      <c r="G11" s="259"/>
      <c r="H11" s="259"/>
      <c r="I11" s="260"/>
      <c r="J11" s="1910"/>
      <c r="K11" s="1909"/>
      <c r="L11" s="1909"/>
      <c r="M11" s="1909"/>
      <c r="N11" s="1909"/>
      <c r="O11" s="1909"/>
      <c r="P11" s="1909"/>
      <c r="Q11" s="1909"/>
      <c r="R11" s="1909"/>
      <c r="S11" s="1909"/>
      <c r="T11" s="1909"/>
      <c r="U11" s="1909"/>
      <c r="V11" s="1909"/>
    </row>
    <row r="12" spans="1:22" ht="14.25">
      <c r="A12" s="3456" t="s">
        <v>311</v>
      </c>
      <c r="B12" s="3457">
        <v>15</v>
      </c>
      <c r="C12" s="3465">
        <v>13</v>
      </c>
      <c r="D12" s="3468">
        <v>13</v>
      </c>
      <c r="E12" s="258" t="s">
        <v>312</v>
      </c>
      <c r="F12" s="259"/>
      <c r="G12" s="259"/>
      <c r="H12" s="259"/>
      <c r="I12" s="260"/>
      <c r="J12" s="1910"/>
      <c r="K12" s="1909"/>
      <c r="L12" s="1909"/>
      <c r="M12" s="1909"/>
      <c r="N12" s="1909"/>
      <c r="O12" s="1909"/>
      <c r="P12" s="1909"/>
      <c r="Q12" s="1909"/>
      <c r="R12" s="1909"/>
      <c r="S12" s="1909"/>
      <c r="T12" s="1909"/>
      <c r="U12" s="1909"/>
      <c r="V12" s="1909"/>
    </row>
    <row r="13" spans="1:22" ht="14.25">
      <c r="A13" s="3456"/>
      <c r="B13" s="3457"/>
      <c r="C13" s="3467"/>
      <c r="D13" s="3468"/>
      <c r="E13" s="258" t="s">
        <v>313</v>
      </c>
      <c r="F13" s="259"/>
      <c r="G13" s="259"/>
      <c r="H13" s="259"/>
      <c r="I13" s="260"/>
      <c r="J13" s="1910"/>
      <c r="K13" s="1909"/>
      <c r="L13" s="1909"/>
      <c r="M13" s="1909"/>
      <c r="N13" s="1909"/>
      <c r="O13" s="1909"/>
      <c r="P13" s="1909"/>
      <c r="Q13" s="1909"/>
      <c r="R13" s="1909"/>
      <c r="S13" s="1909"/>
      <c r="T13" s="1909"/>
      <c r="U13" s="1909"/>
      <c r="V13" s="1909"/>
    </row>
    <row r="14" spans="1:22" ht="14.25">
      <c r="A14" s="3456" t="s">
        <v>314</v>
      </c>
      <c r="B14" s="3457">
        <v>30</v>
      </c>
      <c r="C14" s="3465">
        <v>23</v>
      </c>
      <c r="D14" s="3468">
        <v>24</v>
      </c>
      <c r="E14" s="258" t="s">
        <v>315</v>
      </c>
      <c r="F14" s="259"/>
      <c r="G14" s="259"/>
      <c r="H14" s="259"/>
      <c r="I14" s="260"/>
      <c r="J14" s="1910"/>
      <c r="K14" s="1909"/>
      <c r="L14" s="1909"/>
      <c r="M14" s="1909"/>
      <c r="N14" s="1909"/>
      <c r="O14" s="1909"/>
      <c r="P14" s="1909"/>
      <c r="Q14" s="1909"/>
      <c r="R14" s="1909"/>
      <c r="S14" s="1909"/>
      <c r="T14" s="1909"/>
      <c r="U14" s="1909"/>
      <c r="V14" s="1909"/>
    </row>
    <row r="15" spans="1:22" ht="14.25">
      <c r="A15" s="3456"/>
      <c r="B15" s="3457"/>
      <c r="C15" s="3466"/>
      <c r="D15" s="3468"/>
      <c r="E15" s="258" t="s">
        <v>316</v>
      </c>
      <c r="F15" s="259"/>
      <c r="G15" s="259"/>
      <c r="H15" s="259"/>
      <c r="I15" s="260"/>
      <c r="J15" s="1910"/>
      <c r="K15" s="1909"/>
      <c r="L15" s="1909"/>
      <c r="M15" s="1909"/>
      <c r="N15" s="1909"/>
      <c r="O15" s="1909"/>
      <c r="P15" s="1909"/>
      <c r="Q15" s="1909"/>
      <c r="R15" s="1909"/>
      <c r="S15" s="1909"/>
      <c r="T15" s="1909"/>
      <c r="U15" s="1909"/>
      <c r="V15" s="1909"/>
    </row>
    <row r="16" spans="1:22" ht="14.25">
      <c r="A16" s="3456"/>
      <c r="B16" s="3457"/>
      <c r="C16" s="3467"/>
      <c r="D16" s="3468"/>
      <c r="E16" s="258" t="s">
        <v>317</v>
      </c>
      <c r="F16" s="259"/>
      <c r="G16" s="259"/>
      <c r="H16" s="259"/>
      <c r="I16" s="260"/>
      <c r="J16" s="1910"/>
      <c r="K16" s="1909"/>
      <c r="L16" s="1909"/>
      <c r="M16" s="1909"/>
      <c r="N16" s="1909"/>
      <c r="O16" s="1909"/>
      <c r="P16" s="1909"/>
      <c r="Q16" s="1909"/>
      <c r="R16" s="1909"/>
      <c r="S16" s="1909"/>
      <c r="T16" s="1909"/>
      <c r="U16" s="1909"/>
      <c r="V16" s="1909"/>
    </row>
    <row r="17" spans="1:26" ht="15">
      <c r="A17" s="261" t="s">
        <v>318</v>
      </c>
      <c r="B17" s="142"/>
      <c r="C17" s="262">
        <f>SUM(C5:C16)</f>
        <v>86</v>
      </c>
      <c r="D17" s="262">
        <f>SUM(D5:D16)</f>
        <v>86</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319</v>
      </c>
      <c r="B18" s="105"/>
      <c r="C18" s="264">
        <f>ROUND(C17/SUM(C17:D17),2)</f>
        <v>0.5</v>
      </c>
      <c r="D18" s="264">
        <f>1-C18</f>
        <v>0.5</v>
      </c>
      <c r="E18" s="3470" t="s">
        <v>2963</v>
      </c>
      <c r="F18" s="3471"/>
      <c r="G18" s="3471"/>
      <c r="H18" s="3471"/>
      <c r="I18" s="3471"/>
      <c r="J18" s="1909"/>
      <c r="K18" s="1909"/>
      <c r="L18" s="1909"/>
      <c r="M18" s="1909"/>
      <c r="N18" s="1909"/>
      <c r="O18" s="1909"/>
      <c r="P18" s="1909"/>
      <c r="Q18" s="1909"/>
      <c r="R18" s="1909"/>
      <c r="S18" s="1909"/>
      <c r="T18" s="1909"/>
      <c r="U18" s="1909"/>
      <c r="V18" s="1909"/>
    </row>
    <row r="19" spans="1:26" ht="15">
      <c r="A19" s="265" t="s">
        <v>320</v>
      </c>
      <c r="B19" s="266" t="s">
        <v>321</v>
      </c>
      <c r="C19" s="267">
        <f ca="1">SUMIF(INDIRECT("'"&amp;C4&amp;"'"&amp;"!A:A"),结果表!B19,INDIRECT("'"&amp;C4&amp;"'"&amp;"!B:B"))</f>
        <v>33860</v>
      </c>
      <c r="D19" s="268">
        <f ca="1">SUMIF(INDIRECT("'"&amp;D4&amp;"'"&amp;"!A:A"),结果表!B19,INDIRECT("'"&amp;D4&amp;"'"&amp;"!B:B"))</f>
        <v>26600</v>
      </c>
      <c r="E19" s="265" t="s">
        <v>322</v>
      </c>
      <c r="F19" s="266" t="s">
        <v>321</v>
      </c>
      <c r="G19" s="269">
        <f ca="1">ROUND(C19*$C$18+D19*$D$18,0)</f>
        <v>30230</v>
      </c>
      <c r="H19" s="270" t="s">
        <v>323</v>
      </c>
      <c r="I19" s="308"/>
      <c r="J19" s="1909"/>
      <c r="K19" s="1909"/>
      <c r="L19" s="1909"/>
      <c r="M19" s="1909"/>
      <c r="N19" s="1909"/>
      <c r="O19" s="1909"/>
      <c r="P19" s="1909"/>
      <c r="Q19" s="1909"/>
      <c r="R19" s="1909"/>
      <c r="S19" s="1909"/>
      <c r="T19" s="1909"/>
      <c r="U19" s="1909"/>
      <c r="V19" s="1909"/>
    </row>
    <row r="20" spans="1:26" ht="15">
      <c r="A20" s="271"/>
      <c r="B20" s="272" t="s">
        <v>324</v>
      </c>
      <c r="C20" s="273">
        <f ca="1">SUMIF(INDIRECT("'"&amp;C4&amp;"'"&amp;"!A:A"),结果表!B20,INDIRECT("'"&amp;C4&amp;"'"&amp;"!B:B"))</f>
        <v>1968</v>
      </c>
      <c r="D20" s="274">
        <f ca="1">SUMIF(INDIRECT("'"&amp;D4&amp;"'"&amp;"!A:A"),结果表!B20,INDIRECT("'"&amp;D4&amp;"'"&amp;"!B:B"))</f>
        <v>1546</v>
      </c>
      <c r="E20" s="271"/>
      <c r="F20" s="272" t="s">
        <v>324</v>
      </c>
      <c r="G20" s="275">
        <f ca="1">ROUND(C20*$C$18+D20*$D$18,0)</f>
        <v>1757</v>
      </c>
      <c r="H20" s="276" t="s">
        <v>325</v>
      </c>
      <c r="I20" s="308"/>
      <c r="J20" s="1909"/>
      <c r="K20" s="1909"/>
      <c r="L20" s="1909"/>
      <c r="M20" s="1909"/>
      <c r="N20" s="1909"/>
      <c r="O20" s="1909"/>
      <c r="P20" s="1909"/>
      <c r="Q20" s="1909"/>
      <c r="R20" s="1909"/>
      <c r="S20" s="1909"/>
      <c r="T20" s="1909"/>
      <c r="U20" s="1909"/>
      <c r="V20" s="1909"/>
    </row>
    <row r="21" spans="1:26" ht="15" customHeight="1">
      <c r="A21" s="271"/>
      <c r="B21" s="277" t="s">
        <v>326</v>
      </c>
      <c r="C21" s="278">
        <f ca="1">SUMIF(INDIRECT("'"&amp;C4&amp;"'"&amp;"!A:A"),结果表!B21,INDIRECT("'"&amp;C4&amp;"'"&amp;"!B:B"))</f>
        <v>5665</v>
      </c>
      <c r="D21" s="149">
        <f ca="1">SUMIF(INDIRECT("'"&amp;D4&amp;"'"&amp;"!A:A"),结果表!B21,INDIRECT("'"&amp;D4&amp;"'"&amp;"!B:B"))</f>
        <v>4450</v>
      </c>
      <c r="E21" s="271"/>
      <c r="F21" s="277" t="s">
        <v>326</v>
      </c>
      <c r="G21" s="279">
        <f ca="1">ROUND(C21*$C$18+D21*$D$18,0)</f>
        <v>5058</v>
      </c>
      <c r="H21" s="1204" t="s">
        <v>325</v>
      </c>
      <c r="I21" s="308"/>
      <c r="J21" s="1909"/>
      <c r="K21" s="1909"/>
      <c r="L21" s="1909"/>
      <c r="M21" s="1909"/>
      <c r="N21" s="1909"/>
      <c r="O21" s="1909"/>
      <c r="P21" s="1909"/>
      <c r="Q21" s="1909"/>
      <c r="R21" s="1909"/>
      <c r="S21" s="1909"/>
      <c r="T21" s="1909"/>
      <c r="U21" s="1909"/>
      <c r="V21" s="1909"/>
    </row>
    <row r="22" spans="1:26" ht="15.75" thickBot="1">
      <c r="A22" s="126" t="s">
        <v>327</v>
      </c>
      <c r="B22" s="1205"/>
      <c r="C22" s="1206"/>
      <c r="D22" s="280">
        <f ca="1">IF(C19&lt;D19,D19/C19-1,C19/D19-1)</f>
        <v>0.27293233082706769</v>
      </c>
      <c r="E22" s="281"/>
      <c r="F22" s="282"/>
      <c r="G22" s="283">
        <f ca="1">ROUND(G19/('数据-汇总表'!D3/666.67),0)</f>
        <v>337</v>
      </c>
      <c r="H22" s="284" t="s">
        <v>328</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429" t="s">
        <v>329</v>
      </c>
      <c r="B24" s="266" t="s">
        <v>321</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476"/>
      <c r="B25" s="1274" t="s">
        <v>330</v>
      </c>
      <c r="C25" s="287">
        <f>IF(B30=0,0,C30)</f>
        <v>0</v>
      </c>
      <c r="D25" s="288"/>
      <c r="E25" s="308"/>
      <c r="F25" s="308"/>
      <c r="G25" s="308"/>
      <c r="H25" s="308"/>
      <c r="I25" s="308"/>
      <c r="J25" s="1909"/>
      <c r="K25" s="1208" t="str">
        <f ca="1">项目基本情况!B16&amp;"国有建设用地使用权价格："&amp;O38&amp;"万元"</f>
        <v>出让国有建设用地使用权价格：30230万元</v>
      </c>
      <c r="L25" s="1209"/>
      <c r="M25" s="1209"/>
      <c r="N25" s="1209"/>
      <c r="O25" s="1210"/>
      <c r="P25" s="1909"/>
      <c r="Q25" s="1909"/>
      <c r="R25" s="1909"/>
      <c r="S25" s="1909"/>
      <c r="T25" s="1909"/>
      <c r="U25" s="1909"/>
      <c r="V25" s="1909"/>
    </row>
    <row r="26" spans="1:26" s="1207" customFormat="1" ht="18">
      <c r="A26" s="290" t="s">
        <v>331</v>
      </c>
      <c r="B26" s="291" t="s">
        <v>332</v>
      </c>
      <c r="C26" s="291" t="s">
        <v>333</v>
      </c>
      <c r="D26" s="292" t="s">
        <v>334</v>
      </c>
      <c r="E26" s="308"/>
      <c r="F26" s="308"/>
      <c r="G26" s="308"/>
      <c r="H26" s="308"/>
      <c r="I26" s="308"/>
      <c r="J26" s="1909"/>
      <c r="K26" s="1211" t="str">
        <f ca="1">"大写金额：人民币"&amp;NUMBERSTRING(INT(O38*10000),2)&amp;"元整"</f>
        <v>大写金额：人民币叁亿零贰佰叁拾万元整</v>
      </c>
      <c r="L26" s="1205"/>
      <c r="M26" s="1205"/>
      <c r="N26" s="1205"/>
      <c r="O26" s="1204"/>
      <c r="P26" s="1909"/>
      <c r="Q26" s="1909"/>
      <c r="R26" s="1909"/>
      <c r="S26" s="1909"/>
      <c r="T26" s="1909"/>
      <c r="U26" s="1909"/>
      <c r="V26" s="1909"/>
      <c r="W26" s="289"/>
      <c r="X26" s="289"/>
      <c r="Y26" s="289"/>
      <c r="Z26" s="289"/>
    </row>
    <row r="27" spans="1:26" ht="18">
      <c r="A27" s="290"/>
      <c r="B27" s="291"/>
      <c r="C27" s="291"/>
      <c r="D27" s="292">
        <f ca="1">G19/'数据-汇总表'!F31*10000</f>
        <v>2293.0812739154994</v>
      </c>
      <c r="E27" s="308"/>
      <c r="F27" s="308"/>
      <c r="G27" s="308"/>
      <c r="H27" s="308"/>
      <c r="I27" s="308"/>
      <c r="J27" s="1909"/>
      <c r="K27" s="1211" t="str">
        <f ca="1">"单位面积地价："&amp;M38&amp;"元/平方米"</f>
        <v>单位面积地价：5057元/平方米</v>
      </c>
      <c r="L27" s="1205"/>
      <c r="M27" s="1205"/>
      <c r="N27" s="1205"/>
      <c r="O27" s="1204"/>
      <c r="P27" s="1909"/>
      <c r="Q27" s="1909"/>
      <c r="R27" s="1909"/>
      <c r="S27" s="1909"/>
      <c r="T27" s="1909"/>
      <c r="U27" s="1909"/>
      <c r="V27" s="1909"/>
    </row>
    <row r="28" spans="1:26" ht="18.75" customHeight="1">
      <c r="A28" s="290"/>
      <c r="B28" s="291"/>
      <c r="C28" s="291"/>
      <c r="D28" s="292"/>
      <c r="E28" s="308"/>
      <c r="F28" s="308"/>
      <c r="G28" s="308"/>
      <c r="H28" s="308"/>
      <c r="I28" s="308"/>
      <c r="J28" s="1909"/>
      <c r="K28" s="1211" t="str">
        <f ca="1">"楼面地价："&amp;N38&amp;"元/平方米"</f>
        <v>楼面地价：1757元/平方米</v>
      </c>
      <c r="L28" s="1205"/>
      <c r="M28" s="1205"/>
      <c r="N28" s="1205"/>
      <c r="O28" s="1204"/>
      <c r="P28" s="1909"/>
      <c r="V28" s="1909"/>
    </row>
    <row r="29" spans="1:26" ht="18">
      <c r="A29" s="290"/>
      <c r="B29" s="291"/>
      <c r="C29" s="291"/>
      <c r="D29" s="292"/>
      <c r="E29" s="308"/>
      <c r="F29" s="308"/>
      <c r="G29" s="308"/>
      <c r="H29" s="308"/>
      <c r="I29" s="308"/>
      <c r="J29" s="1909"/>
      <c r="K29" s="1211" t="str">
        <f ca="1">IF(OR(项目基本情况!E8="抵押价格",项目基本情况!E8="已注销及未注销"),"抵押价格："&amp;O39&amp;"万元","——")</f>
        <v>抵押价格：30230万元</v>
      </c>
      <c r="L29" s="1205"/>
      <c r="M29" s="1205"/>
      <c r="N29" s="1205"/>
      <c r="O29" s="1204"/>
      <c r="P29" s="1909"/>
      <c r="V29" s="1909"/>
    </row>
    <row r="30" spans="1:26" ht="18.75" thickBot="1">
      <c r="A30" s="2794" t="s">
        <v>335</v>
      </c>
      <c r="B30" s="306"/>
      <c r="C30" s="306"/>
      <c r="D30" s="307"/>
      <c r="E30" s="2997" t="s">
        <v>2964</v>
      </c>
      <c r="F30" s="308"/>
      <c r="G30" s="308"/>
      <c r="H30" s="308"/>
      <c r="I30" s="308"/>
      <c r="J30" s="1909"/>
      <c r="K30" s="1211" t="str">
        <f ca="1">IF(K29="——","——","大写金额：人民币"&amp;NUMBERSTRING(INT(O39*10000),2)&amp;"元整")</f>
        <v>大写金额：人民币叁亿零贰佰叁拾万元整</v>
      </c>
      <c r="L30" s="1205"/>
      <c r="M30" s="1205"/>
      <c r="N30" s="1205"/>
      <c r="O30" s="1204"/>
      <c r="P30" s="1909"/>
      <c r="V30" s="1909"/>
    </row>
    <row r="31" spans="1:26" ht="24" customHeight="1" thickBot="1">
      <c r="A31" s="3472" t="s">
        <v>2965</v>
      </c>
      <c r="B31" s="3472"/>
      <c r="C31" s="3472"/>
      <c r="D31" s="3472"/>
      <c r="E31" s="3472"/>
      <c r="F31" s="3472"/>
      <c r="G31" s="3472"/>
      <c r="H31" s="3472"/>
      <c r="I31" s="3472"/>
      <c r="J31" s="1909"/>
      <c r="K31" s="2320" t="str">
        <f>IF(项目基本情况!E8="抵押价格","——","抵押担保权已注销时的抵押价格："&amp;O40&amp;"万元")</f>
        <v>——</v>
      </c>
      <c r="L31" s="2316"/>
      <c r="M31" s="2316"/>
      <c r="N31" s="2316"/>
      <c r="O31" s="2317"/>
      <c r="P31" s="1909"/>
      <c r="V31" s="1909"/>
    </row>
    <row r="32" spans="1:26" ht="19.5" thickTop="1" thickBot="1">
      <c r="A32" s="271" t="s">
        <v>336</v>
      </c>
      <c r="B32" s="2998" t="s">
        <v>1678</v>
      </c>
      <c r="C32" s="263">
        <f ca="1">G19-C24</f>
        <v>30230</v>
      </c>
      <c r="D32" s="2999" t="s">
        <v>1679</v>
      </c>
      <c r="E32" s="308"/>
      <c r="F32" s="308"/>
      <c r="G32" s="308"/>
      <c r="H32" s="308"/>
      <c r="I32" s="308"/>
      <c r="J32" s="1909"/>
      <c r="K32" s="2315" t="str">
        <f>IF(K31="——","——","大写金额：人民币"&amp;NUMBERSTRING(INT(O40*10000),2)&amp;"元整")</f>
        <v>——</v>
      </c>
      <c r="L32" s="2318"/>
      <c r="M32" s="2318"/>
      <c r="N32" s="2318"/>
      <c r="O32" s="2319"/>
      <c r="P32" s="1909"/>
      <c r="V32" s="1909"/>
    </row>
    <row r="33" spans="1:26" ht="18.75" thickBot="1">
      <c r="A33" s="295" t="s">
        <v>339</v>
      </c>
      <c r="B33" s="1331" t="s">
        <v>1680</v>
      </c>
      <c r="C33" s="261">
        <f ca="1">ROUND(C32*10000/'数据-汇总表'!E3,0)</f>
        <v>1757</v>
      </c>
      <c r="D33" s="1332" t="s">
        <v>1681</v>
      </c>
      <c r="E33" s="3429" t="s">
        <v>337</v>
      </c>
      <c r="F33" s="293" t="s">
        <v>338</v>
      </c>
      <c r="G33" s="294"/>
      <c r="H33" s="967"/>
      <c r="I33" s="1212"/>
      <c r="J33" s="1909"/>
      <c r="K33" s="1211" t="str">
        <f ca="1">IF(项目基本情况!E9="——","——","抵押净值："&amp;C46&amp;"万元")</f>
        <v>抵押净值：28632万元</v>
      </c>
      <c r="L33" s="1205"/>
      <c r="M33" s="1205"/>
      <c r="N33" s="1205"/>
      <c r="O33" s="1204"/>
      <c r="P33" s="1909"/>
      <c r="V33" s="1909"/>
    </row>
    <row r="34" spans="1:26" s="1207" customFormat="1" ht="18.75" thickBot="1">
      <c r="A34" s="297"/>
      <c r="B34" s="1333" t="s">
        <v>1682</v>
      </c>
      <c r="C34" s="261">
        <f ca="1">ROUND(C32*10000/'数据-汇总表'!D3,0)</f>
        <v>5057</v>
      </c>
      <c r="D34" s="1334" t="s">
        <v>1681</v>
      </c>
      <c r="E34" s="3430"/>
      <c r="F34" s="127" t="s">
        <v>340</v>
      </c>
      <c r="G34" s="296"/>
      <c r="H34" s="105"/>
      <c r="I34" s="308"/>
      <c r="J34" s="1909"/>
      <c r="K34" s="1214" t="str">
        <f ca="1">IF(K33="——","——","大写金额：人民币"&amp;NUMBERSTRING(INT(O41*10000),2)&amp;"元整")</f>
        <v>大写金额：人民币贰亿捌仟陆佰叁拾贰万元整</v>
      </c>
      <c r="L34" s="1215"/>
      <c r="M34" s="1215"/>
      <c r="N34" s="1215"/>
      <c r="O34" s="1216"/>
      <c r="P34" s="1909"/>
      <c r="Q34" s="289"/>
      <c r="R34" s="289"/>
      <c r="S34" s="289"/>
      <c r="T34" s="289"/>
      <c r="U34" s="289"/>
      <c r="V34" s="1909"/>
      <c r="W34" s="289"/>
      <c r="X34" s="289"/>
      <c r="Y34" s="289"/>
      <c r="Z34" s="289"/>
    </row>
    <row r="35" spans="1:26" ht="15.75" thickBot="1">
      <c r="A35" s="281"/>
      <c r="B35" s="1335"/>
      <c r="C35" s="1336">
        <f ca="1">ROUND(C32/('数据-汇总表'!D3/666.67),0)</f>
        <v>337</v>
      </c>
      <c r="D35" s="1337" t="s">
        <v>1683</v>
      </c>
      <c r="E35" s="3431"/>
      <c r="F35" s="298" t="s">
        <v>341</v>
      </c>
      <c r="G35" s="969"/>
      <c r="H35" s="968" t="s">
        <v>342</v>
      </c>
      <c r="I35" s="308"/>
      <c r="J35" s="1909"/>
      <c r="K35" s="3435" t="s">
        <v>349</v>
      </c>
      <c r="L35" s="3435" t="s">
        <v>350</v>
      </c>
      <c r="M35" s="1217" t="s">
        <v>351</v>
      </c>
      <c r="N35" s="3435" t="s">
        <v>352</v>
      </c>
      <c r="O35" s="3435" t="s">
        <v>353</v>
      </c>
      <c r="P35" s="1909"/>
      <c r="V35" s="1909"/>
    </row>
    <row r="36" spans="1:26" ht="16.5" customHeight="1">
      <c r="A36" s="300" t="s">
        <v>343</v>
      </c>
      <c r="B36" s="301" t="s">
        <v>332</v>
      </c>
      <c r="C36" s="302" t="s">
        <v>344</v>
      </c>
      <c r="D36" s="302" t="s">
        <v>345</v>
      </c>
      <c r="E36" s="303" t="s">
        <v>346</v>
      </c>
      <c r="F36" s="308"/>
      <c r="G36" s="308"/>
      <c r="H36" s="308"/>
      <c r="I36" s="308"/>
      <c r="J36" s="1911"/>
      <c r="K36" s="3436"/>
      <c r="L36" s="3436"/>
      <c r="M36" s="1219" t="s">
        <v>354</v>
      </c>
      <c r="N36" s="3436"/>
      <c r="O36" s="3436"/>
      <c r="P36" s="1909"/>
      <c r="V36" s="1909"/>
    </row>
    <row r="37" spans="1:26" ht="16.5" customHeight="1" thickBot="1">
      <c r="A37" s="1213" t="s">
        <v>347</v>
      </c>
      <c r="B37" s="304"/>
      <c r="C37" s="291"/>
      <c r="D37" s="291"/>
      <c r="E37" s="292"/>
      <c r="F37" s="308"/>
      <c r="G37" s="308"/>
      <c r="H37" s="308"/>
      <c r="I37" s="308"/>
      <c r="J37" s="1911"/>
      <c r="K37" s="3437"/>
      <c r="L37" s="3437"/>
      <c r="M37" s="1220"/>
      <c r="N37" s="3437"/>
      <c r="O37" s="3437"/>
      <c r="P37" s="1909"/>
      <c r="V37" s="1909"/>
    </row>
    <row r="38" spans="1:26" ht="16.5" customHeight="1" thickBot="1">
      <c r="A38" s="1213" t="s">
        <v>348</v>
      </c>
      <c r="B38" s="304"/>
      <c r="C38" s="291"/>
      <c r="D38" s="291"/>
      <c r="E38" s="292"/>
      <c r="F38" s="308"/>
      <c r="G38" s="308"/>
      <c r="H38" s="308"/>
      <c r="I38" s="308"/>
      <c r="J38" s="1911"/>
      <c r="K38" s="1221">
        <f>'数据-汇总表'!D3</f>
        <v>59775.26</v>
      </c>
      <c r="L38" s="1222">
        <f>'数据-汇总表'!E3</f>
        <v>172032.86</v>
      </c>
      <c r="M38" s="1222">
        <f ca="1">C34</f>
        <v>5057</v>
      </c>
      <c r="N38" s="1222">
        <f ca="1">C33</f>
        <v>1757</v>
      </c>
      <c r="O38" s="1223">
        <f ca="1">C32</f>
        <v>30230</v>
      </c>
      <c r="P38" s="1909"/>
      <c r="V38" s="1909"/>
    </row>
    <row r="39" spans="1:26" ht="16.5" customHeight="1" thickBot="1">
      <c r="A39" s="1218"/>
      <c r="B39" s="305"/>
      <c r="C39" s="306"/>
      <c r="D39" s="306"/>
      <c r="E39" s="307"/>
      <c r="F39" s="308"/>
      <c r="G39" s="308"/>
      <c r="H39" s="308"/>
      <c r="I39" s="308"/>
      <c r="J39" s="1911"/>
      <c r="K39" s="3448" t="str">
        <f>MID(A44,3,LEN(A44)-2)</f>
        <v>抵押价格</v>
      </c>
      <c r="L39" s="3449"/>
      <c r="M39" s="3449"/>
      <c r="N39" s="3450"/>
      <c r="O39" s="1339">
        <f ca="1">C44</f>
        <v>30230</v>
      </c>
      <c r="P39" s="1909"/>
      <c r="V39" s="1909"/>
    </row>
    <row r="40" spans="1:26" ht="19.5" thickBot="1">
      <c r="A40" s="104" t="s">
        <v>863</v>
      </c>
      <c r="B40" s="308"/>
      <c r="C40" s="308"/>
      <c r="D40" s="308"/>
      <c r="E40" s="308"/>
      <c r="F40" s="308"/>
      <c r="G40" s="308"/>
      <c r="H40" s="308"/>
      <c r="I40" s="308"/>
      <c r="J40" s="1911"/>
      <c r="K40" s="3448" t="str">
        <f t="shared" ref="K40:K41" si="0">MID(A45,3,LEN(A45)-2)</f>
        <v/>
      </c>
      <c r="L40" s="3449"/>
      <c r="M40" s="3449"/>
      <c r="N40" s="3450"/>
      <c r="O40" s="1339" t="str">
        <f>C45</f>
        <v>——</v>
      </c>
      <c r="P40" s="1909"/>
      <c r="V40" s="1909"/>
    </row>
    <row r="41" spans="1:26" ht="16.5" thickBot="1">
      <c r="A41" s="309" t="s">
        <v>355</v>
      </c>
      <c r="B41" s="310"/>
      <c r="C41" s="311" t="s">
        <v>356</v>
      </c>
      <c r="D41" s="312" t="s">
        <v>357</v>
      </c>
      <c r="E41" s="312" t="s">
        <v>358</v>
      </c>
      <c r="F41" s="313" t="s">
        <v>359</v>
      </c>
      <c r="G41" s="308"/>
      <c r="H41" s="308"/>
      <c r="I41" s="308"/>
      <c r="J41" s="1911"/>
      <c r="K41" s="3448" t="str">
        <f t="shared" si="0"/>
        <v>抵押净值</v>
      </c>
      <c r="L41" s="3449"/>
      <c r="M41" s="3449"/>
      <c r="N41" s="3450"/>
      <c r="O41" s="1339">
        <f ca="1">C46</f>
        <v>28632</v>
      </c>
      <c r="P41" s="1909"/>
      <c r="V41" s="1909"/>
    </row>
    <row r="42" spans="1:26" ht="29.25">
      <c r="A42" s="3477" t="s">
        <v>2055</v>
      </c>
      <c r="B42" s="3478"/>
      <c r="C42" s="261">
        <f ca="1">C32</f>
        <v>30230</v>
      </c>
      <c r="D42" s="314">
        <f ca="1">C33</f>
        <v>1757</v>
      </c>
      <c r="E42" s="314">
        <f ca="1">C34</f>
        <v>5057</v>
      </c>
      <c r="F42" s="315">
        <f ca="1">C35</f>
        <v>337</v>
      </c>
      <c r="G42" s="308"/>
      <c r="H42" s="308"/>
      <c r="I42" s="316"/>
      <c r="J42" s="1911"/>
      <c r="K42" s="1224" t="s">
        <v>360</v>
      </c>
      <c r="L42" s="1928" t="s">
        <v>361</v>
      </c>
      <c r="M42" s="1225" t="s">
        <v>362</v>
      </c>
      <c r="N42" s="1929" t="s">
        <v>363</v>
      </c>
      <c r="O42" s="1930" t="s">
        <v>364</v>
      </c>
      <c r="P42" s="1909"/>
      <c r="V42" s="1909"/>
    </row>
    <row r="43" spans="1:26" ht="30">
      <c r="A43" s="3487" t="s">
        <v>2710</v>
      </c>
      <c r="B43" s="3488"/>
      <c r="C43" s="261">
        <f>IF(H33="正常操作",G33+G34+G35,G34+G35)</f>
        <v>0</v>
      </c>
      <c r="D43" s="314" t="s">
        <v>43</v>
      </c>
      <c r="E43" s="314" t="s">
        <v>44</v>
      </c>
      <c r="F43" s="315" t="s">
        <v>44</v>
      </c>
      <c r="G43" s="2581" t="s">
        <v>942</v>
      </c>
      <c r="H43" s="308"/>
      <c r="I43" s="316"/>
      <c r="J43" s="1911"/>
      <c r="K43" s="1226" t="str">
        <f>C4</f>
        <v>剩余法-待开发</v>
      </c>
      <c r="L43" s="1227">
        <f ca="1">IF(L42="估价结果/万元",C19,C20)</f>
        <v>33860</v>
      </c>
      <c r="M43" s="1228">
        <f>C18</f>
        <v>0.5</v>
      </c>
      <c r="N43" s="1229">
        <f ca="1">IF(N42="测算结果/万元",G19,G20)</f>
        <v>30230</v>
      </c>
      <c r="O43" s="1230">
        <f ca="1">IF(O42="最终结果/万元",C32,C33)</f>
        <v>30230</v>
      </c>
      <c r="P43" s="1909"/>
      <c r="V43" s="1909"/>
    </row>
    <row r="44" spans="1:26" ht="30.75" thickBot="1">
      <c r="A44" s="3477" t="str">
        <f>IF(OR(项目基本情况!E8="抵押价格",项目基本情况!E8="已注销及未注销"),"3.抵押价格","——")</f>
        <v>3.抵押价格</v>
      </c>
      <c r="B44" s="3478"/>
      <c r="C44" s="261">
        <f ca="1">IF(A44="——","——",C42-C43)</f>
        <v>30230</v>
      </c>
      <c r="D44" s="314">
        <f ca="1">ROUND(C44*10000/'数据-汇总表'!E3,0)</f>
        <v>1757</v>
      </c>
      <c r="E44" s="314">
        <f ca="1">ROUND(C44*10000/'数据-汇总表'!D3,0)</f>
        <v>5057</v>
      </c>
      <c r="F44" s="315">
        <f ca="1">ROUND(C44/('数据-汇总表'!D3/666.67),0)</f>
        <v>337</v>
      </c>
      <c r="G44" s="308"/>
      <c r="H44" s="308"/>
      <c r="I44" s="316"/>
      <c r="J44" s="1911"/>
      <c r="K44" s="1231" t="str">
        <f>D4</f>
        <v>比较法-住宅、综合</v>
      </c>
      <c r="L44" s="1232">
        <f ca="1">IF(L42="估价结果/万元",D19,D20)</f>
        <v>26600</v>
      </c>
      <c r="M44" s="1233">
        <f>D18</f>
        <v>0.5</v>
      </c>
      <c r="N44" s="1234"/>
      <c r="O44" s="1235"/>
      <c r="P44" s="1909"/>
      <c r="V44" s="1909"/>
    </row>
    <row r="45" spans="1:26" ht="15">
      <c r="A45" s="3482" t="str">
        <f>IF(项目基本情况!E8="已注销及未注销","4.抵押担保权已注销时的抵押价格",IF(项目基本情况!E8="已注销","3.抵押担保权已注销时的抵押价格","——"))</f>
        <v>——</v>
      </c>
      <c r="B45" s="3483"/>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479" t="str">
        <f>IF(项目基本情况!E9="抵押净值",IF(A45="——","4.抵押净值","5.抵押净值"),"——")</f>
        <v>4.抵押净值</v>
      </c>
      <c r="B46" s="3480"/>
      <c r="C46" s="317">
        <f ca="1">IF(A46="——","——",O79)</f>
        <v>28632</v>
      </c>
      <c r="D46" s="314">
        <f ca="1">ROUND(C46*10000/'数据-汇总表'!E3,0)</f>
        <v>1664</v>
      </c>
      <c r="E46" s="314">
        <f ca="1">ROUND(C46*10000/'数据-汇总表'!D3,0)</f>
        <v>4790</v>
      </c>
      <c r="F46" s="315">
        <f ca="1">ROUND(C46/('数据-汇总表'!D3/666.67),0)</f>
        <v>319</v>
      </c>
      <c r="G46" s="308"/>
      <c r="H46" s="308"/>
      <c r="I46" s="316"/>
      <c r="J46" s="1911"/>
      <c r="K46" s="1909"/>
      <c r="L46" s="1909"/>
      <c r="M46" s="1909"/>
      <c r="N46" s="1909"/>
      <c r="O46" s="1909"/>
      <c r="P46" s="1909"/>
      <c r="Q46" s="1909"/>
      <c r="R46" s="1909"/>
      <c r="S46" s="1909"/>
      <c r="T46" s="1909"/>
      <c r="U46" s="1909"/>
      <c r="V46" s="1909"/>
    </row>
    <row r="47" spans="1:26" ht="15.75">
      <c r="A47" s="318" t="s">
        <v>365</v>
      </c>
      <c r="B47" s="1236"/>
      <c r="C47" s="319" t="s">
        <v>366</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367</v>
      </c>
      <c r="G53" s="334"/>
      <c r="H53" s="334"/>
      <c r="I53" s="335" t="s">
        <v>368</v>
      </c>
      <c r="J53" s="1912"/>
      <c r="K53" s="1909"/>
      <c r="L53" s="1909"/>
      <c r="M53" s="1909"/>
      <c r="N53" s="1909"/>
      <c r="O53" s="1909"/>
      <c r="P53" s="1909"/>
      <c r="Q53" s="1909"/>
      <c r="R53" s="1909"/>
      <c r="S53" s="1909"/>
      <c r="T53" s="1909"/>
      <c r="U53" s="1909"/>
      <c r="V53" s="1909"/>
    </row>
    <row r="54" spans="1:22" ht="12.75">
      <c r="A54" s="254"/>
      <c r="B54" s="336" t="s">
        <v>369</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370</v>
      </c>
      <c r="J56" s="1912"/>
      <c r="K56" s="1909"/>
      <c r="L56" s="1909"/>
      <c r="M56" s="1909"/>
      <c r="N56" s="1909"/>
      <c r="O56" s="1909"/>
      <c r="P56" s="1909"/>
      <c r="Q56" s="1909"/>
      <c r="R56" s="1909"/>
      <c r="S56" s="1909"/>
      <c r="T56" s="1909"/>
      <c r="U56" s="1909"/>
      <c r="V56" s="1909"/>
    </row>
    <row r="57" spans="1:22" ht="12.75">
      <c r="A57" s="254"/>
      <c r="B57" s="336" t="s">
        <v>371</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370</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3"/>
      <c r="E61" s="213"/>
      <c r="F61" s="250"/>
      <c r="G61" s="254"/>
      <c r="H61" s="254"/>
      <c r="I61" s="254"/>
      <c r="J61" s="1912"/>
      <c r="K61" s="1909"/>
      <c r="L61" s="1909"/>
      <c r="M61" s="1909"/>
      <c r="N61" s="1909"/>
      <c r="O61" s="1909"/>
      <c r="P61" s="1909"/>
      <c r="Q61" s="1909"/>
      <c r="R61" s="1909"/>
      <c r="S61" s="1909"/>
      <c r="T61" s="1909"/>
      <c r="U61" s="1909"/>
      <c r="V61" s="1909"/>
    </row>
    <row r="62" spans="1:22" ht="18.75">
      <c r="A62" s="1237" t="s">
        <v>372</v>
      </c>
      <c r="B62" s="1238"/>
      <c r="C62" s="1238"/>
      <c r="D62" s="1239"/>
      <c r="E62" s="1239"/>
      <c r="F62" s="1240"/>
      <c r="G62" s="1240"/>
      <c r="H62" s="1240"/>
      <c r="I62" s="1240"/>
      <c r="J62" s="1913"/>
      <c r="K62" s="1909"/>
      <c r="L62" s="1909"/>
      <c r="M62" s="1909"/>
      <c r="N62" s="1909"/>
      <c r="O62" s="1909"/>
      <c r="P62" s="1909"/>
      <c r="Q62" s="1909"/>
      <c r="R62" s="1909"/>
      <c r="S62" s="1909"/>
      <c r="T62" s="1909"/>
      <c r="U62" s="1909"/>
      <c r="V62" s="1909"/>
    </row>
    <row r="63" spans="1:22" ht="14.25" customHeight="1" thickBot="1">
      <c r="A63" s="3440" t="s">
        <v>373</v>
      </c>
      <c r="B63" s="3441"/>
      <c r="C63" s="3442"/>
      <c r="D63" s="338">
        <f ca="1">ROUND(C42*F63,0)</f>
        <v>30230</v>
      </c>
      <c r="E63" s="299" t="s">
        <v>374</v>
      </c>
      <c r="F63" s="339">
        <v>1</v>
      </c>
      <c r="G63" s="340" t="s">
        <v>375</v>
      </c>
      <c r="H63" s="308"/>
      <c r="I63" s="308"/>
      <c r="J63" s="1909"/>
      <c r="K63" s="1909"/>
      <c r="L63" s="1909"/>
      <c r="M63" s="1909"/>
      <c r="N63" s="1909"/>
      <c r="O63" s="1909"/>
      <c r="P63" s="1909"/>
      <c r="Q63" s="1909"/>
      <c r="R63" s="1909"/>
      <c r="S63" s="1909"/>
      <c r="T63" s="1909"/>
      <c r="U63" s="1909"/>
      <c r="V63" s="1909"/>
    </row>
    <row r="64" spans="1:22" ht="14.25" customHeight="1">
      <c r="A64" s="3484" t="s">
        <v>377</v>
      </c>
      <c r="B64" s="3485"/>
      <c r="C64" s="3485"/>
      <c r="D64" s="3485"/>
      <c r="E64" s="3485"/>
      <c r="F64" s="3485"/>
      <c r="G64" s="3486"/>
      <c r="H64" s="1241"/>
      <c r="I64" s="936"/>
      <c r="J64" s="1900"/>
      <c r="K64" s="1496" t="s">
        <v>376</v>
      </c>
      <c r="L64" s="11"/>
      <c r="M64" s="11"/>
      <c r="N64" s="11"/>
      <c r="O64" s="11"/>
      <c r="P64" s="308"/>
      <c r="Q64" s="1909"/>
      <c r="R64" s="1909"/>
      <c r="S64" s="1909"/>
      <c r="T64" s="1909"/>
      <c r="U64" s="1909"/>
      <c r="V64" s="1909"/>
    </row>
    <row r="65" spans="1:22" ht="12" customHeight="1">
      <c r="A65" s="341" t="s">
        <v>379</v>
      </c>
      <c r="B65" s="342"/>
      <c r="C65" s="343"/>
      <c r="D65" s="344" t="s">
        <v>380</v>
      </c>
      <c r="E65" s="53" t="s">
        <v>381</v>
      </c>
      <c r="F65" s="345" t="s">
        <v>382</v>
      </c>
      <c r="G65" s="346" t="s">
        <v>383</v>
      </c>
      <c r="H65" s="1241"/>
      <c r="I65" s="936"/>
      <c r="J65" s="1900"/>
      <c r="K65" s="1242"/>
      <c r="L65" s="1243"/>
      <c r="M65" s="1243"/>
      <c r="N65" s="1275" t="s">
        <v>378</v>
      </c>
      <c r="O65" s="1276"/>
      <c r="P65" s="1277"/>
      <c r="Q65" s="1909"/>
      <c r="R65" s="1909"/>
      <c r="S65" s="1909"/>
      <c r="T65" s="1909"/>
      <c r="U65" s="1909"/>
      <c r="V65" s="1909"/>
    </row>
    <row r="66" spans="1:22" ht="25.5">
      <c r="A66" s="3481" t="s">
        <v>385</v>
      </c>
      <c r="B66" s="3447"/>
      <c r="C66" s="3447"/>
      <c r="D66" s="258">
        <f ca="1">IF(H66="情况1",0,IF(H66="情况2",D70,IF(H66="情况3",D71,IF(H66="情况4",D72))))</f>
        <v>1583</v>
      </c>
      <c r="E66" s="980" t="str">
        <f>IF(H66="情况4","(销售额-原购置价)×税（费）率","销售额×税（费）率")</f>
        <v>销售额×税（费）率</v>
      </c>
      <c r="F66" s="347">
        <f>IF(H66="情况1","免征",'数据-取费表'!B41)</f>
        <v>5.5000000000000007E-2</v>
      </c>
      <c r="G66" s="348" t="s">
        <v>386</v>
      </c>
      <c r="H66" s="189" t="s">
        <v>3018</v>
      </c>
      <c r="I66" s="1241"/>
      <c r="J66" s="1915"/>
      <c r="K66" s="1244">
        <v>1</v>
      </c>
      <c r="L66" s="3408" t="s">
        <v>384</v>
      </c>
      <c r="M66" s="3409"/>
      <c r="N66" s="2310"/>
      <c r="O66" s="2311"/>
      <c r="P66" s="2312"/>
      <c r="Q66" s="1909"/>
      <c r="R66" s="1909"/>
      <c r="S66" s="1909"/>
      <c r="T66" s="1909"/>
      <c r="U66" s="1909"/>
      <c r="V66" s="1909"/>
    </row>
    <row r="67" spans="1:22" ht="25.5" customHeight="1">
      <c r="A67" s="349" t="s">
        <v>388</v>
      </c>
      <c r="B67" s="3459" t="s">
        <v>389</v>
      </c>
      <c r="C67" s="3459"/>
      <c r="D67" s="350">
        <v>0</v>
      </c>
      <c r="E67" s="41" t="s">
        <v>390</v>
      </c>
      <c r="F67" s="62" t="s">
        <v>21</v>
      </c>
      <c r="G67" s="3443"/>
      <c r="H67" s="3000" t="s">
        <v>2966</v>
      </c>
      <c r="I67" s="3002"/>
      <c r="J67" s="1916"/>
      <c r="K67" s="1888">
        <v>2</v>
      </c>
      <c r="L67" s="3413" t="s">
        <v>387</v>
      </c>
      <c r="M67" s="3413"/>
      <c r="N67" s="1278">
        <f>'数据-取费表'!B2</f>
        <v>44254</v>
      </c>
      <c r="O67" s="1278"/>
      <c r="P67" s="1278"/>
      <c r="Q67" s="1909"/>
      <c r="R67" s="1909"/>
      <c r="S67" s="1909"/>
      <c r="T67" s="1909"/>
      <c r="U67" s="1909"/>
      <c r="V67" s="1909"/>
    </row>
    <row r="68" spans="1:22" ht="25.5" customHeight="1">
      <c r="A68" s="351"/>
      <c r="B68" s="3459" t="s">
        <v>392</v>
      </c>
      <c r="C68" s="3459"/>
      <c r="D68" s="352"/>
      <c r="E68" s="77"/>
      <c r="F68" s="353"/>
      <c r="G68" s="3444"/>
      <c r="H68" s="3001" t="s">
        <v>2967</v>
      </c>
      <c r="I68" s="3002"/>
      <c r="J68" s="1916"/>
      <c r="K68" s="1888">
        <v>3</v>
      </c>
      <c r="L68" s="3413" t="s">
        <v>391</v>
      </c>
      <c r="M68" s="3413"/>
      <c r="N68" s="1246">
        <f ca="1">C42</f>
        <v>30230</v>
      </c>
      <c r="O68" s="1246"/>
      <c r="P68" s="1246"/>
      <c r="Q68" s="1909"/>
      <c r="R68" s="1909"/>
      <c r="S68" s="1909"/>
      <c r="T68" s="1909"/>
      <c r="U68" s="1909"/>
      <c r="V68" s="1909"/>
    </row>
    <row r="69" spans="1:22" ht="23.45" customHeight="1">
      <c r="A69" s="354"/>
      <c r="B69" s="3459" t="s">
        <v>393</v>
      </c>
      <c r="C69" s="3459"/>
      <c r="D69" s="355"/>
      <c r="E69" s="73"/>
      <c r="F69" s="353"/>
      <c r="G69" s="3445"/>
      <c r="H69" s="3001" t="s">
        <v>2968</v>
      </c>
      <c r="I69" s="3002"/>
      <c r="J69" s="1916"/>
      <c r="K69" s="1247">
        <v>4</v>
      </c>
      <c r="L69" s="3414" t="s">
        <v>2862</v>
      </c>
      <c r="M69" s="3415"/>
      <c r="N69" s="1248">
        <f ca="1">C44</f>
        <v>30230</v>
      </c>
      <c r="O69" s="1248"/>
      <c r="P69" s="1248"/>
      <c r="Q69" s="1909"/>
      <c r="R69" s="1909"/>
      <c r="S69" s="1909"/>
      <c r="T69" s="1909"/>
      <c r="U69" s="1909"/>
      <c r="V69" s="1909"/>
    </row>
    <row r="70" spans="1:22" ht="24" customHeight="1">
      <c r="A70" s="356" t="s">
        <v>394</v>
      </c>
      <c r="B70" s="3459" t="s">
        <v>395</v>
      </c>
      <c r="C70" s="3459"/>
      <c r="D70" s="355">
        <f ca="1">ROUND(D63*'数据-取费表'!B41/(1+'数据-取费表'!C42),0)</f>
        <v>1583</v>
      </c>
      <c r="E70" s="17" t="s">
        <v>396</v>
      </c>
      <c r="F70" s="357">
        <f>'数据-取费表'!B41</f>
        <v>5.5000000000000007E-2</v>
      </c>
      <c r="G70" s="358"/>
      <c r="H70" s="308"/>
      <c r="I70" s="1245"/>
      <c r="J70" s="1916"/>
      <c r="K70" s="2759"/>
      <c r="L70" s="2760"/>
      <c r="M70" s="2760"/>
      <c r="N70" s="2761" t="s">
        <v>2866</v>
      </c>
      <c r="O70" s="2760"/>
      <c r="P70" s="2762"/>
      <c r="Q70" s="1909"/>
      <c r="R70" s="1909"/>
      <c r="S70" s="1909"/>
      <c r="T70" s="1909"/>
      <c r="U70" s="1909"/>
      <c r="V70" s="1909"/>
    </row>
    <row r="71" spans="1:22" ht="12" customHeight="1">
      <c r="A71" s="356" t="s">
        <v>402</v>
      </c>
      <c r="B71" s="3458" t="s">
        <v>2998</v>
      </c>
      <c r="C71" s="3475"/>
      <c r="D71" s="355">
        <f ca="1">ROUND(D63*'数据-取费表'!B41/(1+'数据-取费表'!C42),0)</f>
        <v>1583</v>
      </c>
      <c r="E71" s="17" t="s">
        <v>396</v>
      </c>
      <c r="F71" s="357">
        <f>'数据-取费表'!B41</f>
        <v>5.5000000000000007E-2</v>
      </c>
      <c r="G71" s="358"/>
      <c r="H71" s="308"/>
      <c r="I71" s="1245"/>
      <c r="J71" s="1916"/>
      <c r="K71" s="2758" t="s">
        <v>397</v>
      </c>
      <c r="L71" s="3416" t="s">
        <v>398</v>
      </c>
      <c r="M71" s="3416"/>
      <c r="N71" s="2758" t="s">
        <v>399</v>
      </c>
      <c r="O71" s="2758" t="s">
        <v>400</v>
      </c>
      <c r="P71" s="2758" t="s">
        <v>401</v>
      </c>
      <c r="Q71" s="1909"/>
      <c r="R71" s="1909"/>
      <c r="S71" s="1909"/>
      <c r="T71" s="1909"/>
      <c r="U71" s="1909"/>
      <c r="V71" s="1909"/>
    </row>
    <row r="72" spans="1:22" ht="12" customHeight="1">
      <c r="A72" s="356" t="s">
        <v>404</v>
      </c>
      <c r="B72" s="3458" t="s">
        <v>2999</v>
      </c>
      <c r="C72" s="3475"/>
      <c r="D72" s="355">
        <f ca="1">C86</f>
        <v>1583</v>
      </c>
      <c r="E72" s="73" t="s">
        <v>405</v>
      </c>
      <c r="F72" s="357">
        <f>'数据-取费表'!B41</f>
        <v>5.5000000000000007E-2</v>
      </c>
      <c r="G72" s="358"/>
      <c r="H72" s="1251"/>
      <c r="I72" s="1245"/>
      <c r="J72" s="1916"/>
      <c r="K72" s="1888">
        <v>1</v>
      </c>
      <c r="L72" s="3412" t="s">
        <v>403</v>
      </c>
      <c r="M72" s="3412"/>
      <c r="N72" s="1249">
        <f ca="1">D66</f>
        <v>1583</v>
      </c>
      <c r="O72" s="1771" t="str">
        <f>E66</f>
        <v>销售额×税（费）率</v>
      </c>
      <c r="P72" s="1250">
        <f>F66</f>
        <v>5.5000000000000007E-2</v>
      </c>
      <c r="Q72" s="1909"/>
      <c r="R72" s="1909"/>
      <c r="S72" s="1909"/>
      <c r="T72" s="1909"/>
      <c r="U72" s="1909"/>
      <c r="V72" s="1909"/>
    </row>
    <row r="73" spans="1:22" ht="24" customHeight="1">
      <c r="A73" s="3446" t="s">
        <v>407</v>
      </c>
      <c r="B73" s="3447"/>
      <c r="C73" s="3447"/>
      <c r="D73" s="359">
        <f ca="1">IF(H73="个人住宅",0,ROUND(D63*I73,0))</f>
        <v>15</v>
      </c>
      <c r="E73" s="17" t="s">
        <v>408</v>
      </c>
      <c r="F73" s="357">
        <f>IF(H73="正常",I73,"免征")</f>
        <v>5.0000000000000001E-4</v>
      </c>
      <c r="G73" s="358"/>
      <c r="H73" s="189" t="s">
        <v>3019</v>
      </c>
      <c r="I73" s="357">
        <f>'数据-取费表'!B49</f>
        <v>5.0000000000000001E-4</v>
      </c>
      <c r="J73" s="1916"/>
      <c r="K73" s="1888">
        <v>2</v>
      </c>
      <c r="L73" s="3412" t="s">
        <v>406</v>
      </c>
      <c r="M73" s="3412"/>
      <c r="N73" s="1249">
        <f t="shared" ref="N73:P74" ca="1" si="1">D73</f>
        <v>15</v>
      </c>
      <c r="O73" s="1771" t="str">
        <f t="shared" si="1"/>
        <v>销售额×税（费）率</v>
      </c>
      <c r="P73" s="1250">
        <f t="shared" si="1"/>
        <v>5.0000000000000001E-4</v>
      </c>
      <c r="Q73" s="1909"/>
      <c r="R73" s="1909"/>
      <c r="S73" s="1909"/>
      <c r="T73" s="1909"/>
      <c r="U73" s="1909"/>
      <c r="V73" s="1909"/>
    </row>
    <row r="74" spans="1:22" ht="24.75">
      <c r="A74" s="3446" t="s">
        <v>410</v>
      </c>
      <c r="B74" s="3447"/>
      <c r="C74" s="3447"/>
      <c r="D74" s="359">
        <f ca="1">IF(H74="个人住宅",D75,D76)</f>
        <v>0</v>
      </c>
      <c r="E74" s="17" t="s">
        <v>411</v>
      </c>
      <c r="F74" s="357" t="str">
        <f>IF(H74="正常",F76,"免征")</f>
        <v>——</v>
      </c>
      <c r="G74" s="970" t="s">
        <v>412</v>
      </c>
      <c r="H74" s="360" t="s">
        <v>3019</v>
      </c>
      <c r="I74" s="42"/>
      <c r="J74" s="1916"/>
      <c r="K74" s="1888">
        <v>3</v>
      </c>
      <c r="L74" s="3412" t="s">
        <v>409</v>
      </c>
      <c r="M74" s="3412"/>
      <c r="N74" s="1249">
        <f t="shared" ca="1" si="1"/>
        <v>0</v>
      </c>
      <c r="O74" s="1771" t="str">
        <f t="shared" si="1"/>
        <v>增值额×税（费）率</v>
      </c>
      <c r="P74" s="1252" t="str">
        <f t="shared" si="1"/>
        <v>——</v>
      </c>
      <c r="Q74" s="1909"/>
      <c r="R74" s="1909"/>
      <c r="S74" s="1909"/>
      <c r="T74" s="1909"/>
      <c r="U74" s="1909"/>
      <c r="V74" s="1909"/>
    </row>
    <row r="75" spans="1:22" ht="12.75">
      <c r="A75" s="356" t="s">
        <v>413</v>
      </c>
      <c r="B75" s="3427" t="s">
        <v>414</v>
      </c>
      <c r="C75" s="3428"/>
      <c r="D75" s="361">
        <v>0</v>
      </c>
      <c r="E75" s="41" t="s">
        <v>415</v>
      </c>
      <c r="F75" s="362"/>
      <c r="G75" s="358"/>
      <c r="H75" s="42"/>
      <c r="I75" s="42"/>
      <c r="J75" s="1916"/>
      <c r="K75" s="2752" t="str">
        <f>IF(H77="非个人房产","",4)</f>
        <v/>
      </c>
      <c r="L75" s="3412" t="str">
        <f>IF(H77="非个人房产","——","个人所得税")</f>
        <v>——</v>
      </c>
      <c r="M75" s="3412"/>
      <c r="N75" s="1253" t="str">
        <f>D77</f>
        <v>——</v>
      </c>
      <c r="O75" s="1784" t="str">
        <f>E77</f>
        <v>——</v>
      </c>
      <c r="P75" s="1254" t="str">
        <f>F77</f>
        <v>——</v>
      </c>
      <c r="Q75" s="1909"/>
      <c r="R75" s="1909"/>
      <c r="S75" s="1909"/>
      <c r="T75" s="1909"/>
      <c r="U75" s="1909"/>
      <c r="V75" s="1909"/>
    </row>
    <row r="76" spans="1:22" ht="24.75">
      <c r="A76" s="356" t="s">
        <v>394</v>
      </c>
      <c r="B76" s="3427" t="s">
        <v>417</v>
      </c>
      <c r="C76" s="3469"/>
      <c r="D76" s="359">
        <f ca="1">IF(H76="转让取得",C99,C115)</f>
        <v>0</v>
      </c>
      <c r="E76" s="17" t="s">
        <v>418</v>
      </c>
      <c r="F76" s="53" t="s">
        <v>21</v>
      </c>
      <c r="G76" s="358"/>
      <c r="H76" s="360" t="s">
        <v>3020</v>
      </c>
      <c r="I76" s="42"/>
      <c r="J76" s="1916"/>
      <c r="K76" s="2752" t="str">
        <f>IF(项目基本情况!K6="上海银行",IF(K75="",4,K75+1),"")</f>
        <v/>
      </c>
      <c r="L76" s="3423" t="str">
        <f>IF(项目基本情况!K6="上海银行","其他处置费用","")</f>
        <v/>
      </c>
      <c r="M76" s="3424"/>
      <c r="N76" s="1249" t="str">
        <f>IF(项目基本情况!K6="上海银行",N89,"")</f>
        <v/>
      </c>
      <c r="O76" s="3425" t="str">
        <f>IF(项目基本情况!K6="上海银行","包含处置中涉及的律师、诉讼、拍卖、评估等费用","")</f>
        <v/>
      </c>
      <c r="P76" s="3426"/>
      <c r="Q76" s="1909"/>
      <c r="R76" s="1909"/>
      <c r="S76" s="1909"/>
      <c r="T76" s="1909"/>
      <c r="U76" s="1909"/>
      <c r="V76" s="1909"/>
    </row>
    <row r="77" spans="1:22" ht="24.75" thickBot="1">
      <c r="A77" s="3438" t="s">
        <v>420</v>
      </c>
      <c r="B77" s="3439"/>
      <c r="C77" s="3439"/>
      <c r="D77" s="3005" t="str">
        <f>IF(H77="非个人房产","——",IF(H77="个人住宅（满五唯一有凭证）",0,IF(H77="个人其他（无凭证）",ROUND(D63*F77,0),ROUND(C84*F77,0))))</f>
        <v>——</v>
      </c>
      <c r="E77" s="3006" t="str">
        <f>IF(H77="非个人房产","——",IF(H77="个人其他（无凭证）","销售额×税（费）率",IF(H77="个人住宅（满五唯一有凭证）","免征","差额计税")))</f>
        <v>——</v>
      </c>
      <c r="F77" s="3007" t="str">
        <f>IF(OR(H77="非个人房产",H77="个人住宅（满五唯一有凭证）"),"——",IF(H77="个人其他（有凭证）",20%,1%))</f>
        <v>——</v>
      </c>
      <c r="G77" s="971" t="s">
        <v>412</v>
      </c>
      <c r="H77" s="3004" t="s">
        <v>3573</v>
      </c>
      <c r="I77" s="3003" t="s">
        <v>2969</v>
      </c>
      <c r="J77" s="1916"/>
      <c r="K77" s="3434">
        <f>IF(AND(K75="",K76=""),4,IF(项目基本情况!K6="上海银行",K76+1,K75+1))</f>
        <v>4</v>
      </c>
      <c r="L77" s="3412" t="s">
        <v>2863</v>
      </c>
      <c r="M77" s="2757" t="s">
        <v>416</v>
      </c>
      <c r="N77" s="1255"/>
      <c r="O77" s="1256">
        <f ca="1">SUMIF(N72:N76,"&lt;9e307")</f>
        <v>1598</v>
      </c>
      <c r="P77" s="1257"/>
      <c r="Q77" s="2755">
        <f ca="1">O77/N69</f>
        <v>5.2861395964273902E-2</v>
      </c>
      <c r="R77" s="1909"/>
      <c r="S77" s="1909"/>
      <c r="T77" s="1909"/>
      <c r="U77" s="1909"/>
      <c r="V77" s="1909"/>
    </row>
    <row r="78" spans="1:22" ht="12" customHeight="1">
      <c r="A78" s="1258"/>
      <c r="B78" s="308"/>
      <c r="C78" s="308"/>
      <c r="D78" s="308"/>
      <c r="E78" s="42"/>
      <c r="F78" s="42"/>
      <c r="G78" s="42"/>
      <c r="H78" s="990"/>
      <c r="I78" s="308"/>
      <c r="J78" s="1916"/>
      <c r="K78" s="3434"/>
      <c r="L78" s="3412"/>
      <c r="M78" s="2757" t="s">
        <v>419</v>
      </c>
      <c r="N78" s="1255"/>
      <c r="O78" s="1256" t="str">
        <f ca="1">NUMBERSTRING(INT(O77*10000),2)&amp;"元整"</f>
        <v>壹仟伍佰玖拾捌万元整</v>
      </c>
      <c r="P78" s="1257"/>
      <c r="Q78" s="1909"/>
      <c r="R78" s="1909"/>
      <c r="S78" s="1909"/>
      <c r="T78" s="1909"/>
      <c r="U78" s="1909"/>
      <c r="V78" s="1909"/>
    </row>
    <row r="79" spans="1:22" ht="13.5" thickBot="1">
      <c r="A79" s="3489" t="s">
        <v>421</v>
      </c>
      <c r="B79" s="3489"/>
      <c r="C79" s="3489"/>
      <c r="D79" s="3489"/>
      <c r="E79" s="3489"/>
      <c r="F79" s="42"/>
      <c r="G79" s="42"/>
      <c r="H79" s="990"/>
      <c r="I79" s="308"/>
      <c r="J79" s="1916"/>
      <c r="K79" s="3410">
        <f>K77+1</f>
        <v>5</v>
      </c>
      <c r="L79" s="3412" t="s">
        <v>2864</v>
      </c>
      <c r="M79" s="2757" t="s">
        <v>416</v>
      </c>
      <c r="N79" s="1255"/>
      <c r="O79" s="1256">
        <f ca="1">N69-O77</f>
        <v>28632</v>
      </c>
      <c r="P79" s="1257"/>
      <c r="Q79" s="1909"/>
      <c r="R79" s="1909"/>
      <c r="S79" s="1909"/>
      <c r="T79" s="1909"/>
      <c r="U79" s="1909"/>
      <c r="V79" s="1909"/>
    </row>
    <row r="80" spans="1:22" ht="25.5">
      <c r="A80" s="3420" t="s">
        <v>422</v>
      </c>
      <c r="B80" s="3421"/>
      <c r="C80" s="981"/>
      <c r="D80" s="981" t="s">
        <v>423</v>
      </c>
      <c r="E80" s="363" t="s">
        <v>424</v>
      </c>
      <c r="F80" s="42"/>
      <c r="G80" s="42"/>
      <c r="H80" s="990"/>
      <c r="I80" s="308"/>
      <c r="J80" s="1909"/>
      <c r="K80" s="3411"/>
      <c r="L80" s="3412"/>
      <c r="M80" s="2757" t="s">
        <v>419</v>
      </c>
      <c r="N80" s="1255"/>
      <c r="O80" s="1256" t="str">
        <f ca="1">NUMBERSTRING(INT(O79*10000),2)&amp;"元整"</f>
        <v>贰亿捌仟陆佰叁拾贰万元整</v>
      </c>
      <c r="P80" s="1257"/>
      <c r="Q80" s="1909"/>
      <c r="R80" s="1909"/>
      <c r="S80" s="1909"/>
      <c r="T80" s="1909"/>
      <c r="U80" s="1909"/>
      <c r="V80" s="1909"/>
    </row>
    <row r="81" spans="1:26" ht="13.5" thickBot="1">
      <c r="A81" s="374" t="s">
        <v>1813</v>
      </c>
      <c r="B81" s="364" t="s">
        <v>425</v>
      </c>
      <c r="C81" s="365">
        <f ca="1">ROUND((C82+C83)/(1+'数据-取费表'!C42),0)</f>
        <v>28790</v>
      </c>
      <c r="D81" s="366"/>
      <c r="E81" s="367"/>
      <c r="F81" s="42"/>
      <c r="G81" s="42"/>
      <c r="H81" s="990"/>
      <c r="I81" s="308"/>
      <c r="J81" s="1909"/>
      <c r="K81" s="2752">
        <f>K79+1</f>
        <v>6</v>
      </c>
      <c r="L81" s="3432" t="s">
        <v>2865</v>
      </c>
      <c r="M81" s="3433"/>
      <c r="N81" s="1259"/>
      <c r="O81" s="1260">
        <f ca="1">ROUND(O79*10000/'数据-汇总表'!E3,0)</f>
        <v>1664</v>
      </c>
      <c r="P81" s="1261"/>
      <c r="Q81" s="1909"/>
      <c r="R81" s="1909"/>
      <c r="S81" s="1909"/>
      <c r="T81" s="1909"/>
      <c r="U81" s="1909"/>
      <c r="V81" s="1909"/>
    </row>
    <row r="82" spans="1:26" ht="13.5" thickTop="1">
      <c r="A82" s="368" t="s">
        <v>1814</v>
      </c>
      <c r="B82" s="369" t="s">
        <v>426</v>
      </c>
      <c r="C82" s="370">
        <f ca="1">D63</f>
        <v>30230</v>
      </c>
      <c r="D82" s="371" t="s">
        <v>19</v>
      </c>
      <c r="E82" s="372"/>
      <c r="F82" s="42"/>
      <c r="G82" s="42"/>
      <c r="H82" s="990"/>
      <c r="I82" s="308"/>
      <c r="J82" s="1909"/>
      <c r="K82" s="1909"/>
      <c r="L82" s="1909"/>
      <c r="M82" s="1909"/>
      <c r="N82" s="1909"/>
      <c r="O82" s="1909"/>
      <c r="P82" s="1909"/>
      <c r="Q82" s="1909"/>
      <c r="R82" s="1909"/>
      <c r="S82" s="1909"/>
      <c r="T82" s="1909"/>
      <c r="U82" s="1909"/>
      <c r="V82" s="1909"/>
    </row>
    <row r="83" spans="1:26" ht="12.75">
      <c r="A83" s="368" t="s">
        <v>1815</v>
      </c>
      <c r="B83" s="369" t="s">
        <v>427</v>
      </c>
      <c r="C83" s="373"/>
      <c r="D83" s="371"/>
      <c r="E83" s="372"/>
      <c r="F83" s="42"/>
      <c r="G83" s="42"/>
      <c r="H83" s="990"/>
      <c r="I83" s="308"/>
      <c r="J83" s="1909"/>
      <c r="K83" s="3422" t="s">
        <v>2853</v>
      </c>
      <c r="L83" s="2763" t="s">
        <v>2854</v>
      </c>
      <c r="M83" s="2753">
        <f ca="1">IF(N69&gt;10000,N69*0.5%,IF(AND(N69&gt;1000,N69&lt;=10000),N69*1%,IF(AND(N69&gt;100,N69&lt;=1000),N69*3%,IF(AND(N69&gt;10,N69&lt;=100),N69*5%,N69*8%))))</f>
        <v>151.15</v>
      </c>
      <c r="N83" s="53">
        <f ca="1">ROUND(M83,1)</f>
        <v>151.19999999999999</v>
      </c>
      <c r="O83" s="2756"/>
      <c r="P83" s="1909"/>
      <c r="Q83" s="1909"/>
      <c r="R83" s="1909"/>
      <c r="S83" s="1909"/>
      <c r="T83" s="1909"/>
      <c r="U83" s="1909"/>
      <c r="V83" s="1909"/>
    </row>
    <row r="84" spans="1:26" ht="12.75">
      <c r="A84" s="374" t="s">
        <v>1816</v>
      </c>
      <c r="B84" s="375" t="s">
        <v>428</v>
      </c>
      <c r="C84" s="376"/>
      <c r="D84" s="377" t="s">
        <v>19</v>
      </c>
      <c r="E84" s="2781" t="s">
        <v>2907</v>
      </c>
      <c r="F84" s="42"/>
      <c r="G84" s="42"/>
      <c r="H84" s="990"/>
      <c r="I84" s="308"/>
      <c r="J84" s="1909"/>
      <c r="K84" s="3422"/>
      <c r="L84" s="2763" t="s">
        <v>2855</v>
      </c>
      <c r="M84" s="2753">
        <f ca="1">IF(N69&gt;2000,N69*0.5%,IF(AND(N69&gt;1000,N69&lt;=2000),N69*0.6%,IF(AND(N69&gt;500,N69&lt;=1000),N69*0.7%,IF(AND(N69&gt;200,N69&lt;=500),N69*0.8%,IF(AND(N69&gt;100,N69&lt;=200),N69*0.9%,IF(AND(N69&gt;50,N69&lt;=100),N69*1%,IF(AND(N69&gt;20,N69&lt;=50),N69*1.5%,IF(AND(N69&gt;10,N69&lt;=20),N69*2%,IF(AND(N69&gt;1,N69&lt;=10),N69*2.5%)))))))))</f>
        <v>151.15</v>
      </c>
      <c r="N84" s="53">
        <f t="shared" ref="N84:N85" ca="1" si="2">ROUND(M84,1)</f>
        <v>151.19999999999999</v>
      </c>
      <c r="O84" s="1909" t="s">
        <v>2856</v>
      </c>
      <c r="P84" s="1909"/>
      <c r="Q84" s="1909"/>
      <c r="R84" s="1909"/>
      <c r="S84" s="1909"/>
      <c r="T84" s="1909"/>
      <c r="U84" s="1909"/>
      <c r="V84" s="1909"/>
    </row>
    <row r="85" spans="1:26" ht="12.75">
      <c r="A85" s="374" t="s">
        <v>1817</v>
      </c>
      <c r="B85" s="375" t="s">
        <v>429</v>
      </c>
      <c r="C85" s="378">
        <f ca="1">C81-C84</f>
        <v>28790</v>
      </c>
      <c r="D85" s="371" t="s">
        <v>19</v>
      </c>
      <c r="E85" s="372"/>
      <c r="F85" s="42"/>
      <c r="G85" s="42"/>
      <c r="H85" s="990"/>
      <c r="I85" s="308"/>
      <c r="J85" s="1909"/>
      <c r="K85" s="3422"/>
      <c r="L85" s="2763" t="s">
        <v>2857</v>
      </c>
      <c r="M85" s="2753">
        <f ca="1">IF(N69&gt;1000,N69*0.1%,IF(AND(N69&gt;500,N69&lt;=1000),N69*0.5%,IF(AND(N69&gt;50,N69&lt;=500),N69*1%,IF(AND(N69&gt;1,N69&lt;=50),N69*1.5%))))</f>
        <v>30.23</v>
      </c>
      <c r="N85" s="53">
        <f t="shared" ca="1" si="2"/>
        <v>30.2</v>
      </c>
      <c r="O85" s="1909" t="s">
        <v>2856</v>
      </c>
      <c r="P85" s="1909"/>
      <c r="Q85" s="1909"/>
      <c r="R85" s="1909"/>
      <c r="S85" s="1909"/>
      <c r="T85" s="1909"/>
      <c r="U85" s="1909"/>
      <c r="V85" s="1909"/>
    </row>
    <row r="86" spans="1:26" ht="13.5" thickBot="1">
      <c r="A86" s="379" t="s">
        <v>1818</v>
      </c>
      <c r="B86" s="380" t="s">
        <v>430</v>
      </c>
      <c r="C86" s="381">
        <f ca="1">IF(C85&lt;=0,0,ROUND(C85*D86,0))</f>
        <v>1583</v>
      </c>
      <c r="D86" s="382">
        <f>'数据-取费表'!B41</f>
        <v>5.5000000000000007E-2</v>
      </c>
      <c r="E86" s="383"/>
      <c r="F86" s="42"/>
      <c r="G86" s="42"/>
      <c r="H86" s="990"/>
      <c r="I86" s="308"/>
      <c r="J86" s="1909"/>
      <c r="K86" s="3422"/>
      <c r="L86" s="2763" t="s">
        <v>2858</v>
      </c>
      <c r="M86" s="2753">
        <f ca="1">N69*0.5%</f>
        <v>151.15</v>
      </c>
      <c r="N86" s="53">
        <f ca="1">IF(M86&gt;0.5,0.5,ROUND(M86,0))</f>
        <v>0.5</v>
      </c>
      <c r="O86" s="1909" t="s">
        <v>2859</v>
      </c>
      <c r="P86" s="1909"/>
      <c r="Q86" s="1909"/>
      <c r="R86" s="1909"/>
      <c r="S86" s="1909"/>
      <c r="T86" s="1909"/>
      <c r="U86" s="1909"/>
      <c r="V86" s="1909"/>
    </row>
    <row r="87" spans="1:26" s="1207" customFormat="1" ht="14.25" customHeight="1">
      <c r="A87" s="1262"/>
      <c r="B87" s="1263"/>
      <c r="C87" s="1264"/>
      <c r="D87" s="1265"/>
      <c r="E87" s="1266"/>
      <c r="F87" s="42"/>
      <c r="G87" s="42"/>
      <c r="H87" s="990"/>
      <c r="I87" s="308"/>
      <c r="J87" s="1909"/>
      <c r="K87" s="3422"/>
      <c r="L87" s="2763" t="s">
        <v>2860</v>
      </c>
      <c r="M87" s="2753">
        <f ca="1">IF(N69&gt;=10000,(8.25+(N69-10000)*0.01%),IF(AND(N69&gt;=8000,N69&lt;10000),(7.85+(N69-8000)*0.02%),IF(AND(N69&gt;=5000,N69&lt;8000),(6.65+(N69-5000)*0.04%),IF(AND(N69&gt;=2000,N69&lt;5000),(4.25+(PN69-2000)*0.08%),IF(AND(N69&gt;=1000,N69&lt;2000),(2.75+(N69-1000)*0.15%),IF(AND(N69&gt;=100,N69&lt;1000),(0.5+(N69-100)*0.25%),IF(AND(N69&gt;0,N69&lt;100),N69*0.5%)))))))</f>
        <v>10.273</v>
      </c>
      <c r="N87" s="53">
        <f ca="1">ROUND(M87*0.9,1)</f>
        <v>9.1999999999999993</v>
      </c>
      <c r="O87" s="2756"/>
      <c r="P87" s="1909"/>
      <c r="Q87" s="1909"/>
      <c r="R87" s="1909"/>
      <c r="S87" s="1909"/>
      <c r="T87" s="1909"/>
      <c r="U87" s="1909"/>
      <c r="V87" s="1909"/>
      <c r="W87" s="289"/>
      <c r="X87" s="289"/>
      <c r="Y87" s="289"/>
      <c r="Z87" s="289"/>
    </row>
    <row r="88" spans="1:26" s="1267" customFormat="1" ht="15" thickBot="1">
      <c r="A88" s="3461" t="s">
        <v>431</v>
      </c>
      <c r="B88" s="3462"/>
      <c r="C88" s="3462"/>
      <c r="D88" s="3462"/>
      <c r="E88" s="3462"/>
      <c r="F88" s="3462"/>
      <c r="G88" s="3462"/>
      <c r="H88" s="3462"/>
      <c r="I88" s="1268"/>
      <c r="J88" s="1917"/>
      <c r="K88" s="3422"/>
      <c r="L88" s="2763" t="s">
        <v>2861</v>
      </c>
      <c r="M88" s="2753">
        <f ca="1">IF(N69&gt;10000,N69*0.5%,IF(AND(N69&gt;5000,N69&lt;=10000),N69*1%,IF(AND(N69&gt;1000,N69&lt;=5000),N69*2%,IF(AND(N69&gt;200,N69&lt;=1000),N69*3%,N69*5%))))</f>
        <v>151.15</v>
      </c>
      <c r="N88" s="53">
        <f ca="1">ROUND(M88,1)</f>
        <v>151.19999999999999</v>
      </c>
      <c r="O88" s="2756"/>
      <c r="P88" s="1914"/>
      <c r="Q88" s="1914"/>
      <c r="R88" s="1914"/>
      <c r="S88" s="1914"/>
      <c r="T88" s="1914"/>
      <c r="U88" s="1914"/>
      <c r="V88" s="1914"/>
      <c r="W88" s="1918"/>
      <c r="X88" s="1918"/>
      <c r="Y88" s="1918"/>
      <c r="Z88" s="1918"/>
    </row>
    <row r="89" spans="1:26" s="1267" customFormat="1" ht="14.25">
      <c r="A89" s="3420" t="s">
        <v>422</v>
      </c>
      <c r="B89" s="3421"/>
      <c r="C89" s="981"/>
      <c r="D89" s="981" t="s">
        <v>423</v>
      </c>
      <c r="E89" s="384" t="s">
        <v>432</v>
      </c>
      <c r="F89" s="385"/>
      <c r="G89" s="385"/>
      <c r="H89" s="386"/>
      <c r="I89" s="1269"/>
      <c r="J89" s="1919"/>
      <c r="K89" s="3422"/>
      <c r="L89" s="2763" t="s">
        <v>27</v>
      </c>
      <c r="M89" s="2754"/>
      <c r="N89" s="53">
        <f ca="1">ROUND(SUM(N83:N88),0)</f>
        <v>494</v>
      </c>
      <c r="O89" s="2764">
        <f ca="1">N89/N69</f>
        <v>1.6341382732385046E-2</v>
      </c>
      <c r="P89" s="1914"/>
      <c r="Q89" s="1914"/>
      <c r="R89" s="1914"/>
      <c r="S89" s="1914"/>
      <c r="T89" s="1914"/>
      <c r="U89" s="1914"/>
      <c r="V89" s="1914"/>
      <c r="W89" s="1918"/>
      <c r="X89" s="1918"/>
      <c r="Y89" s="1918"/>
      <c r="Z89" s="1918"/>
    </row>
    <row r="90" spans="1:26" s="1267" customFormat="1" ht="14.25">
      <c r="A90" s="374" t="s">
        <v>1813</v>
      </c>
      <c r="B90" s="375" t="s">
        <v>433</v>
      </c>
      <c r="C90" s="378">
        <f ca="1">ROUND(D63/(1+'数据-取费表'!C42),0)</f>
        <v>28790</v>
      </c>
      <c r="D90" s="371" t="s">
        <v>19</v>
      </c>
      <c r="E90" s="978"/>
      <c r="F90" s="977"/>
      <c r="G90" s="977"/>
      <c r="H90" s="387"/>
      <c r="I90" s="1269"/>
      <c r="J90" s="1919"/>
      <c r="K90" s="1914"/>
      <c r="L90" s="1914"/>
      <c r="M90" s="1914"/>
      <c r="N90" s="1914"/>
      <c r="O90" s="1914"/>
      <c r="P90" s="1914"/>
      <c r="Q90" s="1914"/>
      <c r="R90" s="1914"/>
      <c r="S90" s="1914"/>
      <c r="T90" s="1914"/>
      <c r="U90" s="1914"/>
      <c r="V90" s="1914"/>
      <c r="W90" s="1918"/>
      <c r="X90" s="1918"/>
      <c r="Y90" s="1918"/>
      <c r="Z90" s="1918"/>
    </row>
    <row r="91" spans="1:26" s="1267" customFormat="1" ht="14.25">
      <c r="A91" s="374" t="s">
        <v>1819</v>
      </c>
      <c r="B91" s="345" t="s">
        <v>434</v>
      </c>
      <c r="C91" s="378">
        <f ca="1">C92+C96</f>
        <v>144</v>
      </c>
      <c r="D91" s="371" t="s">
        <v>19</v>
      </c>
      <c r="E91" s="978"/>
      <c r="F91" s="977"/>
      <c r="G91" s="977"/>
      <c r="H91" s="387"/>
      <c r="I91" s="1269"/>
      <c r="J91" s="1919"/>
      <c r="K91" s="1914"/>
      <c r="L91" s="1914"/>
      <c r="M91" s="1914"/>
      <c r="N91" s="1914"/>
      <c r="O91" s="1914"/>
      <c r="P91" s="1914"/>
      <c r="Q91" s="1914"/>
      <c r="R91" s="1914"/>
      <c r="S91" s="1914"/>
      <c r="T91" s="1914"/>
      <c r="U91" s="1914"/>
      <c r="V91" s="1914"/>
      <c r="W91" s="1918"/>
      <c r="X91" s="1918"/>
      <c r="Y91" s="1918"/>
      <c r="Z91" s="1918"/>
    </row>
    <row r="92" spans="1:26" s="1267" customFormat="1" ht="24">
      <c r="A92" s="388" t="s">
        <v>1820</v>
      </c>
      <c r="B92" s="369" t="s">
        <v>435</v>
      </c>
      <c r="C92" s="371">
        <f>ROUND(IF(G95="2016年5月1日后购买",C93/(1+'数据-取费表'!C30)+C94+C95,C93+C94+C95),0)</f>
        <v>0</v>
      </c>
      <c r="D92" s="371" t="s">
        <v>19</v>
      </c>
      <c r="E92" s="978"/>
      <c r="F92" s="977"/>
      <c r="G92" s="977"/>
      <c r="H92" s="387"/>
      <c r="I92" s="1269"/>
      <c r="J92" s="1919"/>
      <c r="K92" s="1914"/>
      <c r="L92" s="1914"/>
      <c r="M92" s="1914"/>
      <c r="N92" s="1914"/>
      <c r="O92" s="1914"/>
      <c r="P92" s="1914"/>
      <c r="Q92" s="1914"/>
      <c r="R92" s="1914"/>
      <c r="S92" s="1914"/>
      <c r="T92" s="1914"/>
      <c r="U92" s="1914"/>
      <c r="V92" s="1914"/>
      <c r="W92" s="1918"/>
      <c r="X92" s="1918"/>
      <c r="Y92" s="1918"/>
      <c r="Z92" s="1918"/>
    </row>
    <row r="93" spans="1:26" s="1267" customFormat="1" ht="14.25">
      <c r="A93" s="388" t="s">
        <v>1821</v>
      </c>
      <c r="B93" s="369" t="s">
        <v>436</v>
      </c>
      <c r="C93" s="389"/>
      <c r="D93" s="371" t="s">
        <v>19</v>
      </c>
      <c r="E93" s="390" t="s">
        <v>437</v>
      </c>
      <c r="F93" s="391"/>
      <c r="G93" s="390" t="s">
        <v>438</v>
      </c>
      <c r="H93" s="392">
        <v>5</v>
      </c>
      <c r="I93" s="11"/>
      <c r="J93" s="1914"/>
      <c r="K93" s="1914"/>
      <c r="L93" s="1914"/>
      <c r="M93" s="1914"/>
      <c r="N93" s="1914"/>
      <c r="O93" s="1914"/>
      <c r="P93" s="1914"/>
      <c r="Q93" s="1914"/>
      <c r="R93" s="1914"/>
      <c r="S93" s="1914"/>
      <c r="T93" s="1914"/>
      <c r="U93" s="1914"/>
      <c r="V93" s="1914"/>
      <c r="W93" s="1918"/>
      <c r="X93" s="1918"/>
      <c r="Y93" s="1918"/>
      <c r="Z93" s="1918"/>
    </row>
    <row r="94" spans="1:26" s="1267" customFormat="1" ht="24.75" customHeight="1">
      <c r="A94" s="388" t="s">
        <v>1822</v>
      </c>
      <c r="B94" s="393" t="s">
        <v>439</v>
      </c>
      <c r="C94" s="371">
        <f>IF(F93="购房发票",ROUND(C93*H93*5%,0),0)</f>
        <v>0</v>
      </c>
      <c r="D94" s="394">
        <v>0.05</v>
      </c>
      <c r="E94" s="3458" t="s">
        <v>440</v>
      </c>
      <c r="F94" s="3459"/>
      <c r="G94" s="3459"/>
      <c r="H94" s="3460"/>
      <c r="I94" s="1269"/>
      <c r="J94" s="1919"/>
      <c r="K94" s="1914"/>
      <c r="L94" s="1914"/>
      <c r="M94" s="1914"/>
      <c r="N94" s="1914"/>
      <c r="O94" s="1914"/>
      <c r="P94" s="1914"/>
      <c r="Q94" s="1914"/>
      <c r="R94" s="1914"/>
      <c r="S94" s="1914"/>
      <c r="T94" s="1914"/>
      <c r="U94" s="1914"/>
      <c r="V94" s="1914"/>
      <c r="W94" s="1918"/>
      <c r="X94" s="1918"/>
      <c r="Y94" s="1918"/>
      <c r="Z94" s="1918"/>
    </row>
    <row r="95" spans="1:26" s="1267" customFormat="1" ht="24.75" customHeight="1">
      <c r="A95" s="388" t="s">
        <v>1823</v>
      </c>
      <c r="B95" s="369" t="s">
        <v>441</v>
      </c>
      <c r="C95" s="371">
        <f>ROUND(IF(G95="个人买卖住房",0,IF(G95="2016年5月1日前购买",C93*D95,C93*D95/(1+'数据-取费表'!C42))),0)</f>
        <v>0</v>
      </c>
      <c r="D95" s="395">
        <f>'数据-取费表'!B48+'数据-取费表'!B49</f>
        <v>4.0500000000000001E-2</v>
      </c>
      <c r="E95" s="26" t="s">
        <v>442</v>
      </c>
      <c r="F95" s="396"/>
      <c r="G95" s="397"/>
      <c r="H95" s="986" t="str">
        <f>IF(G95="个人买卖住房","免征印花税"," ")</f>
        <v xml:space="preserve"> </v>
      </c>
      <c r="I95" s="1269"/>
      <c r="J95" s="1919"/>
      <c r="K95" s="1914"/>
      <c r="L95" s="1914"/>
      <c r="M95" s="1914"/>
      <c r="N95" s="1914"/>
      <c r="O95" s="1914"/>
      <c r="P95" s="1914"/>
      <c r="Q95" s="1914"/>
      <c r="R95" s="1914"/>
      <c r="S95" s="1914"/>
      <c r="T95" s="1914"/>
      <c r="U95" s="1914"/>
      <c r="V95" s="1914"/>
      <c r="W95" s="1918"/>
      <c r="X95" s="1918"/>
      <c r="Y95" s="1918"/>
      <c r="Z95" s="1918"/>
    </row>
    <row r="96" spans="1:26" s="1267" customFormat="1" ht="24.75" customHeight="1">
      <c r="A96" s="388" t="s">
        <v>1824</v>
      </c>
      <c r="B96" s="369" t="s">
        <v>443</v>
      </c>
      <c r="C96" s="398">
        <f ca="1">ROUND(D63*D96/(1+'数据-取费表'!C42),0)</f>
        <v>144</v>
      </c>
      <c r="D96" s="399">
        <f>'数据-取费表'!B43</f>
        <v>5.000000000000001E-3</v>
      </c>
      <c r="E96" s="3417" t="s">
        <v>2412</v>
      </c>
      <c r="F96" s="3418"/>
      <c r="G96" s="3418"/>
      <c r="H96" s="3419"/>
      <c r="I96" s="1270"/>
      <c r="J96" s="1920"/>
      <c r="K96" s="1914"/>
      <c r="L96" s="1914"/>
      <c r="M96" s="1914"/>
      <c r="N96" s="1914"/>
      <c r="O96" s="1914"/>
      <c r="P96" s="1914"/>
      <c r="Q96" s="1914"/>
      <c r="R96" s="1914"/>
      <c r="S96" s="1914"/>
      <c r="T96" s="1914"/>
      <c r="U96" s="1914"/>
      <c r="V96" s="1914"/>
      <c r="W96" s="1918"/>
      <c r="X96" s="1918"/>
      <c r="Y96" s="1918"/>
      <c r="Z96" s="1918"/>
    </row>
    <row r="97" spans="1:26" s="1267" customFormat="1" ht="14.25">
      <c r="A97" s="1543" t="s">
        <v>1825</v>
      </c>
      <c r="B97" s="375" t="s">
        <v>444</v>
      </c>
      <c r="C97" s="378">
        <f ca="1">C90-C91</f>
        <v>28646</v>
      </c>
      <c r="D97" s="371" t="s">
        <v>19</v>
      </c>
      <c r="E97" s="978"/>
      <c r="F97" s="977"/>
      <c r="G97" s="977"/>
      <c r="H97" s="387"/>
      <c r="I97" s="1269"/>
      <c r="J97" s="1919"/>
      <c r="K97" s="1914"/>
      <c r="L97" s="1914"/>
      <c r="M97" s="1914"/>
      <c r="N97" s="1914"/>
      <c r="O97" s="1914"/>
      <c r="P97" s="1914"/>
      <c r="Q97" s="1914"/>
      <c r="R97" s="1914"/>
      <c r="S97" s="1914"/>
      <c r="T97" s="1914"/>
      <c r="U97" s="1914"/>
      <c r="V97" s="1914"/>
      <c r="W97" s="1918"/>
      <c r="X97" s="1918"/>
      <c r="Y97" s="1918"/>
      <c r="Z97" s="1918"/>
    </row>
    <row r="98" spans="1:26" s="1267" customFormat="1" ht="24">
      <c r="A98" s="1543" t="s">
        <v>1826</v>
      </c>
      <c r="B98" s="375" t="s">
        <v>445</v>
      </c>
      <c r="C98" s="400">
        <f ca="1">IF(C97&lt;=0,0,C97/C91)</f>
        <v>198.93055555555554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19"/>
      <c r="K98" s="1914"/>
      <c r="L98" s="1914"/>
      <c r="M98" s="1914"/>
      <c r="N98" s="1914"/>
      <c r="O98" s="1914"/>
      <c r="P98" s="1914"/>
      <c r="Q98" s="1914"/>
      <c r="R98" s="1914"/>
      <c r="S98" s="1914"/>
      <c r="T98" s="1914"/>
      <c r="U98" s="1914"/>
      <c r="V98" s="1914"/>
      <c r="W98" s="1918"/>
      <c r="X98" s="1918"/>
      <c r="Y98" s="1918"/>
      <c r="Z98" s="1918"/>
    </row>
    <row r="99" spans="1:26" s="1267" customFormat="1" ht="24.75" thickBot="1">
      <c r="A99" s="1544" t="s">
        <v>1827</v>
      </c>
      <c r="B99" s="380" t="s">
        <v>446</v>
      </c>
      <c r="C99" s="401">
        <f ca="1">ROUND(IF(C97&lt;=0,0,IF(C98&gt;=200%,C97*60%-C91*35%,IF(C98&gt;=100%,C97*50%-C91*15%,IF(C98&gt;=50%,C97*40%-C91*5%,IF(C98&lt;50%,C97*30%,0))))),0)</f>
        <v>17137</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19"/>
      <c r="K99" s="1914"/>
      <c r="L99" s="1914"/>
      <c r="M99" s="1914"/>
      <c r="N99" s="1914"/>
      <c r="O99" s="1914"/>
      <c r="P99" s="1914"/>
      <c r="Q99" s="1914"/>
      <c r="R99" s="1914"/>
      <c r="S99" s="1914"/>
      <c r="T99" s="1914"/>
      <c r="U99" s="1914"/>
      <c r="V99" s="1914"/>
      <c r="W99" s="1918"/>
      <c r="X99" s="1918"/>
      <c r="Y99" s="1918"/>
      <c r="Z99" s="1918"/>
    </row>
    <row r="100" spans="1:26" s="1267" customFormat="1" ht="7.5" customHeight="1">
      <c r="A100" s="1271"/>
      <c r="B100" s="1272"/>
      <c r="C100" s="11"/>
      <c r="D100" s="11"/>
      <c r="E100" s="1272"/>
      <c r="F100" s="1272"/>
      <c r="G100" s="1272"/>
      <c r="H100" s="1273"/>
      <c r="I100" s="1270"/>
      <c r="J100" s="1920"/>
      <c r="K100" s="1914"/>
      <c r="L100" s="1914"/>
      <c r="M100" s="1914"/>
      <c r="N100" s="1914"/>
      <c r="O100" s="1914"/>
      <c r="P100" s="1914"/>
      <c r="Q100" s="1914"/>
      <c r="R100" s="1914"/>
      <c r="S100" s="1914"/>
      <c r="T100" s="1914"/>
      <c r="U100" s="1914"/>
      <c r="V100" s="1914"/>
      <c r="W100" s="1918"/>
      <c r="X100" s="1918"/>
      <c r="Y100" s="1918"/>
      <c r="Z100" s="1918"/>
    </row>
    <row r="101" spans="1:26" s="1267" customFormat="1" ht="15" thickBot="1">
      <c r="A101" s="3461" t="s">
        <v>447</v>
      </c>
      <c r="B101" s="3462"/>
      <c r="C101" s="3462"/>
      <c r="D101" s="3462"/>
      <c r="E101" s="3462"/>
      <c r="F101" s="3462"/>
      <c r="G101" s="3462"/>
      <c r="H101" s="3462"/>
      <c r="I101" s="11"/>
      <c r="J101" s="1914"/>
      <c r="K101" s="1914"/>
      <c r="L101" s="1914"/>
      <c r="M101" s="1914"/>
      <c r="N101" s="1914"/>
      <c r="O101" s="1914"/>
      <c r="P101" s="1914"/>
      <c r="Q101" s="1914"/>
      <c r="R101" s="1914"/>
      <c r="S101" s="1914"/>
      <c r="T101" s="1914"/>
      <c r="U101" s="1914"/>
      <c r="V101" s="1914"/>
      <c r="W101" s="1918"/>
      <c r="X101" s="1918"/>
      <c r="Y101" s="1918"/>
      <c r="Z101" s="1918"/>
    </row>
    <row r="102" spans="1:26" s="1267" customFormat="1" ht="14.25">
      <c r="A102" s="3420" t="s">
        <v>422</v>
      </c>
      <c r="B102" s="3421"/>
      <c r="C102" s="981"/>
      <c r="D102" s="981" t="s">
        <v>423</v>
      </c>
      <c r="E102" s="384" t="s">
        <v>432</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7" customFormat="1" ht="14.25">
      <c r="A103" s="374" t="s">
        <v>1813</v>
      </c>
      <c r="B103" s="375" t="s">
        <v>433</v>
      </c>
      <c r="C103" s="378">
        <f ca="1">ROUND(D63/(1+'数据-取费表'!C42),0)</f>
        <v>28790</v>
      </c>
      <c r="D103" s="371" t="s">
        <v>19</v>
      </c>
      <c r="E103" s="978"/>
      <c r="F103" s="977"/>
      <c r="G103" s="977"/>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7" customFormat="1" ht="14.25">
      <c r="A104" s="374" t="s">
        <v>1819</v>
      </c>
      <c r="B104" s="345" t="s">
        <v>434</v>
      </c>
      <c r="C104" s="378">
        <f ca="1">IF(H106="仅含出让金",C105+C108+C109+C110+C111+C112,C105+C109+C110+C111+C112)</f>
        <v>30092</v>
      </c>
      <c r="D104" s="408"/>
      <c r="E104" s="978"/>
      <c r="F104" s="977"/>
      <c r="G104" s="977"/>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7" customFormat="1" ht="14.25">
      <c r="A105" s="388" t="s">
        <v>1820</v>
      </c>
      <c r="B105" s="369" t="s">
        <v>448</v>
      </c>
      <c r="C105" s="398">
        <f>C106+C107</f>
        <v>29948</v>
      </c>
      <c r="D105" s="399"/>
      <c r="E105" s="972"/>
      <c r="F105" s="973"/>
      <c r="G105" s="973"/>
      <c r="H105" s="974"/>
      <c r="I105" s="11"/>
      <c r="J105" s="1914"/>
      <c r="K105" s="1914"/>
      <c r="L105" s="1914"/>
      <c r="M105" s="1914"/>
      <c r="N105" s="1914"/>
      <c r="O105" s="1914"/>
      <c r="P105" s="1914"/>
      <c r="Q105" s="1914"/>
      <c r="R105" s="1914"/>
      <c r="S105" s="1914"/>
      <c r="T105" s="1914"/>
      <c r="U105" s="1914"/>
      <c r="V105" s="1914"/>
      <c r="W105" s="1918"/>
      <c r="X105" s="1918"/>
      <c r="Y105" s="1918"/>
      <c r="Z105" s="1918"/>
    </row>
    <row r="106" spans="1:26" s="1267" customFormat="1" ht="14.25">
      <c r="A106" s="388" t="s">
        <v>1821</v>
      </c>
      <c r="B106" s="369" t="s">
        <v>449</v>
      </c>
      <c r="C106" s="409">
        <f>ROUND(4815*'数据-基础表'!A3/10000,0)</f>
        <v>28782</v>
      </c>
      <c r="D106" s="399"/>
      <c r="E106" s="410" t="s">
        <v>450</v>
      </c>
      <c r="F106" s="973"/>
      <c r="G106" s="411" t="s">
        <v>451</v>
      </c>
      <c r="H106" s="412" t="s">
        <v>3021</v>
      </c>
      <c r="I106" s="11"/>
      <c r="J106" s="1914"/>
      <c r="K106" s="3238" t="s">
        <v>2991</v>
      </c>
      <c r="L106" s="1914"/>
      <c r="M106" s="1914"/>
      <c r="N106" s="1914"/>
      <c r="O106" s="1914"/>
      <c r="P106" s="1914"/>
      <c r="Q106" s="1914"/>
      <c r="R106" s="1914"/>
      <c r="S106" s="1914"/>
      <c r="T106" s="1914"/>
      <c r="U106" s="1914"/>
      <c r="V106" s="1914"/>
      <c r="W106" s="1918"/>
      <c r="X106" s="1918"/>
      <c r="Y106" s="1918"/>
      <c r="Z106" s="1918"/>
    </row>
    <row r="107" spans="1:26" s="1267" customFormat="1" ht="14.25">
      <c r="A107" s="388" t="s">
        <v>1822</v>
      </c>
      <c r="B107" s="369" t="s">
        <v>441</v>
      </c>
      <c r="C107" s="398">
        <f>ROUND(C106*D107,0)</f>
        <v>1166</v>
      </c>
      <c r="D107" s="399">
        <f>'数据-取费表'!B48+'数据-取费表'!B49</f>
        <v>4.0500000000000001E-2</v>
      </c>
      <c r="E107" s="410" t="s">
        <v>452</v>
      </c>
      <c r="F107" s="973"/>
      <c r="G107" s="973"/>
      <c r="H107" s="974"/>
      <c r="I107" s="11"/>
      <c r="J107" s="1914"/>
      <c r="K107" s="1914"/>
      <c r="L107" s="1914"/>
      <c r="M107" s="1914"/>
      <c r="N107" s="1914"/>
      <c r="O107" s="1914"/>
      <c r="P107" s="1914"/>
      <c r="Q107" s="1914"/>
      <c r="R107" s="1914"/>
      <c r="S107" s="1914"/>
      <c r="T107" s="1914"/>
      <c r="U107" s="1914"/>
      <c r="V107" s="1914"/>
      <c r="W107" s="1918"/>
      <c r="X107" s="1918"/>
      <c r="Y107" s="1918"/>
      <c r="Z107" s="1918"/>
    </row>
    <row r="108" spans="1:26" s="1267" customFormat="1" ht="14.25">
      <c r="A108" s="388" t="s">
        <v>1824</v>
      </c>
      <c r="B108" s="369" t="s">
        <v>453</v>
      </c>
      <c r="C108" s="409"/>
      <c r="D108" s="399"/>
      <c r="E108" s="410" t="str">
        <f>IF(H106="-","土地取得成本中已包含该笔费用"," ")</f>
        <v xml:space="preserve"> </v>
      </c>
      <c r="F108" s="973"/>
      <c r="G108" s="3473" t="s">
        <v>2961</v>
      </c>
      <c r="H108" s="3474"/>
      <c r="I108" s="2853"/>
      <c r="J108" s="1914"/>
      <c r="K108" s="3238" t="s">
        <v>2992</v>
      </c>
      <c r="L108" s="1914"/>
      <c r="M108" s="1914"/>
      <c r="N108" s="1914"/>
      <c r="O108" s="1914"/>
      <c r="P108" s="1914"/>
      <c r="Q108" s="1914"/>
      <c r="R108" s="1914"/>
      <c r="S108" s="1914"/>
      <c r="T108" s="1914"/>
      <c r="U108" s="1914"/>
      <c r="V108" s="1914"/>
      <c r="W108" s="1918"/>
      <c r="X108" s="1918"/>
      <c r="Y108" s="1918"/>
      <c r="Z108" s="1918"/>
    </row>
    <row r="109" spans="1:26" s="1267" customFormat="1" ht="24" customHeight="1">
      <c r="A109" s="1545" t="s">
        <v>1828</v>
      </c>
      <c r="B109" s="369" t="s">
        <v>454</v>
      </c>
      <c r="C109" s="398">
        <f>IF(H109="——",IF(F1="现房",'剩余法-现房'!C18,0),I109)</f>
        <v>0</v>
      </c>
      <c r="D109" s="399"/>
      <c r="E109" s="3451" t="s">
        <v>455</v>
      </c>
      <c r="F109" s="3418"/>
      <c r="G109" s="3418"/>
      <c r="H109" s="1853" t="s">
        <v>942</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7" customFormat="1" ht="25.5" customHeight="1">
      <c r="A110" s="1545" t="s">
        <v>1829</v>
      </c>
      <c r="B110" s="369" t="s">
        <v>456</v>
      </c>
      <c r="C110" s="398">
        <f>ROUND((C105+C108+C109)*D110,0)</f>
        <v>0</v>
      </c>
      <c r="D110" s="3269">
        <v>0</v>
      </c>
      <c r="E110" s="3451" t="s">
        <v>457</v>
      </c>
      <c r="F110" s="3418"/>
      <c r="G110" s="3418"/>
      <c r="H110" s="3419"/>
      <c r="I110" s="11"/>
      <c r="J110" s="1914"/>
      <c r="K110" s="3239" t="s">
        <v>2993</v>
      </c>
      <c r="L110" s="1914"/>
      <c r="M110" s="1914"/>
      <c r="N110" s="1914"/>
      <c r="O110" s="1914"/>
      <c r="P110" s="1914"/>
      <c r="Q110" s="1914"/>
      <c r="R110" s="1914"/>
      <c r="S110" s="1914"/>
      <c r="T110" s="1914"/>
      <c r="U110" s="1914"/>
      <c r="V110" s="1914"/>
      <c r="W110" s="1918"/>
      <c r="X110" s="1918"/>
      <c r="Y110" s="1918"/>
      <c r="Z110" s="1918"/>
    </row>
    <row r="111" spans="1:26" s="1267" customFormat="1" ht="25.5" customHeight="1">
      <c r="A111" s="1545" t="s">
        <v>1830</v>
      </c>
      <c r="B111" s="369" t="s">
        <v>443</v>
      </c>
      <c r="C111" s="398">
        <f ca="1">ROUND(D63*D111/(1+'数据-取费表'!C42),0)</f>
        <v>144</v>
      </c>
      <c r="D111" s="399">
        <f>'数据-取费表'!B43</f>
        <v>5.000000000000001E-3</v>
      </c>
      <c r="E111" s="3417" t="s">
        <v>2412</v>
      </c>
      <c r="F111" s="3418"/>
      <c r="G111" s="3418"/>
      <c r="H111" s="3419"/>
      <c r="I111" s="11"/>
      <c r="J111" s="1914"/>
      <c r="K111" s="1914"/>
      <c r="L111" s="1914"/>
      <c r="M111" s="1914"/>
      <c r="N111" s="1914"/>
      <c r="O111" s="1914"/>
      <c r="P111" s="1914"/>
      <c r="Q111" s="1914"/>
      <c r="R111" s="1914"/>
      <c r="S111" s="1914"/>
      <c r="T111" s="1914"/>
      <c r="U111" s="1914"/>
      <c r="V111" s="1914"/>
      <c r="W111" s="1918"/>
      <c r="X111" s="1918"/>
      <c r="Y111" s="1918"/>
      <c r="Z111" s="1918"/>
    </row>
    <row r="112" spans="1:26" s="1267" customFormat="1" ht="25.5" customHeight="1">
      <c r="A112" s="1545" t="s">
        <v>1831</v>
      </c>
      <c r="B112" s="369" t="s">
        <v>458</v>
      </c>
      <c r="C112" s="398">
        <f>ROUND(C108*D112,0)</f>
        <v>0</v>
      </c>
      <c r="D112" s="399">
        <v>0.2</v>
      </c>
      <c r="E112" s="3451" t="s">
        <v>2435</v>
      </c>
      <c r="F112" s="3418"/>
      <c r="G112" s="3418"/>
      <c r="H112" s="3419"/>
      <c r="I112" s="11"/>
      <c r="J112" s="1914"/>
      <c r="K112" s="1914"/>
      <c r="L112" s="1914"/>
      <c r="M112" s="1914"/>
      <c r="N112" s="1914"/>
      <c r="O112" s="1914"/>
      <c r="P112" s="1914"/>
      <c r="Q112" s="1914"/>
      <c r="R112" s="1914"/>
      <c r="S112" s="1914"/>
      <c r="T112" s="1914"/>
      <c r="U112" s="1914"/>
      <c r="V112" s="1914"/>
      <c r="W112" s="1918"/>
      <c r="X112" s="1918"/>
      <c r="Y112" s="1918"/>
      <c r="Z112" s="1918"/>
    </row>
    <row r="113" spans="1:26" s="1267" customFormat="1" ht="14.25">
      <c r="A113" s="1543" t="s">
        <v>1825</v>
      </c>
      <c r="B113" s="375" t="s">
        <v>444</v>
      </c>
      <c r="C113" s="378">
        <f ca="1">ROUND(C103-C104,0)</f>
        <v>-1302</v>
      </c>
      <c r="D113" s="371" t="s">
        <v>19</v>
      </c>
      <c r="E113" s="978"/>
      <c r="F113" s="977"/>
      <c r="G113" s="977"/>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7" customFormat="1" ht="24">
      <c r="A114" s="1543" t="s">
        <v>1826</v>
      </c>
      <c r="B114" s="375" t="s">
        <v>445</v>
      </c>
      <c r="C114" s="400">
        <f ca="1">IF(C113&lt;=0,0,C113/C104)</f>
        <v>0</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7"/>
      <c r="G114" s="977"/>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7" customFormat="1" ht="24.75" thickBot="1">
      <c r="A115" s="1544" t="s">
        <v>1827</v>
      </c>
      <c r="B115" s="380" t="s">
        <v>446</v>
      </c>
      <c r="C115" s="401">
        <f ca="1">ROUND(IF(C113&lt;=0,0,IF(C114&gt;=200%,C113*60%-C104*35%,IF(C114&gt;=100%,C113*50%-C104*15%,IF(C114&gt;=50%,C113*40%-C104*5%,IF(C114&lt;50%,C113*30%,0))))),0)</f>
        <v>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15" zoomScaleNormal="80" zoomScaleSheetLayoutView="115" workbookViewId="0">
      <selection activeCell="G33" sqref="G33"/>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459</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31" s="1922" customFormat="1" ht="18" customHeight="1">
      <c r="A2" s="1981" t="s">
        <v>460</v>
      </c>
      <c r="B2" s="1985">
        <f ca="1">C36</f>
        <v>33860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f ca="1">ROUND(B2*10000/IF(B1="",'数据-汇总表'!E3,INDIRECT("'数据-取费表'!K"&amp;$K$1)),0)</f>
        <v>1968</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461</v>
      </c>
      <c r="B4" s="420">
        <f ca="1">ROUND(B2*10000/IF(B1="",'数据-汇总表'!D3,INDIRECT("'数据-取费表'!R"&amp;$K$1)),0)</f>
        <v>5665</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f ca="1">ROUND(B2/(IF(B1="",'数据-汇总表'!D3,INDIRECT("'数据-取费表'!R"&amp;$K$1))/666.67),0)</f>
        <v>378</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1832</v>
      </c>
      <c r="B6" s="2544"/>
      <c r="C6" s="2545">
        <f ca="1">SUM(C10:K10)</f>
        <v>95635</v>
      </c>
      <c r="D6" s="2544"/>
      <c r="E6" s="2544"/>
      <c r="F6" s="2544"/>
      <c r="G6" s="2544"/>
      <c r="H6" s="2544"/>
      <c r="I6" s="2544"/>
      <c r="J6" s="2544"/>
      <c r="K6" s="2546"/>
      <c r="L6" s="3191"/>
      <c r="M6" s="3191"/>
      <c r="N6" s="3191"/>
      <c r="O6" s="3191"/>
      <c r="P6" s="3191"/>
      <c r="Q6" s="3191"/>
      <c r="R6" s="3191"/>
      <c r="S6" s="3191"/>
      <c r="T6" s="3191"/>
      <c r="U6" s="3191"/>
      <c r="V6" s="3191"/>
      <c r="W6" s="3191"/>
      <c r="X6" s="3191"/>
      <c r="Y6" s="3191"/>
      <c r="Z6" s="3191"/>
    </row>
    <row r="7" spans="1:31" s="1993" customFormat="1" ht="15">
      <c r="A7" s="2547" t="s">
        <v>463</v>
      </c>
      <c r="B7" s="2548" t="s">
        <v>464</v>
      </c>
      <c r="C7" s="429" t="s">
        <v>3060</v>
      </c>
      <c r="D7" s="429" t="s">
        <v>3047</v>
      </c>
      <c r="E7" s="429" t="s">
        <v>3012</v>
      </c>
      <c r="F7" s="429" t="s">
        <v>35</v>
      </c>
      <c r="G7" s="429"/>
      <c r="H7" s="429"/>
      <c r="I7" s="429"/>
      <c r="J7" s="429"/>
      <c r="K7" s="430"/>
      <c r="AA7" s="1992"/>
      <c r="AB7" s="1992"/>
      <c r="AC7" s="1992"/>
      <c r="AD7" s="1992"/>
      <c r="AE7" s="1992"/>
    </row>
    <row r="8" spans="1:31" s="1995" customFormat="1" ht="13.5" customHeight="1">
      <c r="A8" s="792" t="s">
        <v>1835</v>
      </c>
      <c r="B8" s="258" t="s">
        <v>465</v>
      </c>
      <c r="C8" s="2549">
        <f>'不动产比较法-高层'!B3</f>
        <v>6545</v>
      </c>
      <c r="D8" s="2549">
        <f>'不动产比较法-洋房'!B3</f>
        <v>7114</v>
      </c>
      <c r="E8" s="2549">
        <f ca="1">'不动产收益法-商业'!B3</f>
        <v>10066</v>
      </c>
      <c r="F8" s="2549">
        <f ca="1">'不动产收益法-车库'!B3</f>
        <v>1032</v>
      </c>
      <c r="G8" s="2549"/>
      <c r="H8" s="2549"/>
      <c r="I8" s="2549"/>
      <c r="J8" s="2549"/>
      <c r="K8" s="2550"/>
      <c r="AA8" s="1994"/>
      <c r="AB8" s="1994"/>
      <c r="AC8" s="1994"/>
      <c r="AD8" s="1994"/>
      <c r="AE8" s="1994"/>
    </row>
    <row r="9" spans="1:31" s="1995" customFormat="1" ht="13.5" customHeight="1">
      <c r="A9" s="792" t="s">
        <v>1836</v>
      </c>
      <c r="B9" s="258" t="s">
        <v>466</v>
      </c>
      <c r="C9" s="434">
        <f>SUMIF('数据-汇总表'!$C19:$C33,'剩余法-待开发'!C7,'数据-汇总表'!$E19:$E33)</f>
        <v>36384.65</v>
      </c>
      <c r="D9" s="434">
        <f>SUMIF('数据-汇总表'!$C19:$C33,'剩余法-待开发'!D7,'数据-汇总表'!$E19:$E33)</f>
        <v>86678.549999999988</v>
      </c>
      <c r="E9" s="434">
        <f>SUMIF('数据-汇总表'!$C19:$C33,'剩余法-待开发'!E7,'数据-汇总表'!$E19:$E33)</f>
        <v>6189.98</v>
      </c>
      <c r="F9" s="434">
        <f>SUMIF('数据-汇总表'!$C19:$C33,'剩余法-待开发'!F7,'数据-汇总表'!$E19:$E33)</f>
        <v>38058.699999999997</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4"/>
      <c r="AB9" s="1994"/>
      <c r="AC9" s="1994"/>
      <c r="AD9" s="1994"/>
      <c r="AE9" s="1994"/>
    </row>
    <row r="10" spans="1:31" s="1995" customFormat="1" ht="13.5" customHeight="1" thickBot="1">
      <c r="A10" s="2551" t="s">
        <v>1837</v>
      </c>
      <c r="B10" s="2537" t="s">
        <v>467</v>
      </c>
      <c r="C10" s="2736">
        <f>'不动产比较法-高层'!B2</f>
        <v>23814</v>
      </c>
      <c r="D10" s="2736">
        <f>'不动产比较法-洋房'!B2</f>
        <v>61663</v>
      </c>
      <c r="E10" s="2736">
        <f ca="1">'不动产收益法-商业'!B2</f>
        <v>6231</v>
      </c>
      <c r="F10" s="2552">
        <f ca="1">'不动产收益法-车库'!B2</f>
        <v>3927</v>
      </c>
      <c r="G10" s="2552"/>
      <c r="H10" s="2552"/>
      <c r="I10" s="2552"/>
      <c r="J10" s="2552"/>
      <c r="K10" s="2553"/>
      <c r="AA10" s="1994"/>
      <c r="AB10" s="1994"/>
      <c r="AC10" s="1994"/>
      <c r="AD10" s="1994"/>
      <c r="AE10" s="1994"/>
    </row>
    <row r="11" spans="1:31" s="1991" customFormat="1" ht="16.5" customHeight="1">
      <c r="A11" s="2554" t="s">
        <v>1833</v>
      </c>
      <c r="B11" s="2544"/>
      <c r="C11" s="2544"/>
      <c r="D11" s="2544"/>
      <c r="E11" s="2544"/>
      <c r="F11" s="2544"/>
      <c r="G11" s="2544"/>
      <c r="H11" s="2544"/>
      <c r="I11" s="2544"/>
      <c r="J11" s="2544"/>
      <c r="K11" s="2546"/>
      <c r="L11" s="3191"/>
      <c r="M11" s="3191"/>
      <c r="N11" s="3191"/>
      <c r="O11" s="3191"/>
      <c r="P11" s="3191"/>
      <c r="Q11" s="3191"/>
      <c r="R11" s="3191"/>
      <c r="S11" s="3191"/>
      <c r="T11" s="3191"/>
      <c r="U11" s="3191"/>
      <c r="V11" s="3191"/>
      <c r="W11" s="3191"/>
      <c r="X11" s="3191"/>
      <c r="Y11" s="3191"/>
      <c r="Z11" s="3191"/>
    </row>
    <row r="12" spans="1:31" s="1965" customFormat="1" ht="13.5" customHeight="1">
      <c r="A12" s="2555" t="s">
        <v>463</v>
      </c>
      <c r="B12" s="2527" t="s">
        <v>464</v>
      </c>
      <c r="C12" s="2556" t="s">
        <v>468</v>
      </c>
      <c r="D12" s="2523" t="s">
        <v>469</v>
      </c>
      <c r="E12" s="2523" t="s">
        <v>470</v>
      </c>
      <c r="F12" s="2523" t="s">
        <v>471</v>
      </c>
      <c r="G12" s="2527"/>
      <c r="H12" s="2528"/>
      <c r="I12" s="2528"/>
      <c r="J12" s="2528"/>
      <c r="K12" s="2529"/>
      <c r="L12" s="3192"/>
      <c r="M12" s="3192"/>
      <c r="N12" s="3192"/>
      <c r="O12" s="3192"/>
      <c r="P12" s="3192"/>
      <c r="Q12" s="3192"/>
      <c r="R12" s="3192"/>
      <c r="S12" s="3192"/>
      <c r="T12" s="3192"/>
      <c r="U12" s="3192"/>
      <c r="V12" s="3192"/>
      <c r="W12" s="3192"/>
      <c r="X12" s="3192"/>
      <c r="Y12" s="3192"/>
      <c r="Z12" s="3192"/>
    </row>
    <row r="13" spans="1:31" s="1996" customFormat="1" ht="13.5" customHeight="1">
      <c r="A13" s="2557" t="s">
        <v>1838</v>
      </c>
      <c r="B13" s="2558" t="s">
        <v>472</v>
      </c>
      <c r="C13" s="443">
        <f ca="1">IF(B1="",'数据-取费表'!P16,INDIRECT("'数据-取费表'!p"&amp;$K$1)+INDIRECT("'数据-取费表'!t"&amp;$K$1))</f>
        <v>30381</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1839</v>
      </c>
      <c r="B14" s="2558" t="s">
        <v>473</v>
      </c>
      <c r="C14" s="53">
        <f ca="1">ROUND(C13*F14,0)</f>
        <v>911</v>
      </c>
      <c r="D14" s="2559"/>
      <c r="E14" s="2560"/>
      <c r="F14" s="2562">
        <f>'数据-取费表'!B33</f>
        <v>0.03</v>
      </c>
      <c r="G14" s="2527" t="s">
        <v>474</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1840</v>
      </c>
      <c r="B15" s="2558" t="s">
        <v>475</v>
      </c>
      <c r="C15" s="53">
        <f ca="1">ROUND(IF(B1="",SUMIF('数据-取费表'!C:C,"住宅",'数据-取费表'!P:P)*F15,IF(INDIRECT("'数据-取费表'!c"&amp;$K$1)="住宅",INDIRECT("'数据-取费表'!P"&amp;$K$1)*F15,0)),0)</f>
        <v>665</v>
      </c>
      <c r="D15" s="2559"/>
      <c r="E15" s="2560"/>
      <c r="F15" s="2562">
        <f>'数据-取费表'!B34</f>
        <v>0.03</v>
      </c>
      <c r="G15" s="2527" t="s">
        <v>476</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1841</v>
      </c>
      <c r="B16" s="2558" t="s">
        <v>477</v>
      </c>
      <c r="C16" s="53">
        <f ca="1">ROUND(D16*E16/10000,0)</f>
        <v>3441</v>
      </c>
      <c r="D16" s="2559">
        <f ca="1">IF(B1="",'数据-汇总表'!E3,INDIRECT("'数据-取费表'!K"&amp;$K$1)+INDIRECT("'数据-取费表'!S"&amp;$K$1))</f>
        <v>172032.86</v>
      </c>
      <c r="E16" s="53">
        <f>'数据-取费表'!B35</f>
        <v>200</v>
      </c>
      <c r="F16" s="2562"/>
      <c r="G16" s="2527"/>
      <c r="H16" s="2528"/>
      <c r="I16" s="2528"/>
      <c r="J16" s="2528"/>
      <c r="K16" s="2529"/>
      <c r="AA16" s="1996"/>
      <c r="AB16" s="1996"/>
      <c r="AC16" s="1996"/>
      <c r="AD16" s="1996"/>
      <c r="AE16" s="1996"/>
    </row>
    <row r="17" spans="1:26" s="1996" customFormat="1" ht="13.5" customHeight="1">
      <c r="A17" s="2557" t="s">
        <v>1842</v>
      </c>
      <c r="B17" s="2558" t="s">
        <v>478</v>
      </c>
      <c r="C17" s="2563">
        <f ca="1">ROUND(C13*F17,0)</f>
        <v>456</v>
      </c>
      <c r="D17" s="468"/>
      <c r="E17" s="2563"/>
      <c r="F17" s="2564">
        <f>'数据-取费表'!B36</f>
        <v>1.4999999999999999E-2</v>
      </c>
      <c r="G17" s="258" t="s">
        <v>479</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1843</v>
      </c>
      <c r="B18" s="2566" t="s">
        <v>480</v>
      </c>
      <c r="C18" s="2567">
        <f ca="1">SUM(C13:C17)</f>
        <v>35854</v>
      </c>
      <c r="D18" s="2568"/>
      <c r="E18" s="461"/>
      <c r="F18" s="461"/>
      <c r="G18" s="2531" t="s">
        <v>2413</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1844</v>
      </c>
      <c r="B19" s="2566" t="s">
        <v>481</v>
      </c>
      <c r="C19" s="2523">
        <f ca="1">ROUND(D19*E19/10000,0)</f>
        <v>0</v>
      </c>
      <c r="D19" s="2569">
        <f ca="1">D16</f>
        <v>172032.86</v>
      </c>
      <c r="E19" s="2523">
        <f>'数据-取费表'!B32</f>
        <v>0</v>
      </c>
      <c r="F19" s="461"/>
      <c r="G19" s="2527" t="s">
        <v>482</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1845</v>
      </c>
      <c r="B20" s="2566" t="s">
        <v>483</v>
      </c>
      <c r="C20" s="2523">
        <f ca="1">C21+C22-IF(B1="",'数据-取费表'!B29,IF(G20="已全部缴纳",C21+C22,H20))</f>
        <v>1290</v>
      </c>
      <c r="D20" s="2569"/>
      <c r="E20" s="2523"/>
      <c r="F20" s="2570"/>
      <c r="G20" s="2770" t="s">
        <v>3572</v>
      </c>
      <c r="H20" s="2525">
        <v>0</v>
      </c>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1846</v>
      </c>
      <c r="B21" s="2558" t="s">
        <v>484</v>
      </c>
      <c r="C21" s="53">
        <f ca="1">ROUND(D21*E21/10000,0)</f>
        <v>923</v>
      </c>
      <c r="D21" s="2559">
        <f ca="1">IF(B1="",'数据-汇总表'!E5,IF(INDIRECT("'数据-取费表'!c"&amp;$K$1)="住宅",INDIRECT("'数据-取费表'!k"&amp;$K$1),0))</f>
        <v>123063.19999999998</v>
      </c>
      <c r="E21" s="53">
        <f>'数据-取费表'!B27</f>
        <v>75</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1847</v>
      </c>
      <c r="B22" s="2558" t="s">
        <v>485</v>
      </c>
      <c r="C22" s="53">
        <f ca="1">ROUND(D22*E22/10000,0)</f>
        <v>367</v>
      </c>
      <c r="D22" s="2559">
        <f ca="1">IF(B1="",'数据-汇总表'!E6,IF(INDIRECT("'数据-取费表'!c"&amp;$K$1)="住宅",INDIRECT("'数据-取费表'!s"&amp;$K$1),INDIRECT("'数据-取费表'!k"&amp;$K$1)+INDIRECT("'数据-取费表'!s"&amp;$K$1)))</f>
        <v>48969.66</v>
      </c>
      <c r="E22" s="53">
        <f>'数据-取费表'!B28</f>
        <v>75</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1848</v>
      </c>
      <c r="B23" s="2742" t="s">
        <v>2813</v>
      </c>
      <c r="C23" s="2567">
        <f ca="1">ROUND((C18+C19+C20)*F23,0)</f>
        <v>557</v>
      </c>
      <c r="D23" s="461"/>
      <c r="E23" s="461"/>
      <c r="F23" s="2571">
        <f>'数据-取费表'!B37</f>
        <v>1.4999999999999999E-2</v>
      </c>
      <c r="G23" s="2527" t="s">
        <v>2414</v>
      </c>
      <c r="H23" s="2528"/>
      <c r="I23" s="2528"/>
      <c r="J23" s="2528"/>
      <c r="K23" s="2529"/>
      <c r="L23" s="3193"/>
      <c r="M23" s="3193"/>
      <c r="N23" s="3193"/>
      <c r="O23" s="1997"/>
      <c r="P23" s="1997"/>
      <c r="Q23" s="1997"/>
      <c r="R23" s="1997"/>
      <c r="S23" s="1997"/>
      <c r="T23" s="1997"/>
      <c r="U23" s="1997"/>
      <c r="V23" s="1997"/>
      <c r="W23" s="1997"/>
      <c r="X23" s="1997"/>
      <c r="Y23" s="1997"/>
      <c r="Z23" s="1997"/>
    </row>
    <row r="24" spans="1:26" s="1996" customFormat="1" ht="13.5" customHeight="1">
      <c r="A24" s="2565" t="s">
        <v>1849</v>
      </c>
      <c r="B24" s="2742" t="s">
        <v>2816</v>
      </c>
      <c r="C24" s="2567">
        <f ca="1">ROUND(C6*F24,0)</f>
        <v>1435</v>
      </c>
      <c r="D24" s="468"/>
      <c r="E24" s="466"/>
      <c r="F24" s="2571">
        <f>'数据-取费表'!B38</f>
        <v>1.4999999999999999E-2</v>
      </c>
      <c r="G24" s="2536" t="s">
        <v>492</v>
      </c>
      <c r="H24" s="2530"/>
      <c r="I24" s="2530"/>
      <c r="J24" s="2530"/>
      <c r="K24" s="276"/>
      <c r="L24" s="3193"/>
      <c r="M24" s="3193"/>
      <c r="N24" s="3193"/>
      <c r="O24" s="1997"/>
      <c r="P24" s="1997"/>
      <c r="Q24" s="1997"/>
      <c r="R24" s="1997"/>
      <c r="S24" s="1997"/>
      <c r="T24" s="1997"/>
      <c r="U24" s="1997"/>
      <c r="V24" s="1997"/>
      <c r="W24" s="1997"/>
      <c r="X24" s="1997"/>
      <c r="Y24" s="1997"/>
      <c r="Z24" s="1997"/>
    </row>
    <row r="25" spans="1:26" s="1999" customFormat="1" ht="13.5" customHeight="1">
      <c r="A25" s="2565" t="s">
        <v>1850</v>
      </c>
      <c r="B25" s="2742" t="s">
        <v>2814</v>
      </c>
      <c r="C25" s="460">
        <f>ROUND(F25/(1+'数据-取费表'!C42),4)</f>
        <v>3.8600000000000002E-2</v>
      </c>
      <c r="D25" s="455" t="s">
        <v>2808</v>
      </c>
      <c r="E25" s="462"/>
      <c r="F25" s="2571">
        <f>IF(项目基本情况!B8="出让",0,'数据-取费表'!B48+'数据-取费表'!B49)</f>
        <v>4.0500000000000001E-2</v>
      </c>
      <c r="G25" s="2535" t="s">
        <v>2276</v>
      </c>
      <c r="H25" s="2528"/>
      <c r="I25" s="2528"/>
      <c r="J25" s="2528"/>
      <c r="K25" s="2529"/>
      <c r="L25" s="3194"/>
      <c r="M25" s="3194"/>
      <c r="N25" s="3194"/>
      <c r="O25" s="3194"/>
      <c r="P25" s="3194"/>
      <c r="Q25" s="3194"/>
      <c r="R25" s="3194"/>
      <c r="S25" s="3194"/>
      <c r="T25" s="3194"/>
      <c r="U25" s="3194"/>
      <c r="V25" s="3194"/>
      <c r="W25" s="3194"/>
      <c r="X25" s="3194"/>
      <c r="Y25" s="3194"/>
      <c r="Z25" s="3194"/>
    </row>
    <row r="26" spans="1:26" s="1998" customFormat="1" ht="13.5" customHeight="1">
      <c r="A26" s="2565" t="s">
        <v>1851</v>
      </c>
      <c r="B26" s="2743" t="s">
        <v>2815</v>
      </c>
      <c r="C26" s="2572">
        <f ca="1">C28</f>
        <v>2337</v>
      </c>
      <c r="D26" s="460">
        <f ca="1">C27</f>
        <v>0.1278</v>
      </c>
      <c r="E26" s="462" t="s">
        <v>488</v>
      </c>
      <c r="F26" s="464">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3"/>
      <c r="M26" s="3193"/>
      <c r="N26" s="3193"/>
      <c r="O26" s="3193"/>
      <c r="P26" s="3193"/>
      <c r="Q26" s="3193"/>
      <c r="R26" s="3193"/>
      <c r="S26" s="3193"/>
      <c r="T26" s="3193"/>
      <c r="U26" s="3193"/>
      <c r="V26" s="3193"/>
      <c r="W26" s="3193"/>
      <c r="X26" s="3193"/>
      <c r="Y26" s="3193"/>
      <c r="Z26" s="3193"/>
    </row>
    <row r="27" spans="1:26" s="2000" customFormat="1" ht="13.5" customHeight="1">
      <c r="A27" s="792" t="s">
        <v>1846</v>
      </c>
      <c r="B27" s="2573" t="s">
        <v>489</v>
      </c>
      <c r="C27" s="2574">
        <f ca="1">ROUND(IF('数据-取费表'!B22&lt;=1,(1+C25)*F26*'数据-取费表'!B24,(1+C25)*(POWER((1+F26),'数据-取费表'!B24)-1)),4)</f>
        <v>0.1278</v>
      </c>
      <c r="D27" s="465"/>
      <c r="E27" s="466"/>
      <c r="F27" s="467"/>
      <c r="G27" s="2422" t="str">
        <f>IF('数据-取费表'!B22&lt;=1,"（1+取得税费率/(1+5%)）×年利率×建设期","（1+取得税费率）/(1+5%)×((1+年利率)^建设期-1)")</f>
        <v>（1+取得税费率）/(1+5%)×((1+年利率)^建设期-1)</v>
      </c>
      <c r="H27" s="2530"/>
      <c r="I27" s="2530"/>
      <c r="J27" s="2530"/>
      <c r="K27" s="276"/>
      <c r="L27" s="3195"/>
      <c r="M27" s="3195"/>
      <c r="N27" s="3195"/>
      <c r="O27" s="3195"/>
      <c r="P27" s="3195"/>
      <c r="Q27" s="3195"/>
      <c r="R27" s="3195"/>
      <c r="S27" s="3195"/>
      <c r="T27" s="3195"/>
      <c r="U27" s="3195"/>
      <c r="V27" s="3195"/>
      <c r="W27" s="3195"/>
      <c r="X27" s="3195"/>
      <c r="Y27" s="3195"/>
      <c r="Z27" s="3195"/>
    </row>
    <row r="28" spans="1:26" s="2000" customFormat="1" ht="13.5" customHeight="1">
      <c r="A28" s="792" t="s">
        <v>1847</v>
      </c>
      <c r="B28" s="2573" t="s">
        <v>2817</v>
      </c>
      <c r="C28" s="2575">
        <f ca="1">ROUND(IF('数据-取费表'!B22&lt;=1,(C18+C19+C20+C23+C24)*F26*'数据-取费表'!B24/2,(C18+C19+C20+C23+C24)*(POWER((1+F26),'数据-取费表'!B24/2)-1)),0)</f>
        <v>2337</v>
      </c>
      <c r="D28" s="465"/>
      <c r="E28" s="466"/>
      <c r="F28" s="467"/>
      <c r="G28" s="2422" t="str">
        <f>IF('数据-取费表'!B22&lt;=1,"（1）-（4）项×年利率×建设期÷2","（1）-（4）项×((1+年利率)^(建设期÷2)-1)")</f>
        <v>（1）-（4）项×((1+年利率)^(建设期÷2)-1)</v>
      </c>
      <c r="H28" s="2530"/>
      <c r="I28" s="2530"/>
      <c r="J28" s="2530"/>
      <c r="K28" s="276"/>
      <c r="L28" s="3195"/>
      <c r="M28" s="3195"/>
      <c r="N28" s="3195"/>
      <c r="O28" s="3195"/>
      <c r="P28" s="3195"/>
      <c r="Q28" s="3195"/>
      <c r="R28" s="3195"/>
      <c r="S28" s="3195"/>
      <c r="T28" s="3195"/>
      <c r="U28" s="3195"/>
      <c r="V28" s="3195"/>
      <c r="W28" s="3195"/>
      <c r="X28" s="3195"/>
      <c r="Y28" s="3195"/>
      <c r="Z28" s="3195"/>
    </row>
    <row r="29" spans="1:26" s="2000" customFormat="1" ht="13.5" customHeight="1">
      <c r="A29" s="2576" t="s">
        <v>1852</v>
      </c>
      <c r="B29" s="2566" t="s">
        <v>490</v>
      </c>
      <c r="C29" s="2567">
        <f ca="1">ROUND(C6*F29/(1+'数据-取费表'!C42),0)</f>
        <v>5009</v>
      </c>
      <c r="D29" s="461"/>
      <c r="E29" s="461"/>
      <c r="F29" s="2744">
        <f>'数据-取费表'!B41</f>
        <v>5.5000000000000007E-2</v>
      </c>
      <c r="G29" s="2536" t="s">
        <v>491</v>
      </c>
      <c r="H29" s="2528"/>
      <c r="I29" s="2528"/>
      <c r="J29" s="2528"/>
      <c r="K29" s="2529"/>
      <c r="L29" s="3195"/>
      <c r="M29" s="3195"/>
      <c r="N29" s="3195"/>
      <c r="O29" s="3195"/>
      <c r="P29" s="3195"/>
      <c r="Q29" s="3195"/>
      <c r="R29" s="3195"/>
      <c r="S29" s="3195"/>
      <c r="T29" s="3195"/>
      <c r="U29" s="3195"/>
      <c r="V29" s="3195"/>
      <c r="W29" s="3195"/>
      <c r="X29" s="3195"/>
      <c r="Y29" s="3195"/>
      <c r="Z29" s="3195"/>
    </row>
    <row r="30" spans="1:26" s="2001" customFormat="1" ht="13.5" customHeight="1">
      <c r="A30" s="1561" t="s">
        <v>1853</v>
      </c>
      <c r="B30" s="2577" t="s">
        <v>493</v>
      </c>
      <c r="C30" s="2572">
        <f ca="1">C31</f>
        <v>46482</v>
      </c>
      <c r="D30" s="470">
        <f ca="1">C32</f>
        <v>0.16639999999999999</v>
      </c>
      <c r="E30" s="462" t="s">
        <v>488</v>
      </c>
      <c r="F30" s="464"/>
      <c r="G30" s="2535" t="s">
        <v>2935</v>
      </c>
      <c r="H30" s="2528"/>
      <c r="I30" s="2528"/>
      <c r="J30" s="2528"/>
      <c r="K30" s="2529"/>
      <c r="L30" s="3196"/>
      <c r="M30" s="3196"/>
      <c r="N30" s="3196"/>
      <c r="O30" s="3196"/>
      <c r="P30" s="3196"/>
      <c r="Q30" s="3196"/>
      <c r="R30" s="3196"/>
      <c r="S30" s="3196"/>
      <c r="T30" s="3196"/>
      <c r="U30" s="3196"/>
      <c r="V30" s="3196"/>
      <c r="W30" s="3196"/>
      <c r="X30" s="3196"/>
      <c r="Y30" s="3196"/>
      <c r="Z30" s="3196"/>
    </row>
    <row r="31" spans="1:26" s="2000" customFormat="1" ht="13.5" customHeight="1">
      <c r="A31" s="792" t="s">
        <v>1846</v>
      </c>
      <c r="B31" s="2573"/>
      <c r="C31" s="443">
        <f ca="1">C18+C19+C20+C23+C24+C26+C29</f>
        <v>46482</v>
      </c>
      <c r="D31" s="465"/>
      <c r="E31" s="466"/>
      <c r="F31" s="467"/>
      <c r="G31" s="258"/>
      <c r="H31" s="2530"/>
      <c r="I31" s="2530"/>
      <c r="J31" s="2530"/>
      <c r="K31" s="276"/>
      <c r="L31" s="3195"/>
      <c r="M31" s="3195"/>
      <c r="N31" s="3195"/>
      <c r="O31" s="3195"/>
      <c r="P31" s="3195"/>
      <c r="Q31" s="3195"/>
      <c r="R31" s="3195"/>
      <c r="S31" s="3195"/>
      <c r="T31" s="3195"/>
      <c r="U31" s="3195"/>
      <c r="V31" s="3195"/>
      <c r="W31" s="3195"/>
      <c r="X31" s="3195"/>
      <c r="Y31" s="3195"/>
      <c r="Z31" s="3195"/>
    </row>
    <row r="32" spans="1:26" s="2000" customFormat="1" ht="13.5" customHeight="1">
      <c r="A32" s="792" t="s">
        <v>1847</v>
      </c>
      <c r="B32" s="2573"/>
      <c r="C32" s="53">
        <f ca="1">ROUND(C25+D26,4)</f>
        <v>0.16639999999999999</v>
      </c>
      <c r="D32" s="465"/>
      <c r="E32" s="466"/>
      <c r="F32" s="467"/>
      <c r="G32" s="258"/>
      <c r="H32" s="2530"/>
      <c r="I32" s="2530"/>
      <c r="J32" s="2530"/>
      <c r="K32" s="276"/>
      <c r="L32" s="3195"/>
      <c r="M32" s="3195"/>
      <c r="N32" s="3195"/>
      <c r="O32" s="3195"/>
      <c r="P32" s="3195"/>
      <c r="Q32" s="3195"/>
      <c r="R32" s="3195"/>
      <c r="S32" s="3195"/>
      <c r="T32" s="3195"/>
      <c r="U32" s="3195"/>
      <c r="V32" s="3195"/>
      <c r="W32" s="3195"/>
      <c r="X32" s="3195"/>
      <c r="Y32" s="3195"/>
      <c r="Z32" s="3195"/>
    </row>
    <row r="33" spans="1:26" s="2002" customFormat="1" ht="13.5" customHeight="1">
      <c r="A33" s="2741" t="s">
        <v>2812</v>
      </c>
      <c r="B33" s="2739" t="s">
        <v>2810</v>
      </c>
      <c r="C33" s="471">
        <f ca="1">C35</f>
        <v>5088</v>
      </c>
      <c r="D33" s="460">
        <f ca="1">C34</f>
        <v>0.13500000000000001</v>
      </c>
      <c r="E33" s="462" t="s">
        <v>488</v>
      </c>
      <c r="F33" s="472">
        <f ca="1">IF(B1="",'数据-取费表'!Q16,INDIRECT("'数据-取费表'!q"&amp;$K$1))</f>
        <v>0.13</v>
      </c>
      <c r="G33" s="2531"/>
      <c r="H33" s="2532"/>
      <c r="I33" s="2532"/>
      <c r="J33" s="2532"/>
      <c r="K33" s="2533"/>
      <c r="L33" s="3197"/>
      <c r="M33" s="3197"/>
      <c r="N33" s="3197"/>
      <c r="O33" s="3197"/>
      <c r="P33" s="3197"/>
      <c r="Q33" s="3197"/>
      <c r="R33" s="3197"/>
      <c r="S33" s="3197"/>
      <c r="T33" s="3197"/>
      <c r="U33" s="3197"/>
      <c r="V33" s="3197"/>
      <c r="W33" s="3197"/>
      <c r="X33" s="3197"/>
      <c r="Y33" s="3197"/>
      <c r="Z33" s="3197"/>
    </row>
    <row r="34" spans="1:26" s="2003" customFormat="1" ht="13.5" customHeight="1">
      <c r="A34" s="368" t="s">
        <v>1846</v>
      </c>
      <c r="B34" s="2578" t="s">
        <v>494</v>
      </c>
      <c r="C34" s="465">
        <f ca="1">ROUND((1+C25)*F33,4)</f>
        <v>0.13500000000000001</v>
      </c>
      <c r="D34" s="465"/>
      <c r="E34" s="466"/>
      <c r="F34" s="473"/>
      <c r="G34" s="258" t="s">
        <v>2277</v>
      </c>
      <c r="H34" s="2530"/>
      <c r="I34" s="2530"/>
      <c r="J34" s="2530"/>
      <c r="K34" s="276"/>
      <c r="L34" s="3198"/>
      <c r="M34" s="3198"/>
      <c r="N34" s="3198"/>
      <c r="O34" s="3198"/>
      <c r="P34" s="3198"/>
      <c r="Q34" s="3198"/>
      <c r="R34" s="3198"/>
      <c r="S34" s="3198"/>
      <c r="T34" s="3198"/>
      <c r="U34" s="3198"/>
      <c r="V34" s="3198"/>
      <c r="W34" s="3198"/>
      <c r="X34" s="3198"/>
      <c r="Y34" s="3198"/>
      <c r="Z34" s="3198"/>
    </row>
    <row r="35" spans="1:26" s="2003" customFormat="1" ht="13.5" customHeight="1" thickBot="1">
      <c r="A35" s="1562" t="s">
        <v>1847</v>
      </c>
      <c r="B35" s="2740" t="s">
        <v>2818</v>
      </c>
      <c r="C35" s="1554">
        <f ca="1">ROUND((C18+C19+C20+C23+C24)*F33,0)</f>
        <v>5088</v>
      </c>
      <c r="D35" s="1555"/>
      <c r="E35" s="2579"/>
      <c r="F35" s="1556"/>
      <c r="G35" s="2537"/>
      <c r="H35" s="2538"/>
      <c r="I35" s="2538"/>
      <c r="J35" s="2538"/>
      <c r="K35" s="2539"/>
      <c r="L35" s="3198"/>
      <c r="M35" s="3198"/>
      <c r="N35" s="3198"/>
      <c r="O35" s="3198"/>
      <c r="P35" s="3198"/>
      <c r="Q35" s="3198"/>
      <c r="R35" s="3198"/>
      <c r="S35" s="3198"/>
      <c r="T35" s="3198"/>
      <c r="U35" s="3198"/>
      <c r="V35" s="3198"/>
      <c r="W35" s="3198"/>
      <c r="X35" s="3198"/>
      <c r="Y35" s="3198"/>
      <c r="Z35" s="3198"/>
    </row>
    <row r="36" spans="1:26" s="1965" customFormat="1" ht="13.5" customHeight="1" thickBot="1">
      <c r="A36" s="281" t="s">
        <v>1834</v>
      </c>
      <c r="B36" s="2541"/>
      <c r="C36" s="2580">
        <f ca="1">ROUND((C6-C30-C33)/(1+D30+D33),0)</f>
        <v>33860</v>
      </c>
      <c r="D36" s="2541"/>
      <c r="E36" s="2541"/>
      <c r="F36" s="2541"/>
      <c r="G36" s="2540" t="s">
        <v>2819</v>
      </c>
      <c r="H36" s="2541"/>
      <c r="I36" s="2541"/>
      <c r="J36" s="2541"/>
      <c r="K36" s="2542"/>
      <c r="L36" s="3192"/>
      <c r="M36" s="3192"/>
      <c r="N36" s="3192"/>
      <c r="O36" s="3192"/>
      <c r="P36" s="3192"/>
      <c r="Q36" s="3192"/>
      <c r="R36" s="3192"/>
      <c r="S36" s="3192"/>
      <c r="T36" s="3192"/>
      <c r="U36" s="3192"/>
      <c r="V36" s="3192"/>
      <c r="W36" s="3192"/>
      <c r="X36" s="3192"/>
      <c r="Y36" s="3192"/>
      <c r="Z36" s="3192"/>
    </row>
    <row r="37" spans="1:26" s="1995" customFormat="1">
      <c r="A37" s="3199"/>
      <c r="C37" s="3200"/>
      <c r="E37" s="3199"/>
    </row>
    <row r="38" spans="1:26" s="1995" customFormat="1" ht="12.75" customHeight="1">
      <c r="A38" s="3199"/>
      <c r="C38" s="3200"/>
      <c r="E38" s="3199"/>
    </row>
    <row r="39" spans="1:26" s="1995" customFormat="1">
      <c r="A39" s="3199"/>
      <c r="C39" s="3200"/>
      <c r="E39" s="3199"/>
    </row>
    <row r="40" spans="1:26" s="1995" customFormat="1">
      <c r="A40" s="3199"/>
      <c r="C40" s="3200"/>
      <c r="E40" s="3199"/>
    </row>
    <row r="41" spans="1:26" s="1995" customFormat="1">
      <c r="A41" s="3199"/>
      <c r="C41" s="3200"/>
      <c r="E41" s="3199"/>
    </row>
    <row r="42" spans="1:26" s="1995" customFormat="1">
      <c r="A42" s="3199"/>
      <c r="C42" s="3200"/>
      <c r="E42" s="3199"/>
    </row>
    <row r="43" spans="1:26" s="1995" customFormat="1">
      <c r="A43" s="3199"/>
      <c r="C43" s="3200"/>
      <c r="E43" s="3199"/>
    </row>
    <row r="44" spans="1:26" s="1995" customFormat="1">
      <c r="A44" s="3199"/>
      <c r="C44" s="3200"/>
      <c r="E44" s="3199"/>
    </row>
    <row r="45" spans="1:26" s="1995" customFormat="1">
      <c r="A45" s="3199"/>
      <c r="C45" s="3200"/>
      <c r="E45" s="3199"/>
    </row>
    <row r="46" spans="1:26" s="1995" customFormat="1">
      <c r="A46" s="3199"/>
      <c r="C46" s="3200"/>
      <c r="E46" s="3199"/>
    </row>
    <row r="47" spans="1:26" s="1995" customFormat="1">
      <c r="A47" s="3199"/>
      <c r="C47" s="3200"/>
      <c r="E47" s="3199"/>
    </row>
    <row r="48" spans="1:26" s="1995" customFormat="1">
      <c r="A48" s="3199"/>
      <c r="C48" s="3200"/>
      <c r="E48" s="3199"/>
    </row>
    <row r="49" spans="1:5" s="1995" customFormat="1">
      <c r="A49" s="3199"/>
      <c r="C49" s="3200"/>
      <c r="E49" s="3199"/>
    </row>
    <row r="50" spans="1:5" s="1995" customFormat="1">
      <c r="A50" s="3199"/>
      <c r="C50" s="3200"/>
      <c r="E50" s="3199"/>
    </row>
    <row r="51" spans="1:5" s="1995" customFormat="1">
      <c r="A51" s="3199"/>
      <c r="C51" s="3200"/>
      <c r="E51" s="3199"/>
    </row>
    <row r="52" spans="1:5" s="1995" customFormat="1">
      <c r="A52" s="3199"/>
      <c r="C52" s="3200"/>
      <c r="E52" s="3199"/>
    </row>
    <row r="53" spans="1:5" s="1995" customFormat="1">
      <c r="A53" s="3199"/>
      <c r="C53" s="3200"/>
      <c r="E53" s="3199"/>
    </row>
    <row r="54" spans="1:5" s="1995" customFormat="1">
      <c r="A54" s="3199"/>
      <c r="C54" s="3200"/>
      <c r="E54" s="3199"/>
    </row>
    <row r="55" spans="1:5" s="1995" customFormat="1">
      <c r="A55" s="3199"/>
      <c r="C55" s="3200"/>
      <c r="E55" s="3199"/>
    </row>
    <row r="56" spans="1:5" s="1995" customFormat="1">
      <c r="A56" s="3199"/>
      <c r="C56" s="3200"/>
      <c r="E56" s="3199"/>
    </row>
    <row r="57" spans="1:5" s="1995" customFormat="1">
      <c r="A57" s="3199"/>
      <c r="C57" s="3200"/>
      <c r="E57" s="3199"/>
    </row>
    <row r="58" spans="1:5" s="1995" customFormat="1">
      <c r="A58" s="3199"/>
      <c r="C58" s="3200"/>
      <c r="E58" s="3199"/>
    </row>
    <row r="59" spans="1:5" s="1995" customFormat="1">
      <c r="A59" s="3199"/>
      <c r="C59" s="3200"/>
      <c r="E59" s="3199"/>
    </row>
    <row r="60" spans="1:5" s="1995" customFormat="1">
      <c r="A60" s="3199"/>
      <c r="C60" s="3200"/>
      <c r="E60" s="3199"/>
    </row>
    <row r="61" spans="1:5" s="1995" customFormat="1">
      <c r="A61" s="3199"/>
      <c r="C61" s="3200"/>
      <c r="E61" s="3199"/>
    </row>
    <row r="62" spans="1:5" s="1995" customFormat="1">
      <c r="A62" s="3199"/>
      <c r="C62" s="3200"/>
      <c r="E62" s="3199"/>
    </row>
    <row r="63" spans="1:5" s="1995" customFormat="1">
      <c r="A63" s="3199"/>
      <c r="C63" s="3200"/>
      <c r="E63" s="3199"/>
    </row>
    <row r="64" spans="1:5" s="1995" customFormat="1">
      <c r="A64" s="3199"/>
      <c r="C64" s="3200"/>
      <c r="E64" s="3199"/>
    </row>
    <row r="65" spans="1:5" s="1995" customFormat="1">
      <c r="A65" s="3199"/>
      <c r="C65" s="3200"/>
      <c r="E65" s="3199"/>
    </row>
    <row r="66" spans="1:5" s="1995" customFormat="1">
      <c r="A66" s="3199"/>
      <c r="C66" s="3200"/>
      <c r="E66" s="3199"/>
    </row>
    <row r="67" spans="1:5" s="1995" customFormat="1">
      <c r="A67" s="3199"/>
      <c r="C67" s="3200"/>
      <c r="E67" s="3199"/>
    </row>
    <row r="68" spans="1:5" s="1995" customFormat="1">
      <c r="A68" s="3199"/>
      <c r="C68" s="3200"/>
      <c r="E68" s="3199"/>
    </row>
    <row r="69" spans="1:5" s="1995" customFormat="1">
      <c r="A69" s="3199"/>
      <c r="C69" s="3200"/>
      <c r="E69" s="3199"/>
    </row>
    <row r="70" spans="1:5" s="1995" customFormat="1">
      <c r="A70" s="3199"/>
      <c r="C70" s="3200"/>
      <c r="E70" s="3199"/>
    </row>
    <row r="71" spans="1:5" s="1995" customFormat="1">
      <c r="A71" s="3199"/>
      <c r="C71" s="3200"/>
      <c r="E71" s="3199"/>
    </row>
    <row r="72" spans="1:5" s="1995" customFormat="1">
      <c r="A72" s="3199"/>
      <c r="C72" s="3200"/>
      <c r="E72" s="3199"/>
    </row>
    <row r="73" spans="1:5" s="1995" customFormat="1">
      <c r="A73" s="3199"/>
      <c r="C73" s="3200"/>
      <c r="E73" s="3199"/>
    </row>
    <row r="74" spans="1:5" s="1995" customFormat="1">
      <c r="A74" s="3199"/>
      <c r="C74" s="3200"/>
      <c r="E74" s="3199"/>
    </row>
    <row r="75" spans="1:5" s="1995" customFormat="1">
      <c r="A75" s="3199"/>
      <c r="C75" s="3200"/>
      <c r="E75" s="3199"/>
    </row>
    <row r="76" spans="1:5" s="1995" customFormat="1">
      <c r="A76" s="3199"/>
      <c r="C76" s="3200"/>
      <c r="E76" s="3199"/>
    </row>
    <row r="77" spans="1:5" s="1995" customFormat="1">
      <c r="A77" s="3199"/>
      <c r="C77" s="3200"/>
      <c r="E77" s="3199"/>
    </row>
    <row r="78" spans="1:5" s="1995" customFormat="1">
      <c r="A78" s="3199"/>
      <c r="C78" s="3200"/>
      <c r="E78" s="3199"/>
    </row>
    <row r="79" spans="1:5" s="1995" customFormat="1">
      <c r="A79" s="3199"/>
      <c r="C79" s="3200"/>
      <c r="E79" s="3199"/>
    </row>
    <row r="80" spans="1:5" s="1995" customFormat="1">
      <c r="A80" s="3199"/>
      <c r="C80" s="3200"/>
      <c r="E80" s="3199"/>
    </row>
    <row r="81" spans="1:5" s="1995" customFormat="1">
      <c r="A81" s="3199"/>
      <c r="C81" s="3200"/>
      <c r="E81" s="3199"/>
    </row>
    <row r="82" spans="1:5" s="1995" customFormat="1">
      <c r="A82" s="3199"/>
      <c r="C82" s="3200"/>
      <c r="E82" s="3199"/>
    </row>
    <row r="83" spans="1:5" s="1995" customFormat="1">
      <c r="A83" s="3199"/>
      <c r="C83" s="3200"/>
      <c r="E83" s="3199"/>
    </row>
    <row r="84" spans="1:5" s="1995" customFormat="1">
      <c r="A84" s="3199"/>
      <c r="C84" s="3200"/>
      <c r="E84" s="3199"/>
    </row>
    <row r="85" spans="1:5" s="1995" customFormat="1">
      <c r="A85" s="3199"/>
      <c r="C85" s="3200"/>
      <c r="E85" s="3199"/>
    </row>
    <row r="86" spans="1:5" s="1995" customFormat="1">
      <c r="A86" s="3199"/>
      <c r="C86" s="3200"/>
      <c r="E86" s="3199"/>
    </row>
    <row r="87" spans="1:5" s="1995" customFormat="1">
      <c r="A87" s="3199"/>
      <c r="C87" s="3200"/>
      <c r="E87" s="3199"/>
    </row>
    <row r="88" spans="1:5" s="1995" customFormat="1">
      <c r="A88" s="3199"/>
      <c r="C88" s="3200"/>
      <c r="E88" s="3199"/>
    </row>
    <row r="89" spans="1:5" s="1995" customFormat="1">
      <c r="A89" s="3199"/>
      <c r="C89" s="3200"/>
      <c r="E89" s="3199"/>
    </row>
    <row r="90" spans="1:5" s="1995" customFormat="1">
      <c r="A90" s="3199"/>
      <c r="C90" s="3200"/>
      <c r="E90" s="3199"/>
    </row>
    <row r="91" spans="1:5" s="1995" customFormat="1">
      <c r="A91" s="3199"/>
      <c r="C91" s="3200"/>
      <c r="E91" s="3199"/>
    </row>
    <row r="92" spans="1:5" s="1995" customFormat="1">
      <c r="A92" s="3199"/>
      <c r="C92" s="3200"/>
      <c r="E92" s="3199"/>
    </row>
    <row r="93" spans="1:5" s="1995" customFormat="1">
      <c r="A93" s="3199"/>
      <c r="C93" s="3200"/>
      <c r="E93" s="3199"/>
    </row>
    <row r="94" spans="1:5" s="1995" customFormat="1">
      <c r="A94" s="3199"/>
      <c r="C94" s="3200"/>
      <c r="E94" s="3199"/>
    </row>
    <row r="95" spans="1:5" s="1995" customFormat="1">
      <c r="A95" s="3199"/>
      <c r="C95" s="3200"/>
      <c r="E95" s="3199"/>
    </row>
    <row r="96" spans="1:5" s="1995" customFormat="1">
      <c r="A96" s="3199"/>
      <c r="C96" s="3200"/>
      <c r="E96" s="3199"/>
    </row>
    <row r="97" spans="1:5" s="1995" customFormat="1">
      <c r="A97" s="3199"/>
      <c r="C97" s="3200"/>
      <c r="E97" s="3199"/>
    </row>
    <row r="98" spans="1:5" s="1995" customFormat="1">
      <c r="A98" s="3199"/>
      <c r="C98" s="3200"/>
      <c r="E98" s="3199"/>
    </row>
    <row r="99" spans="1:5" s="1995" customFormat="1">
      <c r="A99" s="3199"/>
      <c r="C99" s="3200"/>
      <c r="E99" s="3199"/>
    </row>
    <row r="100" spans="1:5" s="1995" customFormat="1">
      <c r="A100" s="3199"/>
      <c r="C100" s="3200"/>
      <c r="E100" s="3199"/>
    </row>
    <row r="101" spans="1:5" s="1995" customFormat="1">
      <c r="A101" s="3199"/>
      <c r="C101" s="3200"/>
      <c r="E101" s="3199"/>
    </row>
    <row r="102" spans="1:5" s="1995" customFormat="1">
      <c r="A102" s="3199"/>
      <c r="C102" s="3200"/>
      <c r="E102" s="3199"/>
    </row>
    <row r="103" spans="1:5" s="1995" customFormat="1">
      <c r="A103" s="3199"/>
      <c r="C103" s="3200"/>
      <c r="E103" s="3199"/>
    </row>
    <row r="104" spans="1:5" s="1995" customFormat="1">
      <c r="A104" s="3199"/>
      <c r="C104" s="3200"/>
      <c r="E104" s="3199"/>
    </row>
    <row r="105" spans="1:5" s="1995" customFormat="1">
      <c r="A105" s="3199"/>
      <c r="C105" s="3200"/>
      <c r="E105" s="3199"/>
    </row>
    <row r="106" spans="1:5" s="1995" customFormat="1">
      <c r="A106" s="3199"/>
      <c r="C106" s="3200"/>
      <c r="E106" s="3199"/>
    </row>
    <row r="107" spans="1:5" s="1995" customFormat="1">
      <c r="A107" s="3199"/>
      <c r="C107" s="3200"/>
      <c r="E107" s="3199"/>
    </row>
    <row r="108" spans="1:5" s="1995" customFormat="1">
      <c r="A108" s="3199"/>
      <c r="C108" s="3200"/>
      <c r="E108" s="3199"/>
    </row>
    <row r="109" spans="1:5" s="1995" customFormat="1">
      <c r="A109" s="3199"/>
      <c r="C109" s="3200"/>
      <c r="E109" s="3199"/>
    </row>
    <row r="110" spans="1:5" s="1995" customFormat="1">
      <c r="A110" s="3199"/>
      <c r="C110" s="3200"/>
      <c r="E110" s="3199"/>
    </row>
    <row r="111" spans="1:5" s="1995" customFormat="1">
      <c r="A111" s="3199"/>
      <c r="C111" s="3200"/>
      <c r="E111" s="3199"/>
    </row>
    <row r="112" spans="1:5" s="1995" customFormat="1">
      <c r="A112" s="3199"/>
      <c r="C112" s="3200"/>
      <c r="E112" s="3199"/>
    </row>
    <row r="113" spans="1:5" s="1995" customFormat="1">
      <c r="A113" s="3199"/>
      <c r="C113" s="3200"/>
      <c r="E113" s="3199"/>
    </row>
    <row r="114" spans="1:5" s="1995" customFormat="1">
      <c r="A114" s="3199"/>
      <c r="C114" s="3200"/>
      <c r="E114" s="3199"/>
    </row>
    <row r="115" spans="1:5" s="1995" customFormat="1">
      <c r="A115" s="3199"/>
      <c r="C115" s="3200"/>
      <c r="E115" s="3199"/>
    </row>
    <row r="116" spans="1:5" s="1995" customFormat="1">
      <c r="A116" s="3199"/>
      <c r="C116" s="3200"/>
      <c r="E116" s="3199"/>
    </row>
    <row r="117" spans="1:5" s="1995" customFormat="1">
      <c r="A117" s="3199"/>
      <c r="C117" s="3200"/>
      <c r="E117" s="3199"/>
    </row>
    <row r="118" spans="1:5" s="1995" customFormat="1">
      <c r="A118" s="3199"/>
      <c r="C118" s="3200"/>
      <c r="E118" s="3199"/>
    </row>
    <row r="119" spans="1:5" s="1995" customFormat="1">
      <c r="A119" s="3199"/>
      <c r="C119" s="3200"/>
      <c r="E119" s="3199"/>
    </row>
    <row r="120" spans="1:5" s="1995" customFormat="1">
      <c r="A120" s="3199"/>
      <c r="C120" s="3200"/>
      <c r="E120" s="3199"/>
    </row>
    <row r="121" spans="1:5" s="1995" customFormat="1">
      <c r="A121" s="3199"/>
      <c r="C121" s="3200"/>
      <c r="E121" s="3199"/>
    </row>
    <row r="122" spans="1:5" s="1995" customFormat="1">
      <c r="A122" s="3199"/>
      <c r="C122" s="3200"/>
      <c r="E122" s="3199"/>
    </row>
    <row r="123" spans="1:5" s="1995" customFormat="1">
      <c r="A123" s="3199"/>
      <c r="C123" s="3200"/>
      <c r="E123" s="3199"/>
    </row>
    <row r="124" spans="1:5" s="1995" customFormat="1">
      <c r="A124" s="3199"/>
      <c r="C124" s="3200"/>
      <c r="E124" s="3199"/>
    </row>
    <row r="125" spans="1:5" s="1995" customFormat="1">
      <c r="A125" s="3199"/>
      <c r="C125" s="3200"/>
      <c r="E125" s="3199"/>
    </row>
    <row r="126" spans="1:5" s="1995" customFormat="1">
      <c r="A126" s="3199"/>
      <c r="C126" s="3200"/>
      <c r="E126" s="3199"/>
    </row>
    <row r="127" spans="1:5" s="1995" customFormat="1">
      <c r="A127" s="3199"/>
      <c r="C127" s="3200"/>
      <c r="E127" s="3199"/>
    </row>
    <row r="128" spans="1:5" s="1995" customFormat="1">
      <c r="A128" s="3199"/>
      <c r="C128" s="3200"/>
      <c r="E128" s="3199"/>
    </row>
    <row r="129" spans="1:5" s="1995" customFormat="1">
      <c r="A129" s="3199"/>
      <c r="C129" s="3200"/>
      <c r="E129" s="3199"/>
    </row>
    <row r="130" spans="1:5" s="1995" customFormat="1">
      <c r="A130" s="3199"/>
      <c r="C130" s="3200"/>
      <c r="E130" s="3199"/>
    </row>
    <row r="131" spans="1:5" s="1995" customFormat="1">
      <c r="A131" s="3199"/>
      <c r="C131" s="3200"/>
      <c r="E131" s="3199"/>
    </row>
    <row r="132" spans="1:5" s="1995" customFormat="1">
      <c r="A132" s="3199"/>
      <c r="C132" s="3200"/>
      <c r="E132" s="3199"/>
    </row>
    <row r="133" spans="1:5" s="1995" customFormat="1">
      <c r="A133" s="3199"/>
      <c r="C133" s="3200"/>
      <c r="E133" s="3199"/>
    </row>
    <row r="134" spans="1:5" s="1995" customFormat="1">
      <c r="A134" s="3199"/>
      <c r="C134" s="3200"/>
      <c r="E134" s="3199"/>
    </row>
    <row r="135" spans="1:5" s="1995" customFormat="1">
      <c r="A135" s="3199"/>
      <c r="C135" s="3200"/>
      <c r="E135" s="3199"/>
    </row>
    <row r="136" spans="1:5" s="1995" customFormat="1">
      <c r="A136" s="3199"/>
      <c r="C136" s="3200"/>
      <c r="E136" s="3199"/>
    </row>
    <row r="137" spans="1:5" s="1995" customFormat="1">
      <c r="A137" s="3199"/>
      <c r="C137" s="3200"/>
      <c r="E137" s="3199"/>
    </row>
    <row r="138" spans="1:5" s="1995" customFormat="1">
      <c r="A138" s="3199"/>
      <c r="C138" s="3200"/>
      <c r="E138" s="3199"/>
    </row>
    <row r="139" spans="1:5" s="1995" customFormat="1">
      <c r="A139" s="3199"/>
      <c r="C139" s="3200"/>
      <c r="E139" s="3199"/>
    </row>
    <row r="140" spans="1:5" s="1995" customFormat="1">
      <c r="A140" s="3199"/>
      <c r="C140" s="3200"/>
      <c r="E140" s="3199"/>
    </row>
    <row r="141" spans="1:5" s="1995" customFormat="1">
      <c r="A141" s="3199"/>
      <c r="C141" s="3200"/>
      <c r="E141" s="3199"/>
    </row>
    <row r="142" spans="1:5" s="1995" customFormat="1">
      <c r="A142" s="3199"/>
      <c r="C142" s="3200"/>
      <c r="E142" s="3199"/>
    </row>
    <row r="143" spans="1:5" s="1995" customFormat="1">
      <c r="A143" s="3199"/>
      <c r="C143" s="3200"/>
      <c r="E143" s="3199"/>
    </row>
    <row r="144" spans="1:5" s="1995" customFormat="1">
      <c r="A144" s="3199"/>
      <c r="C144" s="3200"/>
      <c r="E144" s="3199"/>
    </row>
    <row r="145" spans="1:5" s="1995" customFormat="1">
      <c r="A145" s="3199"/>
      <c r="C145" s="3200"/>
      <c r="E145" s="3199"/>
    </row>
    <row r="146" spans="1:5" s="1995" customFormat="1">
      <c r="A146" s="3199"/>
      <c r="C146" s="3200"/>
      <c r="E146" s="3199"/>
    </row>
    <row r="147" spans="1:5" s="1995" customFormat="1">
      <c r="A147" s="3199"/>
      <c r="C147" s="3200"/>
      <c r="E147" s="3199"/>
    </row>
    <row r="148" spans="1:5" s="1995" customFormat="1">
      <c r="A148" s="3199"/>
      <c r="C148" s="3200"/>
      <c r="E148" s="3199"/>
    </row>
    <row r="149" spans="1:5" s="1995" customFormat="1">
      <c r="A149" s="3199"/>
      <c r="C149" s="3200"/>
      <c r="E149" s="3199"/>
    </row>
    <row r="150" spans="1:5" s="1995" customFormat="1">
      <c r="A150" s="3199"/>
      <c r="C150" s="3200"/>
      <c r="E150" s="3199"/>
    </row>
    <row r="151" spans="1:5" s="1995" customFormat="1">
      <c r="A151" s="3199"/>
      <c r="C151" s="3200"/>
      <c r="E151" s="3199"/>
    </row>
    <row r="152" spans="1:5" s="1995" customFormat="1">
      <c r="A152" s="3199"/>
      <c r="C152" s="3200"/>
      <c r="E152" s="3199"/>
    </row>
    <row r="153" spans="1:5" s="1995" customFormat="1">
      <c r="A153" s="3199"/>
      <c r="C153" s="3200"/>
      <c r="E153" s="3199"/>
    </row>
    <row r="154" spans="1:5" s="1995" customFormat="1">
      <c r="A154" s="3199"/>
      <c r="C154" s="3200"/>
      <c r="E154" s="3199"/>
    </row>
    <row r="155" spans="1:5" s="1995" customFormat="1">
      <c r="A155" s="3199"/>
      <c r="C155" s="3200"/>
      <c r="E155" s="3199"/>
    </row>
    <row r="156" spans="1:5" s="1995" customFormat="1">
      <c r="A156" s="3199"/>
      <c r="C156" s="3200"/>
      <c r="E156" s="3199"/>
    </row>
    <row r="157" spans="1:5" s="1995" customFormat="1">
      <c r="A157" s="3199"/>
      <c r="C157" s="3200"/>
      <c r="E157" s="3199"/>
    </row>
    <row r="158" spans="1:5" s="1995" customFormat="1">
      <c r="A158" s="3199"/>
      <c r="C158" s="3200"/>
      <c r="E158" s="3199"/>
    </row>
    <row r="159" spans="1:5" s="1995" customFormat="1">
      <c r="A159" s="3199"/>
      <c r="C159" s="3200"/>
      <c r="E159" s="3199"/>
    </row>
    <row r="160" spans="1:5" s="1995" customFormat="1">
      <c r="A160" s="3199"/>
      <c r="C160" s="3200"/>
      <c r="E160" s="3199"/>
    </row>
    <row r="161" spans="1:5" s="1995" customFormat="1">
      <c r="A161" s="3199"/>
      <c r="C161" s="3200"/>
      <c r="E161" s="3199"/>
    </row>
    <row r="162" spans="1:5" s="1995" customFormat="1">
      <c r="A162" s="3199"/>
      <c r="C162" s="3200"/>
      <c r="E162" s="3199"/>
    </row>
    <row r="163" spans="1:5" s="1995" customFormat="1">
      <c r="A163" s="3199"/>
      <c r="C163" s="3200"/>
      <c r="E163" s="3199"/>
    </row>
    <row r="164" spans="1:5" s="1995" customFormat="1">
      <c r="A164" s="3199"/>
      <c r="C164" s="3200"/>
      <c r="E164" s="3199"/>
    </row>
    <row r="165" spans="1:5" s="1995" customFormat="1">
      <c r="A165" s="3199"/>
      <c r="C165" s="3200"/>
      <c r="E165" s="3199"/>
    </row>
    <row r="166" spans="1:5" s="1995" customFormat="1">
      <c r="A166" s="3199"/>
      <c r="C166" s="3200"/>
      <c r="E166" s="3199"/>
    </row>
    <row r="167" spans="1:5" s="1995" customFormat="1">
      <c r="A167" s="3199"/>
      <c r="C167" s="3200"/>
      <c r="E167" s="3199"/>
    </row>
    <row r="168" spans="1:5" s="1995" customFormat="1">
      <c r="A168" s="3199"/>
      <c r="C168" s="3200"/>
      <c r="E168" s="3199"/>
    </row>
    <row r="169" spans="1:5" s="1995" customFormat="1">
      <c r="A169" s="3199"/>
      <c r="C169" s="3200"/>
      <c r="E169" s="3199"/>
    </row>
    <row r="170" spans="1:5" s="1995" customFormat="1">
      <c r="A170" s="3199"/>
      <c r="C170" s="3200"/>
      <c r="E170" s="3199"/>
    </row>
    <row r="171" spans="1:5" s="1995" customFormat="1">
      <c r="A171" s="3199"/>
      <c r="C171" s="3200"/>
      <c r="E171" s="3199"/>
    </row>
    <row r="172" spans="1:5" s="1995" customFormat="1">
      <c r="A172" s="3199"/>
      <c r="C172" s="3200"/>
      <c r="E172" s="3199"/>
    </row>
    <row r="173" spans="1:5" s="1995" customFormat="1">
      <c r="A173" s="3199"/>
      <c r="C173" s="3200"/>
      <c r="E173" s="3199"/>
    </row>
    <row r="174" spans="1:5" s="1995" customFormat="1">
      <c r="A174" s="3199"/>
      <c r="C174" s="3200"/>
      <c r="E174" s="3199"/>
    </row>
    <row r="175" spans="1:5" s="1995" customFormat="1">
      <c r="A175" s="3199"/>
      <c r="C175" s="3200"/>
      <c r="E175" s="3199"/>
    </row>
    <row r="176" spans="1:5" s="1995" customFormat="1">
      <c r="A176" s="3199"/>
      <c r="C176" s="3200"/>
      <c r="E176" s="3199"/>
    </row>
    <row r="177" spans="1:5" s="1995" customFormat="1">
      <c r="A177" s="3199"/>
      <c r="C177" s="3200"/>
      <c r="E177" s="3199"/>
    </row>
    <row r="178" spans="1:5" s="1995" customFormat="1">
      <c r="A178" s="3199"/>
      <c r="C178" s="3200"/>
      <c r="E178" s="3199"/>
    </row>
    <row r="179" spans="1:5" s="1995" customFormat="1">
      <c r="A179" s="3199"/>
      <c r="C179" s="3200"/>
      <c r="E179" s="3199"/>
    </row>
    <row r="180" spans="1:5" s="1995" customFormat="1">
      <c r="A180" s="3199"/>
      <c r="C180" s="3200"/>
      <c r="E180" s="3199"/>
    </row>
    <row r="181" spans="1:5" s="1995" customFormat="1">
      <c r="A181" s="3199"/>
      <c r="C181" s="3200"/>
      <c r="E181" s="3199"/>
    </row>
    <row r="182" spans="1:5" s="1995" customFormat="1">
      <c r="A182" s="3199"/>
      <c r="C182" s="3200"/>
      <c r="E182" s="3199"/>
    </row>
    <row r="183" spans="1:5" s="1995" customFormat="1">
      <c r="A183" s="3199"/>
      <c r="C183" s="3200"/>
      <c r="E183" s="3199"/>
    </row>
    <row r="184" spans="1:5" s="1995" customFormat="1">
      <c r="A184" s="3199"/>
      <c r="C184" s="3200"/>
      <c r="E184" s="3199"/>
    </row>
    <row r="185" spans="1:5" s="1995" customFormat="1">
      <c r="A185" s="3199"/>
      <c r="C185" s="3200"/>
      <c r="E185" s="3199"/>
    </row>
    <row r="186" spans="1:5" s="1995" customFormat="1">
      <c r="A186" s="3199"/>
      <c r="C186" s="3200"/>
      <c r="E186" s="3199"/>
    </row>
    <row r="187" spans="1:5" s="1995" customFormat="1">
      <c r="A187" s="3199"/>
      <c r="C187" s="3200"/>
      <c r="E187" s="3199"/>
    </row>
    <row r="188" spans="1:5" s="1995" customFormat="1">
      <c r="A188" s="3199"/>
      <c r="C188" s="3200"/>
      <c r="E188" s="3199"/>
    </row>
    <row r="189" spans="1:5" s="1995" customFormat="1">
      <c r="A189" s="3199"/>
      <c r="C189" s="3200"/>
      <c r="E189" s="3199"/>
    </row>
    <row r="190" spans="1:5" s="1995" customFormat="1">
      <c r="A190" s="3199"/>
      <c r="C190" s="3200"/>
      <c r="E190" s="3199"/>
    </row>
    <row r="191" spans="1:5" s="1995" customFormat="1">
      <c r="A191" s="3199"/>
      <c r="C191" s="3200"/>
      <c r="E191" s="3199"/>
    </row>
    <row r="192" spans="1:5" s="1995" customFormat="1">
      <c r="A192" s="3199"/>
      <c r="C192" s="3200"/>
      <c r="E192" s="3199"/>
    </row>
    <row r="193" spans="1:5" s="1995" customFormat="1">
      <c r="A193" s="3199"/>
      <c r="C193" s="3200"/>
      <c r="E193" s="3199"/>
    </row>
    <row r="194" spans="1:5" s="1995" customFormat="1">
      <c r="A194" s="3199"/>
      <c r="C194" s="3200"/>
      <c r="E194" s="3199"/>
    </row>
    <row r="195" spans="1:5" s="1995" customFormat="1">
      <c r="A195" s="3199"/>
      <c r="C195" s="3200"/>
      <c r="E195" s="3199"/>
    </row>
    <row r="196" spans="1:5" s="1995" customFormat="1">
      <c r="A196" s="3199"/>
      <c r="C196" s="3200"/>
      <c r="E196" s="3199"/>
    </row>
    <row r="197" spans="1:5" s="1995" customFormat="1">
      <c r="A197" s="3199"/>
      <c r="C197" s="3200"/>
      <c r="E197" s="3199"/>
    </row>
    <row r="198" spans="1:5" s="1995" customFormat="1">
      <c r="A198" s="3199"/>
      <c r="C198" s="3200"/>
      <c r="E198" s="3199"/>
    </row>
    <row r="199" spans="1:5" s="1995" customFormat="1">
      <c r="A199" s="3199"/>
      <c r="C199" s="3200"/>
      <c r="E199" s="3199"/>
    </row>
    <row r="200" spans="1:5" s="1995" customFormat="1">
      <c r="A200" s="3199"/>
      <c r="C200" s="3200"/>
      <c r="E200" s="3199"/>
    </row>
    <row r="201" spans="1:5" s="1995" customFormat="1">
      <c r="A201" s="3199"/>
      <c r="C201" s="3200"/>
      <c r="E201" s="3199"/>
    </row>
    <row r="202" spans="1:5" s="1995" customFormat="1">
      <c r="A202" s="3199"/>
      <c r="C202" s="3200"/>
      <c r="E202" s="3199"/>
    </row>
    <row r="203" spans="1:5" s="1995" customFormat="1">
      <c r="A203" s="3199"/>
      <c r="C203" s="3200"/>
      <c r="E203" s="3199"/>
    </row>
    <row r="204" spans="1:5" s="1995" customFormat="1">
      <c r="A204" s="3199"/>
      <c r="C204" s="3200"/>
      <c r="E204" s="3199"/>
    </row>
    <row r="205" spans="1:5" s="1995" customFormat="1">
      <c r="A205" s="3199"/>
      <c r="C205" s="3200"/>
      <c r="E205" s="3199"/>
    </row>
    <row r="206" spans="1:5" s="1995" customFormat="1">
      <c r="A206" s="3199"/>
      <c r="C206" s="3200"/>
      <c r="E206" s="3199"/>
    </row>
    <row r="207" spans="1:5" s="1995" customFormat="1">
      <c r="A207" s="3199"/>
      <c r="C207" s="3200"/>
      <c r="E207" s="3199"/>
    </row>
    <row r="208" spans="1:5" s="1995" customFormat="1">
      <c r="A208" s="3199"/>
      <c r="C208" s="3200"/>
      <c r="E208" s="3199"/>
    </row>
    <row r="209" spans="1:5" s="1995" customFormat="1">
      <c r="A209" s="3199"/>
      <c r="C209" s="3200"/>
      <c r="E209" s="3199"/>
    </row>
    <row r="210" spans="1:5" s="1995" customFormat="1">
      <c r="A210" s="3199"/>
      <c r="C210" s="3200"/>
      <c r="E210" s="3199"/>
    </row>
    <row r="211" spans="1:5" s="1995" customFormat="1">
      <c r="A211" s="3199"/>
      <c r="C211" s="3200"/>
      <c r="E211" s="3199"/>
    </row>
    <row r="212" spans="1:5" s="1995" customFormat="1">
      <c r="A212" s="3199"/>
      <c r="C212" s="3200"/>
      <c r="E212" s="3199"/>
    </row>
    <row r="213" spans="1:5" s="1995" customFormat="1">
      <c r="A213" s="3199"/>
      <c r="C213" s="3200"/>
      <c r="E213" s="3199"/>
    </row>
    <row r="214" spans="1:5" s="1995" customFormat="1">
      <c r="A214" s="3199"/>
      <c r="C214" s="3200"/>
      <c r="E214" s="3199"/>
    </row>
    <row r="215" spans="1:5" s="1995" customFormat="1">
      <c r="A215" s="3199"/>
      <c r="C215" s="3200"/>
      <c r="E215" s="3199"/>
    </row>
    <row r="216" spans="1:5" s="1995" customFormat="1">
      <c r="A216" s="3199"/>
      <c r="C216" s="3200"/>
      <c r="E216" s="3199"/>
    </row>
    <row r="217" spans="1:5" s="1995" customFormat="1">
      <c r="A217" s="3199"/>
      <c r="C217" s="3200"/>
      <c r="E217" s="3199"/>
    </row>
    <row r="218" spans="1:5" s="1995" customFormat="1">
      <c r="A218" s="3199"/>
      <c r="C218" s="3200"/>
      <c r="E218" s="3199"/>
    </row>
    <row r="219" spans="1:5" s="1995" customFormat="1">
      <c r="A219" s="3199"/>
      <c r="C219" s="3200"/>
      <c r="E219" s="3199"/>
    </row>
    <row r="220" spans="1:5" s="1995" customFormat="1">
      <c r="A220" s="3199"/>
      <c r="C220" s="3200"/>
      <c r="E220" s="3199"/>
    </row>
    <row r="221" spans="1:5" s="1995" customFormat="1">
      <c r="A221" s="3199"/>
      <c r="C221" s="3200"/>
      <c r="E221" s="3199"/>
    </row>
    <row r="222" spans="1:5" s="1995" customFormat="1">
      <c r="A222" s="3199"/>
      <c r="C222" s="3200"/>
      <c r="E222" s="3199"/>
    </row>
    <row r="223" spans="1:5" s="1995" customFormat="1">
      <c r="A223" s="3199"/>
      <c r="C223" s="3200"/>
      <c r="E223" s="3199"/>
    </row>
    <row r="224" spans="1:5" s="1995" customFormat="1">
      <c r="A224" s="3199"/>
      <c r="C224" s="3200"/>
      <c r="E224" s="3199"/>
    </row>
    <row r="225" spans="1:5" s="1995" customFormat="1">
      <c r="A225" s="3199"/>
      <c r="C225" s="3200"/>
      <c r="E225" s="3199"/>
    </row>
    <row r="226" spans="1:5" s="1995" customFormat="1">
      <c r="A226" s="3199"/>
      <c r="C226" s="3200"/>
      <c r="E226" s="3199"/>
    </row>
    <row r="227" spans="1:5" s="1995" customFormat="1">
      <c r="A227" s="3199"/>
      <c r="C227" s="3200"/>
      <c r="E227" s="3199"/>
    </row>
    <row r="228" spans="1:5" s="1995" customFormat="1">
      <c r="A228" s="3199"/>
      <c r="C228" s="3200"/>
      <c r="E228" s="3199"/>
    </row>
    <row r="229" spans="1:5" s="1995" customFormat="1">
      <c r="A229" s="3199"/>
      <c r="C229" s="3200"/>
      <c r="E229" s="3199"/>
    </row>
    <row r="230" spans="1:5" s="1995" customFormat="1">
      <c r="A230" s="3199"/>
      <c r="C230" s="3200"/>
      <c r="E230" s="3199"/>
    </row>
    <row r="231" spans="1:5" s="1995" customFormat="1">
      <c r="A231" s="3199"/>
      <c r="C231" s="3200"/>
      <c r="E231" s="3199"/>
    </row>
    <row r="232" spans="1:5" s="1995" customFormat="1">
      <c r="A232" s="3199"/>
      <c r="C232" s="3200"/>
      <c r="E232" s="3199"/>
    </row>
    <row r="233" spans="1:5" s="1995" customFormat="1">
      <c r="A233" s="3199"/>
      <c r="C233" s="3200"/>
      <c r="E233" s="3199"/>
    </row>
    <row r="234" spans="1:5" s="1995" customFormat="1">
      <c r="A234" s="3199"/>
      <c r="C234" s="3200"/>
      <c r="E234" s="3199"/>
    </row>
    <row r="235" spans="1:5" s="1995" customFormat="1">
      <c r="A235" s="3199"/>
      <c r="C235" s="3200"/>
      <c r="E235" s="3199"/>
    </row>
    <row r="236" spans="1:5" s="1995" customFormat="1">
      <c r="A236" s="3199"/>
      <c r="C236" s="3200"/>
      <c r="E236" s="3199"/>
    </row>
    <row r="237" spans="1:5" s="1995" customFormat="1">
      <c r="A237" s="3199"/>
      <c r="C237" s="3200"/>
      <c r="E237" s="3199"/>
    </row>
    <row r="238" spans="1:5" s="1995" customFormat="1">
      <c r="A238" s="3199"/>
      <c r="C238" s="3200"/>
      <c r="E238" s="3199"/>
    </row>
    <row r="239" spans="1:5" s="1995" customFormat="1">
      <c r="A239" s="3199"/>
      <c r="C239" s="3200"/>
      <c r="E239" s="3199"/>
    </row>
    <row r="240" spans="1:5" s="1995" customFormat="1">
      <c r="A240" s="3199"/>
      <c r="C240" s="3200"/>
      <c r="E240" s="3199"/>
    </row>
    <row r="241" spans="1:5" s="1995" customFormat="1">
      <c r="A241" s="3199"/>
      <c r="C241" s="3200"/>
      <c r="E241" s="3199"/>
    </row>
    <row r="242" spans="1:5" s="1995" customFormat="1">
      <c r="A242" s="3199"/>
      <c r="C242" s="3200"/>
      <c r="E242" s="3199"/>
    </row>
    <row r="243" spans="1:5" s="1995" customFormat="1">
      <c r="A243" s="3199"/>
      <c r="C243" s="3200"/>
      <c r="E243" s="3199"/>
    </row>
    <row r="244" spans="1:5" s="1995" customFormat="1">
      <c r="A244" s="3199"/>
      <c r="C244" s="3200"/>
      <c r="E244" s="3199"/>
    </row>
    <row r="245" spans="1:5" s="1995" customFormat="1">
      <c r="A245" s="3199"/>
      <c r="C245" s="3200"/>
      <c r="E245" s="3199"/>
    </row>
    <row r="246" spans="1:5" s="1995" customFormat="1">
      <c r="A246" s="3199"/>
      <c r="C246" s="3200"/>
      <c r="E246" s="3199"/>
    </row>
    <row r="247" spans="1:5" s="1995" customFormat="1">
      <c r="A247" s="3199"/>
      <c r="C247" s="3200"/>
      <c r="E247" s="3199"/>
    </row>
    <row r="248" spans="1:5" s="1995" customFormat="1">
      <c r="A248" s="3199"/>
      <c r="C248" s="3200"/>
      <c r="E248" s="3199"/>
    </row>
    <row r="249" spans="1:5" s="1995" customFormat="1">
      <c r="A249" s="3199"/>
      <c r="C249" s="3200"/>
      <c r="E249" s="3199"/>
    </row>
    <row r="250" spans="1:5" s="1995" customFormat="1">
      <c r="A250" s="3199"/>
      <c r="C250" s="3200"/>
      <c r="E250" s="3199"/>
    </row>
    <row r="251" spans="1:5" s="1995" customFormat="1">
      <c r="A251" s="3199"/>
      <c r="C251" s="3200"/>
      <c r="E251" s="3199"/>
    </row>
    <row r="252" spans="1:5" s="1995" customFormat="1">
      <c r="A252" s="3199"/>
      <c r="C252" s="3200"/>
      <c r="E252" s="3199"/>
    </row>
    <row r="253" spans="1:5" s="1995" customFormat="1">
      <c r="A253" s="3199"/>
      <c r="C253" s="3200"/>
      <c r="E253" s="3199"/>
    </row>
    <row r="254" spans="1:5" s="1995" customFormat="1">
      <c r="A254" s="3199"/>
      <c r="C254" s="3200"/>
      <c r="E254" s="3199"/>
    </row>
    <row r="255" spans="1:5" s="1995" customFormat="1">
      <c r="A255" s="3199"/>
      <c r="C255" s="3200"/>
      <c r="E255" s="3199"/>
    </row>
    <row r="256" spans="1:5" s="1995" customFormat="1">
      <c r="A256" s="3199"/>
      <c r="C256" s="3200"/>
      <c r="E256" s="3199"/>
    </row>
    <row r="257" spans="1:5" s="1995" customFormat="1">
      <c r="A257" s="3199"/>
      <c r="C257" s="3200"/>
      <c r="E257" s="3199"/>
    </row>
    <row r="258" spans="1:5" s="1995" customFormat="1">
      <c r="A258" s="3199"/>
      <c r="C258" s="3200"/>
      <c r="E258" s="3199"/>
    </row>
    <row r="259" spans="1:5" s="1995" customFormat="1">
      <c r="A259" s="3199"/>
      <c r="C259" s="3200"/>
      <c r="E259" s="3199"/>
    </row>
    <row r="260" spans="1:5" s="1995" customFormat="1">
      <c r="A260" s="3199"/>
      <c r="C260" s="3200"/>
      <c r="E260" s="3199"/>
    </row>
    <row r="261" spans="1:5" s="1995" customFormat="1">
      <c r="A261" s="3199"/>
      <c r="C261" s="3200"/>
      <c r="E261" s="3199"/>
    </row>
    <row r="262" spans="1:5" s="1995" customFormat="1">
      <c r="A262" s="3199"/>
      <c r="C262" s="3200"/>
      <c r="E262" s="3199"/>
    </row>
    <row r="263" spans="1:5" s="1995" customFormat="1">
      <c r="A263" s="3199"/>
      <c r="C263" s="3200"/>
      <c r="E263" s="3199"/>
    </row>
    <row r="264" spans="1:5" s="1995" customFormat="1">
      <c r="A264" s="3199"/>
      <c r="C264" s="3200"/>
      <c r="E264" s="3199"/>
    </row>
    <row r="265" spans="1:5" s="1995" customFormat="1">
      <c r="A265" s="3199"/>
      <c r="C265" s="3200"/>
      <c r="E265" s="3199"/>
    </row>
    <row r="266" spans="1:5" s="1995" customFormat="1">
      <c r="A266" s="3199"/>
      <c r="C266" s="3200"/>
      <c r="E266" s="3199"/>
    </row>
    <row r="267" spans="1:5" s="1995" customFormat="1">
      <c r="A267" s="3199"/>
      <c r="C267" s="3200"/>
      <c r="E267" s="3199"/>
    </row>
    <row r="268" spans="1:5" s="1995" customFormat="1">
      <c r="A268" s="3199"/>
      <c r="C268" s="3200"/>
      <c r="E268" s="3199"/>
    </row>
    <row r="269" spans="1:5" s="1995" customFormat="1">
      <c r="A269" s="3199"/>
      <c r="C269" s="3200"/>
      <c r="E269" s="3199"/>
    </row>
    <row r="270" spans="1:5" s="1995" customFormat="1">
      <c r="A270" s="3199"/>
      <c r="C270" s="3200"/>
      <c r="E270" s="3199"/>
    </row>
    <row r="271" spans="1:5" s="1995" customFormat="1">
      <c r="A271" s="3199"/>
      <c r="C271" s="3200"/>
      <c r="E271" s="3199"/>
    </row>
    <row r="272" spans="1:5" s="1995" customFormat="1">
      <c r="A272" s="3199"/>
      <c r="C272" s="3200"/>
      <c r="E272" s="3199"/>
    </row>
    <row r="273" spans="1:5" s="1995" customFormat="1">
      <c r="A273" s="3199"/>
      <c r="C273" s="3200"/>
      <c r="E273" s="3199"/>
    </row>
    <row r="274" spans="1:5" s="1995" customFormat="1">
      <c r="A274" s="3199"/>
      <c r="C274" s="3200"/>
      <c r="E274" s="3199"/>
    </row>
    <row r="275" spans="1:5" s="1995" customFormat="1">
      <c r="A275" s="3199"/>
      <c r="C275" s="3200"/>
      <c r="E275" s="3199"/>
    </row>
    <row r="276" spans="1:5" s="1995" customFormat="1">
      <c r="A276" s="3199"/>
      <c r="C276" s="3200"/>
      <c r="E276" s="3199"/>
    </row>
    <row r="277" spans="1:5" s="1995" customFormat="1">
      <c r="A277" s="3199"/>
      <c r="C277" s="3200"/>
      <c r="E277" s="3199"/>
    </row>
    <row r="278" spans="1:5" s="1995" customFormat="1">
      <c r="A278" s="3199"/>
      <c r="C278" s="3200"/>
      <c r="E278" s="3199"/>
    </row>
    <row r="279" spans="1:5" s="1995" customFormat="1">
      <c r="A279" s="3199"/>
      <c r="C279" s="3200"/>
      <c r="E279" s="3199"/>
    </row>
    <row r="280" spans="1:5" s="1995" customFormat="1">
      <c r="A280" s="3199"/>
      <c r="C280" s="3200"/>
      <c r="E280" s="3199"/>
    </row>
    <row r="281" spans="1:5" s="1995" customFormat="1">
      <c r="A281" s="3199"/>
      <c r="C281" s="3200"/>
      <c r="E281" s="3199"/>
    </row>
    <row r="282" spans="1:5" s="1995" customFormat="1">
      <c r="A282" s="3199"/>
      <c r="C282" s="3200"/>
      <c r="E282" s="3199"/>
    </row>
    <row r="283" spans="1:5" s="1995" customFormat="1">
      <c r="A283" s="3199"/>
      <c r="C283" s="3200"/>
      <c r="E283" s="3199"/>
    </row>
    <row r="284" spans="1:5" s="1995" customFormat="1">
      <c r="A284" s="3199"/>
      <c r="C284" s="3200"/>
      <c r="E284" s="3199"/>
    </row>
    <row r="285" spans="1:5" s="1995" customFormat="1">
      <c r="A285" s="3199"/>
      <c r="C285" s="3200"/>
      <c r="E285" s="3199"/>
    </row>
    <row r="286" spans="1:5" s="1995" customFormat="1">
      <c r="A286" s="3199"/>
      <c r="C286" s="3200"/>
      <c r="E286" s="3199"/>
    </row>
    <row r="287" spans="1:5" s="1995" customFormat="1">
      <c r="A287" s="3199"/>
      <c r="C287" s="3200"/>
      <c r="E287" s="3199"/>
    </row>
    <row r="288" spans="1:5" s="1995" customFormat="1">
      <c r="A288" s="3199"/>
      <c r="C288" s="3200"/>
      <c r="E288" s="3199"/>
    </row>
    <row r="289" spans="1:5" s="1995" customFormat="1">
      <c r="A289" s="3199"/>
      <c r="C289" s="3200"/>
      <c r="E289" s="3199"/>
    </row>
    <row r="290" spans="1:5" s="1995" customFormat="1">
      <c r="A290" s="3199"/>
      <c r="C290" s="3200"/>
      <c r="E290" s="3199"/>
    </row>
    <row r="291" spans="1:5" s="1995" customFormat="1">
      <c r="A291" s="3199"/>
      <c r="C291" s="3200"/>
      <c r="E291" s="3199"/>
    </row>
    <row r="292" spans="1:5" s="1995" customFormat="1">
      <c r="A292" s="3199"/>
      <c r="C292" s="3200"/>
      <c r="E292" s="3199"/>
    </row>
    <row r="293" spans="1:5" s="1995" customFormat="1">
      <c r="A293" s="3199"/>
      <c r="C293" s="3200"/>
      <c r="E293" s="3199"/>
    </row>
    <row r="294" spans="1:5" s="1995" customFormat="1">
      <c r="A294" s="3199"/>
      <c r="C294" s="3200"/>
      <c r="E294" s="3199"/>
    </row>
    <row r="295" spans="1:5" s="1995" customFormat="1">
      <c r="A295" s="3199"/>
      <c r="C295" s="3200"/>
      <c r="E295" s="3199"/>
    </row>
    <row r="296" spans="1:5" s="1995" customFormat="1">
      <c r="A296" s="3199"/>
      <c r="C296" s="3200"/>
      <c r="E296" s="3199"/>
    </row>
    <row r="297" spans="1:5" s="1995" customFormat="1">
      <c r="A297" s="3199"/>
      <c r="C297" s="3200"/>
      <c r="E297" s="3199"/>
    </row>
    <row r="298" spans="1:5" s="1995" customFormat="1">
      <c r="A298" s="3199"/>
      <c r="C298" s="3200"/>
      <c r="E298" s="3199"/>
    </row>
    <row r="299" spans="1:5" s="1995" customFormat="1">
      <c r="A299" s="3199"/>
      <c r="C299" s="3200"/>
      <c r="E299" s="3199"/>
    </row>
    <row r="300" spans="1:5" s="1995" customFormat="1">
      <c r="A300" s="3199"/>
      <c r="C300" s="3200"/>
      <c r="E300" s="3199"/>
    </row>
    <row r="301" spans="1:5" s="1995" customFormat="1">
      <c r="A301" s="3199"/>
      <c r="C301" s="3200"/>
      <c r="E301" s="3199"/>
    </row>
    <row r="302" spans="1:5" s="1995" customFormat="1">
      <c r="A302" s="3199"/>
      <c r="C302" s="3200"/>
      <c r="E302" s="3199"/>
    </row>
    <row r="303" spans="1:5" s="1995" customFormat="1">
      <c r="A303" s="3199"/>
      <c r="C303" s="3200"/>
      <c r="E303" s="3199"/>
    </row>
    <row r="304" spans="1:5" s="1995" customFormat="1">
      <c r="A304" s="3199"/>
      <c r="C304" s="3200"/>
      <c r="E304" s="3199"/>
    </row>
    <row r="305" spans="1:5" s="1995" customFormat="1">
      <c r="A305" s="3199"/>
      <c r="C305" s="3200"/>
      <c r="E305" s="3199"/>
    </row>
    <row r="306" spans="1:5" s="1995" customFormat="1">
      <c r="A306" s="3199"/>
      <c r="C306" s="3200"/>
      <c r="E306" s="3199"/>
    </row>
    <row r="307" spans="1:5" s="1995" customFormat="1">
      <c r="A307" s="3199"/>
      <c r="C307" s="3200"/>
      <c r="E307" s="3199"/>
    </row>
    <row r="308" spans="1:5" s="1995" customFormat="1">
      <c r="A308" s="3199"/>
      <c r="C308" s="3200"/>
      <c r="E308" s="3199"/>
    </row>
    <row r="309" spans="1:5" s="1995" customFormat="1">
      <c r="A309" s="3199"/>
      <c r="C309" s="3200"/>
      <c r="E309" s="3199"/>
    </row>
    <row r="310" spans="1:5" s="1995" customFormat="1">
      <c r="A310" s="3199"/>
      <c r="C310" s="3200"/>
      <c r="E310" s="3199"/>
    </row>
    <row r="311" spans="1:5" s="1995" customFormat="1">
      <c r="A311" s="3199"/>
      <c r="C311" s="3200"/>
      <c r="E311" s="3199"/>
    </row>
    <row r="312" spans="1:5" s="1995" customFormat="1">
      <c r="A312" s="3199"/>
      <c r="C312" s="3200"/>
      <c r="E312" s="3199"/>
    </row>
    <row r="313" spans="1:5" s="1995" customFormat="1">
      <c r="A313" s="3199"/>
      <c r="C313" s="3200"/>
      <c r="E313" s="3199"/>
    </row>
    <row r="314" spans="1:5" s="1995" customFormat="1">
      <c r="A314" s="3199"/>
      <c r="C314" s="3200"/>
      <c r="E314" s="3199"/>
    </row>
    <row r="315" spans="1:5" s="1995" customFormat="1">
      <c r="A315" s="3199"/>
      <c r="C315" s="3200"/>
      <c r="E315" s="3199"/>
    </row>
    <row r="316" spans="1:5" s="1995" customFormat="1">
      <c r="A316" s="3199"/>
      <c r="C316" s="3200"/>
      <c r="E316" s="3199"/>
    </row>
    <row r="317" spans="1:5" s="1995" customFormat="1">
      <c r="A317" s="3199"/>
      <c r="C317" s="3200"/>
      <c r="E317" s="3199"/>
    </row>
    <row r="318" spans="1:5" s="1995" customFormat="1">
      <c r="A318" s="3199"/>
      <c r="C318" s="3200"/>
      <c r="E318" s="3199"/>
    </row>
    <row r="319" spans="1:5" s="1995" customFormat="1">
      <c r="A319" s="3199"/>
      <c r="C319" s="3200"/>
      <c r="E319" s="3199"/>
    </row>
    <row r="320" spans="1:5" s="1995" customFormat="1">
      <c r="A320" s="3199"/>
      <c r="C320" s="3200"/>
      <c r="E320" s="3199"/>
    </row>
    <row r="321" spans="1:5" s="1995" customFormat="1">
      <c r="A321" s="3199"/>
      <c r="C321" s="3200"/>
      <c r="E321" s="3199"/>
    </row>
    <row r="322" spans="1:5" s="1995" customFormat="1">
      <c r="A322" s="3199"/>
      <c r="C322" s="3200"/>
      <c r="E322" s="3199"/>
    </row>
    <row r="323" spans="1:5" s="1995" customFormat="1">
      <c r="A323" s="3199"/>
      <c r="C323" s="3200"/>
      <c r="E323" s="3199"/>
    </row>
    <row r="324" spans="1:5" s="1995" customFormat="1">
      <c r="A324" s="3199"/>
      <c r="C324" s="3200"/>
      <c r="E324" s="3199"/>
    </row>
    <row r="325" spans="1:5" s="1995" customFormat="1">
      <c r="A325" s="3199"/>
      <c r="C325" s="3200"/>
      <c r="E325" s="3199"/>
    </row>
    <row r="326" spans="1:5" s="1995" customFormat="1">
      <c r="A326" s="3199"/>
      <c r="C326" s="3200"/>
      <c r="E326" s="3199"/>
    </row>
    <row r="327" spans="1:5" s="1995" customFormat="1">
      <c r="A327" s="3199"/>
      <c r="C327" s="3200"/>
      <c r="E327" s="3199"/>
    </row>
    <row r="328" spans="1:5" s="1995" customFormat="1">
      <c r="A328" s="3199"/>
      <c r="C328" s="3200"/>
      <c r="E328" s="3199"/>
    </row>
    <row r="329" spans="1:5" s="1995" customFormat="1">
      <c r="A329" s="3199"/>
      <c r="C329" s="3200"/>
      <c r="E329" s="3199"/>
    </row>
    <row r="330" spans="1:5" s="1995" customFormat="1">
      <c r="A330" s="3199"/>
      <c r="C330" s="3200"/>
      <c r="E330" s="3199"/>
    </row>
    <row r="331" spans="1:5" s="1995" customFormat="1">
      <c r="A331" s="3199"/>
      <c r="C331" s="3200"/>
      <c r="E331" s="3199"/>
    </row>
    <row r="332" spans="1:5" s="1995" customFormat="1">
      <c r="A332" s="3199"/>
      <c r="C332" s="3200"/>
      <c r="E332" s="3199"/>
    </row>
    <row r="333" spans="1:5" s="1995" customFormat="1">
      <c r="A333" s="3199"/>
      <c r="C333" s="3200"/>
      <c r="E333" s="3199"/>
    </row>
    <row r="334" spans="1:5" s="1995" customFormat="1">
      <c r="A334" s="3199"/>
      <c r="C334" s="3200"/>
      <c r="E334" s="3199"/>
    </row>
    <row r="335" spans="1:5" s="1995" customFormat="1">
      <c r="A335" s="3199"/>
      <c r="C335" s="3200"/>
      <c r="E335" s="3199"/>
    </row>
    <row r="336" spans="1:5" s="1995" customFormat="1">
      <c r="A336" s="3199"/>
      <c r="C336" s="3200"/>
      <c r="E336" s="3199"/>
    </row>
    <row r="337" spans="1:5" s="1995" customFormat="1">
      <c r="A337" s="3199"/>
      <c r="C337" s="3200"/>
      <c r="E337" s="3199"/>
    </row>
    <row r="338" spans="1:5" s="1995" customFormat="1">
      <c r="A338" s="3199"/>
      <c r="C338" s="3200"/>
      <c r="E338" s="3199"/>
    </row>
    <row r="339" spans="1:5" s="1995" customFormat="1">
      <c r="A339" s="3199"/>
      <c r="C339" s="3200"/>
      <c r="E339" s="3199"/>
    </row>
    <row r="340" spans="1:5" s="1995" customFormat="1">
      <c r="A340" s="3199"/>
      <c r="C340" s="3200"/>
      <c r="E340" s="3199"/>
    </row>
    <row r="341" spans="1:5" s="1995" customFormat="1">
      <c r="A341" s="3199"/>
      <c r="C341" s="3200"/>
      <c r="E341" s="3199"/>
    </row>
    <row r="342" spans="1:5" s="1995" customFormat="1">
      <c r="A342" s="3199"/>
      <c r="C342" s="3200"/>
      <c r="E342" s="3199"/>
    </row>
    <row r="343" spans="1:5" s="1995" customFormat="1">
      <c r="A343" s="3199"/>
      <c r="C343" s="3200"/>
      <c r="E343" s="3199"/>
    </row>
    <row r="344" spans="1:5" s="1995" customFormat="1">
      <c r="A344" s="3199"/>
      <c r="C344" s="3200"/>
      <c r="E344" s="3199"/>
    </row>
    <row r="345" spans="1:5" s="1995" customFormat="1">
      <c r="A345" s="3199"/>
      <c r="C345" s="3200"/>
      <c r="E345" s="3199"/>
    </row>
    <row r="346" spans="1:5" s="1995" customFormat="1">
      <c r="A346" s="3199"/>
      <c r="C346" s="3200"/>
      <c r="E346" s="3199"/>
    </row>
    <row r="347" spans="1:5" s="1995" customFormat="1">
      <c r="A347" s="3199"/>
      <c r="C347" s="3200"/>
      <c r="E347" s="3199"/>
    </row>
    <row r="348" spans="1:5" s="1995" customFormat="1">
      <c r="A348" s="3199"/>
      <c r="C348" s="3200"/>
      <c r="E348" s="3199"/>
    </row>
    <row r="349" spans="1:5" s="1995" customFormat="1">
      <c r="A349" s="3199"/>
      <c r="C349" s="3200"/>
      <c r="E349" s="3199"/>
    </row>
    <row r="350" spans="1:5" s="1995" customFormat="1">
      <c r="A350" s="3199"/>
      <c r="C350" s="3200"/>
      <c r="E350" s="3199"/>
    </row>
    <row r="351" spans="1:5" s="1995" customFormat="1">
      <c r="A351" s="3199"/>
      <c r="C351" s="3200"/>
      <c r="E351" s="3199"/>
    </row>
    <row r="352" spans="1:5" s="1995" customFormat="1">
      <c r="A352" s="3199"/>
      <c r="C352" s="3200"/>
      <c r="E352" s="3199"/>
    </row>
    <row r="353" spans="1:5" s="1995" customFormat="1">
      <c r="A353" s="3199"/>
      <c r="C353" s="3200"/>
      <c r="E353" s="3199"/>
    </row>
    <row r="354" spans="1:5" s="1995" customFormat="1">
      <c r="A354" s="3199"/>
      <c r="C354" s="3200"/>
      <c r="E354" s="3199"/>
    </row>
    <row r="355" spans="1:5" s="1995" customFormat="1">
      <c r="A355" s="3199"/>
      <c r="C355" s="3200"/>
      <c r="E355" s="3199"/>
    </row>
    <row r="356" spans="1:5" s="1995" customFormat="1">
      <c r="A356" s="3199"/>
      <c r="C356" s="3200"/>
      <c r="E356" s="3199"/>
    </row>
    <row r="357" spans="1:5" s="1995" customFormat="1">
      <c r="A357" s="3199"/>
      <c r="C357" s="3200"/>
      <c r="E357" s="3199"/>
    </row>
    <row r="358" spans="1:5" s="1995" customFormat="1">
      <c r="A358" s="3199"/>
      <c r="C358" s="3200"/>
      <c r="E358" s="3199"/>
    </row>
    <row r="359" spans="1:5" s="1995" customFormat="1">
      <c r="A359" s="3199"/>
      <c r="C359" s="3200"/>
      <c r="E359" s="3199"/>
    </row>
    <row r="360" spans="1:5" s="1995" customFormat="1">
      <c r="A360" s="3199"/>
      <c r="C360" s="3200"/>
      <c r="E360" s="3199"/>
    </row>
    <row r="361" spans="1:5" s="1995" customFormat="1">
      <c r="A361" s="3199"/>
      <c r="C361" s="3200"/>
      <c r="E361" s="3199"/>
    </row>
    <row r="362" spans="1:5" s="1995" customFormat="1">
      <c r="A362" s="3199"/>
      <c r="C362" s="3200"/>
      <c r="E362" s="3199"/>
    </row>
    <row r="363" spans="1:5" s="1995" customFormat="1">
      <c r="A363" s="3199"/>
      <c r="C363" s="3200"/>
      <c r="E363" s="3199"/>
    </row>
    <row r="364" spans="1:5" s="1995" customFormat="1">
      <c r="A364" s="3199"/>
      <c r="C364" s="3200"/>
      <c r="E364" s="3199"/>
    </row>
    <row r="365" spans="1:5" s="1995" customFormat="1">
      <c r="A365" s="3199"/>
      <c r="C365" s="3200"/>
      <c r="E365" s="3199"/>
    </row>
    <row r="366" spans="1:5" s="1995" customFormat="1">
      <c r="A366" s="3199"/>
      <c r="C366" s="3200"/>
      <c r="E366" s="3199"/>
    </row>
    <row r="367" spans="1:5" s="1995" customFormat="1">
      <c r="A367" s="3199"/>
      <c r="C367" s="3200"/>
      <c r="E367" s="3199"/>
    </row>
    <row r="368" spans="1:5" s="1995" customFormat="1">
      <c r="A368" s="3199"/>
      <c r="C368" s="3200"/>
      <c r="E368" s="3199"/>
    </row>
    <row r="369" spans="1:5" s="1995" customFormat="1">
      <c r="A369" s="3199"/>
      <c r="C369" s="3200"/>
      <c r="E369" s="3199"/>
    </row>
    <row r="370" spans="1:5" s="1995" customFormat="1">
      <c r="A370" s="3199"/>
      <c r="C370" s="3200"/>
      <c r="E370" s="3199"/>
    </row>
    <row r="371" spans="1:5" s="1995" customFormat="1">
      <c r="A371" s="3199"/>
      <c r="C371" s="3200"/>
      <c r="E371" s="3199"/>
    </row>
    <row r="372" spans="1:5" s="1995" customFormat="1">
      <c r="A372" s="3199"/>
      <c r="C372" s="3200"/>
      <c r="E372" s="3199"/>
    </row>
    <row r="373" spans="1:5" s="1995" customFormat="1">
      <c r="A373" s="3199"/>
      <c r="C373" s="3200"/>
      <c r="E373" s="3199"/>
    </row>
    <row r="374" spans="1:5" s="1995" customFormat="1">
      <c r="A374" s="3199"/>
      <c r="C374" s="3200"/>
      <c r="E374" s="3199"/>
    </row>
    <row r="375" spans="1:5" s="1995" customFormat="1">
      <c r="A375" s="3199"/>
      <c r="C375" s="3200"/>
      <c r="E375" s="3199"/>
    </row>
    <row r="376" spans="1:5" s="1995" customFormat="1">
      <c r="A376" s="3199"/>
      <c r="C376" s="3200"/>
      <c r="E376" s="3199"/>
    </row>
    <row r="377" spans="1:5" s="1995" customFormat="1">
      <c r="A377" s="3199"/>
      <c r="C377" s="3200"/>
      <c r="E377" s="3199"/>
    </row>
    <row r="378" spans="1:5" s="1995" customFormat="1">
      <c r="A378" s="3199"/>
      <c r="C378" s="3200"/>
      <c r="E378" s="3199"/>
    </row>
    <row r="379" spans="1:5" s="1995" customFormat="1">
      <c r="A379" s="3199"/>
      <c r="C379" s="3200"/>
      <c r="E379" s="3199"/>
    </row>
    <row r="380" spans="1:5" s="1995" customFormat="1">
      <c r="A380" s="3199"/>
      <c r="C380" s="3200"/>
      <c r="E380" s="3199"/>
    </row>
    <row r="381" spans="1:5" s="1995" customFormat="1">
      <c r="A381" s="3199"/>
      <c r="C381" s="3200"/>
      <c r="E381" s="3199"/>
    </row>
    <row r="382" spans="1:5" s="1995" customFormat="1">
      <c r="A382" s="3199"/>
      <c r="C382" s="3200"/>
      <c r="E382" s="3199"/>
    </row>
    <row r="383" spans="1:5" s="1995" customFormat="1">
      <c r="A383" s="3199"/>
      <c r="C383" s="3200"/>
      <c r="E383" s="3199"/>
    </row>
    <row r="384" spans="1:5" s="1995" customFormat="1">
      <c r="A384" s="3199"/>
      <c r="C384" s="3200"/>
      <c r="E384" s="3199"/>
    </row>
    <row r="385" spans="1:5" s="1995" customFormat="1">
      <c r="A385" s="3199"/>
      <c r="C385" s="3200"/>
      <c r="E385" s="3199"/>
    </row>
    <row r="386" spans="1:5" s="1995" customFormat="1">
      <c r="A386" s="3199"/>
      <c r="C386" s="3200"/>
      <c r="E386" s="3199"/>
    </row>
    <row r="387" spans="1:5" s="1995" customFormat="1">
      <c r="A387" s="3199"/>
      <c r="C387" s="3200"/>
      <c r="E387" s="3199"/>
    </row>
    <row r="388" spans="1:5" s="1995" customFormat="1">
      <c r="A388" s="3199"/>
      <c r="C388" s="3200"/>
      <c r="E388" s="3199"/>
    </row>
    <row r="389" spans="1:5" s="1995" customFormat="1">
      <c r="A389" s="3199"/>
      <c r="C389" s="3200"/>
      <c r="E389" s="3199"/>
    </row>
    <row r="390" spans="1:5" s="1995" customFormat="1">
      <c r="A390" s="3199"/>
      <c r="C390" s="3200"/>
      <c r="E390" s="3199"/>
    </row>
    <row r="391" spans="1:5" s="1995" customFormat="1">
      <c r="A391" s="3199"/>
      <c r="C391" s="3200"/>
      <c r="E391" s="3199"/>
    </row>
    <row r="392" spans="1:5" s="1995" customFormat="1">
      <c r="A392" s="3199"/>
      <c r="C392" s="3200"/>
      <c r="E392" s="3199"/>
    </row>
    <row r="393" spans="1:5" s="1995" customFormat="1">
      <c r="A393" s="3199"/>
      <c r="C393" s="3200"/>
      <c r="E393" s="3199"/>
    </row>
    <row r="394" spans="1:5" s="1995" customFormat="1">
      <c r="A394" s="3199"/>
      <c r="C394" s="3200"/>
      <c r="E394" s="3199"/>
    </row>
    <row r="395" spans="1:5" s="1995" customFormat="1">
      <c r="A395" s="3199"/>
      <c r="C395" s="3200"/>
      <c r="E395" s="3199"/>
    </row>
    <row r="396" spans="1:5" s="1995" customFormat="1">
      <c r="A396" s="3199"/>
      <c r="C396" s="3200"/>
      <c r="E396" s="3199"/>
    </row>
    <row r="397" spans="1:5" s="1995" customFormat="1">
      <c r="A397" s="3199"/>
      <c r="C397" s="3200"/>
      <c r="E397" s="3199"/>
    </row>
    <row r="398" spans="1:5" s="1995" customFormat="1">
      <c r="A398" s="3199"/>
      <c r="C398" s="3200"/>
      <c r="E398" s="3199"/>
    </row>
    <row r="399" spans="1:5" s="1995" customFormat="1">
      <c r="A399" s="3199"/>
      <c r="C399" s="3200"/>
      <c r="E399" s="3199"/>
    </row>
    <row r="400" spans="1:5" s="1995" customFormat="1">
      <c r="A400" s="3199"/>
      <c r="C400" s="3200"/>
      <c r="E400" s="3199"/>
    </row>
    <row r="401" spans="1:5" s="1995" customFormat="1">
      <c r="A401" s="3199"/>
      <c r="C401" s="3200"/>
      <c r="E401" s="3199"/>
    </row>
    <row r="402" spans="1:5" s="1995" customFormat="1">
      <c r="A402" s="3199"/>
      <c r="C402" s="3200"/>
      <c r="E402" s="3199"/>
    </row>
    <row r="403" spans="1:5" s="1995" customFormat="1">
      <c r="A403" s="3199"/>
      <c r="C403" s="3200"/>
      <c r="E403" s="3199"/>
    </row>
    <row r="404" spans="1:5" s="1995" customFormat="1">
      <c r="A404" s="3199"/>
      <c r="C404" s="3200"/>
      <c r="E404" s="3199"/>
    </row>
    <row r="405" spans="1:5" s="1995" customFormat="1">
      <c r="A405" s="3199"/>
      <c r="C405" s="3200"/>
      <c r="E405" s="3199"/>
    </row>
    <row r="406" spans="1:5" s="1995" customFormat="1">
      <c r="A406" s="3199"/>
      <c r="C406" s="3200"/>
      <c r="E406" s="3199"/>
    </row>
    <row r="407" spans="1:5" s="1995" customFormat="1">
      <c r="A407" s="3199"/>
      <c r="C407" s="3200"/>
      <c r="E407" s="3199"/>
    </row>
    <row r="408" spans="1:5" s="1995" customFormat="1">
      <c r="A408" s="3199"/>
      <c r="C408" s="3200"/>
      <c r="E408" s="3199"/>
    </row>
    <row r="409" spans="1:5" s="1995" customFormat="1">
      <c r="A409" s="3199"/>
      <c r="C409" s="3200"/>
      <c r="E409" s="3199"/>
    </row>
    <row r="410" spans="1:5" s="1995" customFormat="1">
      <c r="A410" s="3199"/>
      <c r="C410" s="3200"/>
      <c r="E410" s="3199"/>
    </row>
    <row r="411" spans="1:5" s="1995" customFormat="1">
      <c r="A411" s="3199"/>
      <c r="C411" s="3200"/>
      <c r="E411" s="3199"/>
    </row>
    <row r="412" spans="1:5" s="1995" customFormat="1">
      <c r="A412" s="3199"/>
      <c r="C412" s="3200"/>
      <c r="E412" s="3199"/>
    </row>
    <row r="413" spans="1:5" s="1995" customFormat="1">
      <c r="A413" s="3199"/>
      <c r="C413" s="3200"/>
      <c r="E413" s="3199"/>
    </row>
    <row r="414" spans="1:5" s="1995" customFormat="1">
      <c r="A414" s="3199"/>
      <c r="C414" s="3200"/>
      <c r="E414" s="3199"/>
    </row>
    <row r="415" spans="1:5" s="1995" customFormat="1">
      <c r="A415" s="3199"/>
      <c r="C415" s="3200"/>
      <c r="E415" s="3199"/>
    </row>
    <row r="416" spans="1:5" s="1995" customFormat="1">
      <c r="A416" s="3199"/>
      <c r="C416" s="3200"/>
      <c r="E416" s="3199"/>
    </row>
    <row r="417" spans="1:5" s="1995" customFormat="1">
      <c r="A417" s="3199"/>
      <c r="C417" s="3200"/>
      <c r="E417" s="3199"/>
    </row>
    <row r="418" spans="1:5" s="1995" customFormat="1">
      <c r="A418" s="3199"/>
      <c r="C418" s="3200"/>
      <c r="E418" s="3199"/>
    </row>
    <row r="419" spans="1:5" s="1995" customFormat="1">
      <c r="A419" s="3199"/>
      <c r="C419" s="3200"/>
      <c r="E419" s="3199"/>
    </row>
    <row r="420" spans="1:5" s="1995" customFormat="1">
      <c r="A420" s="3199"/>
      <c r="C420" s="3200"/>
      <c r="E420" s="3199"/>
    </row>
    <row r="421" spans="1:5" s="1995" customFormat="1">
      <c r="A421" s="3199"/>
      <c r="C421" s="3200"/>
      <c r="E421" s="3199"/>
    </row>
    <row r="422" spans="1:5" s="1995" customFormat="1">
      <c r="A422" s="3199"/>
      <c r="C422" s="3200"/>
      <c r="E422" s="3199"/>
    </row>
    <row r="423" spans="1:5" s="1995" customFormat="1">
      <c r="A423" s="3199"/>
      <c r="C423" s="3200"/>
      <c r="E423" s="3199"/>
    </row>
    <row r="424" spans="1:5" s="1995" customFormat="1">
      <c r="A424" s="3199"/>
      <c r="C424" s="3200"/>
      <c r="E424" s="3199"/>
    </row>
    <row r="425" spans="1:5" s="1995" customFormat="1">
      <c r="A425" s="3199"/>
      <c r="C425" s="3200"/>
      <c r="E425" s="3199"/>
    </row>
    <row r="426" spans="1:5" s="1995" customFormat="1">
      <c r="A426" s="3199"/>
      <c r="C426" s="3200"/>
      <c r="E426" s="3199"/>
    </row>
    <row r="427" spans="1:5" s="1995" customFormat="1">
      <c r="A427" s="3199"/>
      <c r="C427" s="3200"/>
      <c r="E427" s="3199"/>
    </row>
    <row r="428" spans="1:5" s="1995" customFormat="1">
      <c r="A428" s="3199"/>
      <c r="C428" s="3200"/>
      <c r="E428" s="3199"/>
    </row>
    <row r="429" spans="1:5" s="1995" customFormat="1">
      <c r="A429" s="3199"/>
      <c r="C429" s="3200"/>
      <c r="E429" s="3199"/>
    </row>
    <row r="430" spans="1:5" s="1995" customFormat="1">
      <c r="A430" s="3199"/>
      <c r="C430" s="3200"/>
      <c r="E430" s="3199"/>
    </row>
    <row r="431" spans="1:5" s="1995" customFormat="1">
      <c r="A431" s="3199"/>
      <c r="C431" s="3200"/>
      <c r="E431" s="3199"/>
    </row>
    <row r="432" spans="1:5" s="1995" customFormat="1">
      <c r="A432" s="3199"/>
      <c r="C432" s="3200"/>
      <c r="E432" s="3199"/>
    </row>
    <row r="433" spans="1:5" s="1995" customFormat="1">
      <c r="A433" s="3199"/>
      <c r="C433" s="3200"/>
      <c r="E433" s="3199"/>
    </row>
    <row r="434" spans="1:5" s="1995" customFormat="1">
      <c r="A434" s="3199"/>
      <c r="C434" s="3200"/>
      <c r="E434" s="3199"/>
    </row>
    <row r="435" spans="1:5" s="1995" customFormat="1">
      <c r="A435" s="3199"/>
      <c r="C435" s="3200"/>
      <c r="E435" s="3199"/>
    </row>
    <row r="436" spans="1:5" s="1995" customFormat="1">
      <c r="A436" s="3199"/>
      <c r="C436" s="3200"/>
      <c r="E436" s="3199"/>
    </row>
    <row r="437" spans="1:5" s="1995" customFormat="1">
      <c r="A437" s="3199"/>
      <c r="C437" s="3200"/>
      <c r="E437" s="3199"/>
    </row>
    <row r="438" spans="1:5" s="1995" customFormat="1">
      <c r="A438" s="3199"/>
      <c r="C438" s="3200"/>
      <c r="E438" s="3199"/>
    </row>
    <row r="439" spans="1:5" s="1995" customFormat="1">
      <c r="A439" s="3199"/>
      <c r="C439" s="3200"/>
      <c r="E439" s="3199"/>
    </row>
    <row r="440" spans="1:5" s="1995" customFormat="1">
      <c r="A440" s="3199"/>
      <c r="C440" s="3200"/>
      <c r="E440" s="3199"/>
    </row>
    <row r="441" spans="1:5" s="1995" customFormat="1">
      <c r="A441" s="3199"/>
      <c r="C441" s="3200"/>
      <c r="E441" s="3199"/>
    </row>
    <row r="442" spans="1:5" s="1995" customFormat="1">
      <c r="A442" s="3199"/>
      <c r="C442" s="3200"/>
      <c r="E442" s="3199"/>
    </row>
    <row r="443" spans="1:5" s="1995" customFormat="1">
      <c r="A443" s="3199"/>
      <c r="C443" s="3200"/>
      <c r="E443" s="3199"/>
    </row>
    <row r="444" spans="1:5" s="1995" customFormat="1">
      <c r="A444" s="3199"/>
      <c r="C444" s="3200"/>
      <c r="E444" s="3199"/>
    </row>
    <row r="445" spans="1:5" s="1995" customFormat="1">
      <c r="A445" s="3199"/>
      <c r="C445" s="3200"/>
      <c r="E445" s="3199"/>
    </row>
    <row r="446" spans="1:5" s="1995" customFormat="1">
      <c r="A446" s="3199"/>
      <c r="C446" s="3200"/>
      <c r="E446" s="3199"/>
    </row>
    <row r="447" spans="1:5" s="1995" customFormat="1">
      <c r="A447" s="3199"/>
      <c r="C447" s="3200"/>
      <c r="E447" s="3199"/>
    </row>
    <row r="448" spans="1:5" s="1995" customFormat="1">
      <c r="A448" s="3199"/>
      <c r="C448" s="3200"/>
      <c r="E448" s="3199"/>
    </row>
    <row r="449" spans="1:5" s="1995" customFormat="1">
      <c r="A449" s="3199"/>
      <c r="C449" s="3200"/>
      <c r="E449" s="3199"/>
    </row>
    <row r="450" spans="1:5" s="1995" customFormat="1">
      <c r="A450" s="3199"/>
      <c r="C450" s="3200"/>
      <c r="E450" s="3199"/>
    </row>
    <row r="451" spans="1:5" s="1995" customFormat="1">
      <c r="A451" s="3199"/>
      <c r="C451" s="3200"/>
      <c r="E451" s="3199"/>
    </row>
    <row r="452" spans="1:5" s="1995" customFormat="1">
      <c r="A452" s="3199"/>
      <c r="C452" s="3200"/>
      <c r="E452" s="3199"/>
    </row>
    <row r="453" spans="1:5" s="1995" customFormat="1">
      <c r="A453" s="3199"/>
      <c r="C453" s="3200"/>
      <c r="E453" s="3199"/>
    </row>
    <row r="454" spans="1:5" s="1995" customFormat="1">
      <c r="A454" s="3199"/>
      <c r="C454" s="3200"/>
      <c r="E454" s="3199"/>
    </row>
    <row r="455" spans="1:5" s="1995" customFormat="1">
      <c r="A455" s="3199"/>
      <c r="C455" s="3200"/>
      <c r="E455" s="3199"/>
    </row>
    <row r="456" spans="1:5" s="1995" customFormat="1">
      <c r="A456" s="3199"/>
      <c r="C456" s="3200"/>
      <c r="E456" s="3199"/>
    </row>
    <row r="457" spans="1:5" s="1995" customFormat="1">
      <c r="A457" s="3199"/>
      <c r="C457" s="3200"/>
      <c r="E457" s="3199"/>
    </row>
    <row r="458" spans="1:5" s="1995" customFormat="1">
      <c r="A458" s="3199"/>
      <c r="C458" s="3200"/>
      <c r="E458" s="3199"/>
    </row>
    <row r="459" spans="1:5" s="1995" customFormat="1">
      <c r="A459" s="3199"/>
      <c r="C459" s="3200"/>
      <c r="E459" s="3199"/>
    </row>
    <row r="460" spans="1:5" s="1995" customFormat="1">
      <c r="A460" s="3199"/>
      <c r="C460" s="3200"/>
      <c r="E460" s="3199"/>
    </row>
    <row r="461" spans="1:5" s="1995" customFormat="1">
      <c r="A461" s="3199"/>
      <c r="C461" s="3200"/>
      <c r="E461" s="3199"/>
    </row>
    <row r="462" spans="1:5" s="1995" customFormat="1">
      <c r="A462" s="3199"/>
      <c r="C462" s="3200"/>
      <c r="E462" s="3199"/>
    </row>
    <row r="463" spans="1:5" s="1995" customFormat="1">
      <c r="A463" s="3199"/>
      <c r="C463" s="3200"/>
      <c r="E463" s="3199"/>
    </row>
    <row r="464" spans="1:5" s="1995" customFormat="1">
      <c r="A464" s="3199"/>
      <c r="C464" s="3200"/>
      <c r="E464" s="3199"/>
    </row>
    <row r="465" spans="1:5" s="1995" customFormat="1">
      <c r="A465" s="3199"/>
      <c r="C465" s="3200"/>
      <c r="E465" s="3199"/>
    </row>
    <row r="466" spans="1:5" s="1995" customFormat="1">
      <c r="A466" s="3199"/>
      <c r="C466" s="3200"/>
      <c r="E466" s="3199"/>
    </row>
    <row r="467" spans="1:5" s="1995" customFormat="1">
      <c r="A467" s="3199"/>
      <c r="C467" s="3200"/>
      <c r="E467" s="3199"/>
    </row>
    <row r="468" spans="1:5" s="1995" customFormat="1">
      <c r="A468" s="3199"/>
      <c r="C468" s="3200"/>
      <c r="E468" s="3199"/>
    </row>
    <row r="469" spans="1:5" s="1995" customFormat="1">
      <c r="A469" s="3199"/>
      <c r="C469" s="3200"/>
      <c r="E469" s="3199"/>
    </row>
    <row r="470" spans="1:5" s="1995" customFormat="1">
      <c r="A470" s="3199"/>
      <c r="C470" s="3200"/>
      <c r="E470" s="3199"/>
    </row>
    <row r="471" spans="1:5" s="1995" customFormat="1">
      <c r="A471" s="3199"/>
      <c r="C471" s="3200"/>
      <c r="E471" s="3199"/>
    </row>
    <row r="472" spans="1:5" s="1995" customFormat="1">
      <c r="A472" s="3199"/>
      <c r="C472" s="3200"/>
      <c r="E472" s="3199"/>
    </row>
    <row r="473" spans="1:5" s="1995" customFormat="1">
      <c r="A473" s="3199"/>
      <c r="C473" s="3200"/>
      <c r="E473" s="3199"/>
    </row>
    <row r="474" spans="1:5" s="1995" customFormat="1">
      <c r="A474" s="3199"/>
      <c r="C474" s="3200"/>
      <c r="E474" s="3199"/>
    </row>
    <row r="475" spans="1:5" s="1995" customFormat="1">
      <c r="A475" s="3199"/>
      <c r="C475" s="3200"/>
      <c r="E475" s="3199"/>
    </row>
    <row r="476" spans="1:5" s="1995" customFormat="1">
      <c r="A476" s="3199"/>
      <c r="C476" s="3200"/>
      <c r="E476" s="3199"/>
    </row>
    <row r="477" spans="1:5" s="1995" customFormat="1">
      <c r="A477" s="3199"/>
      <c r="C477" s="3200"/>
      <c r="E477" s="3199"/>
    </row>
    <row r="478" spans="1:5" s="1995" customFormat="1">
      <c r="A478" s="3199"/>
      <c r="C478" s="3200"/>
      <c r="E478" s="3199"/>
    </row>
    <row r="479" spans="1:5" s="1995" customFormat="1">
      <c r="A479" s="3199"/>
      <c r="C479" s="3200"/>
      <c r="E479" s="3199"/>
    </row>
    <row r="480" spans="1:5" s="1995" customFormat="1">
      <c r="A480" s="3199"/>
      <c r="C480" s="3200"/>
      <c r="E480" s="3199"/>
    </row>
    <row r="481" spans="1:5" s="1995" customFormat="1">
      <c r="A481" s="3199"/>
      <c r="C481" s="3200"/>
      <c r="E481" s="3199"/>
    </row>
    <row r="482" spans="1:5" s="1995" customFormat="1">
      <c r="A482" s="3199"/>
      <c r="C482" s="3200"/>
      <c r="E482" s="3199"/>
    </row>
    <row r="483" spans="1:5" s="1995" customFormat="1">
      <c r="A483" s="3199"/>
      <c r="C483" s="3200"/>
      <c r="E483" s="3199"/>
    </row>
    <row r="484" spans="1:5" s="1995" customFormat="1">
      <c r="A484" s="3199"/>
      <c r="C484" s="3200"/>
      <c r="E484" s="3199"/>
    </row>
    <row r="485" spans="1:5" s="1995" customFormat="1">
      <c r="A485" s="3199"/>
      <c r="C485" s="3200"/>
      <c r="E485" s="3199"/>
    </row>
    <row r="486" spans="1:5" s="1995" customFormat="1">
      <c r="A486" s="3199"/>
      <c r="C486" s="3200"/>
      <c r="E486" s="3199"/>
    </row>
    <row r="487" spans="1:5" s="1995" customFormat="1">
      <c r="A487" s="3199"/>
      <c r="C487" s="3200"/>
      <c r="E487" s="3199"/>
    </row>
    <row r="488" spans="1:5" s="1995" customFormat="1">
      <c r="A488" s="3199"/>
      <c r="C488" s="3200"/>
      <c r="E488" s="3199"/>
    </row>
    <row r="489" spans="1:5" s="1995" customFormat="1">
      <c r="A489" s="3199"/>
      <c r="C489" s="3200"/>
      <c r="E489" s="3199"/>
    </row>
    <row r="490" spans="1:5" s="1995" customFormat="1">
      <c r="A490" s="3199"/>
      <c r="C490" s="3200"/>
      <c r="E490" s="319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459</v>
      </c>
      <c r="B1" s="2524"/>
      <c r="C1" s="1984"/>
      <c r="D1" s="1984"/>
      <c r="E1" s="1984"/>
      <c r="F1" s="1984"/>
      <c r="G1" s="1984"/>
      <c r="H1" s="1984"/>
      <c r="I1" s="1984"/>
      <c r="J1" s="1984"/>
      <c r="K1" s="415">
        <f>MATCH(B1,'数据-取费表'!A6:A16,0)+5</f>
        <v>10</v>
      </c>
      <c r="L1" s="289"/>
      <c r="M1" s="289"/>
      <c r="N1" s="289"/>
      <c r="O1" s="289"/>
      <c r="P1" s="289"/>
      <c r="Q1" s="289"/>
      <c r="R1" s="289"/>
      <c r="S1" s="289"/>
      <c r="T1" s="289"/>
      <c r="U1" s="289"/>
      <c r="V1" s="289"/>
      <c r="W1" s="289"/>
      <c r="X1" s="289"/>
      <c r="Y1" s="289"/>
      <c r="Z1" s="289"/>
    </row>
    <row r="2" spans="1:41" s="1922" customFormat="1" ht="18" customHeight="1">
      <c r="A2" s="416" t="s">
        <v>460</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9" t="s">
        <v>1674</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461</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462</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2632</v>
      </c>
      <c r="B6" s="426"/>
      <c r="C6" s="1549">
        <f>SUM(C10:K10)</f>
        <v>0</v>
      </c>
      <c r="D6" s="1989"/>
      <c r="E6" s="1989"/>
      <c r="F6" s="1989"/>
      <c r="G6" s="1989"/>
      <c r="H6" s="1989"/>
      <c r="I6" s="1989"/>
      <c r="J6" s="1989"/>
      <c r="K6" s="1990"/>
      <c r="L6" s="3191"/>
      <c r="M6" s="3191"/>
      <c r="N6" s="3191"/>
      <c r="O6" s="3191"/>
      <c r="P6" s="3191"/>
      <c r="Q6" s="3191"/>
      <c r="R6" s="3191"/>
      <c r="S6" s="3191"/>
      <c r="T6" s="3191"/>
      <c r="U6" s="3191"/>
      <c r="V6" s="3191"/>
      <c r="W6" s="3191"/>
      <c r="X6" s="3191"/>
      <c r="Y6" s="3191"/>
      <c r="Z6" s="3191"/>
    </row>
    <row r="7" spans="1:41" s="1993" customFormat="1" ht="15">
      <c r="A7" s="427" t="s">
        <v>463</v>
      </c>
      <c r="B7" s="428" t="s">
        <v>464</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7" t="s">
        <v>1835</v>
      </c>
      <c r="B8" s="431" t="s">
        <v>465</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7" t="s">
        <v>1836</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1837</v>
      </c>
      <c r="B10" s="1550" t="s">
        <v>467</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1854</v>
      </c>
      <c r="B11" s="1547"/>
      <c r="C11" s="1547"/>
      <c r="D11" s="1547"/>
      <c r="E11" s="1547"/>
      <c r="F11" s="1547"/>
      <c r="G11" s="1547"/>
      <c r="H11" s="1547"/>
      <c r="I11" s="1547"/>
      <c r="J11" s="1547"/>
      <c r="K11" s="1548"/>
      <c r="L11" s="3191"/>
      <c r="M11" s="3191"/>
      <c r="N11" s="3191"/>
      <c r="O11" s="3191"/>
      <c r="P11" s="3191"/>
      <c r="Q11" s="3191"/>
      <c r="R11" s="3191"/>
      <c r="S11" s="3191"/>
      <c r="T11" s="3191"/>
      <c r="U11" s="3191"/>
      <c r="V11" s="3191"/>
      <c r="W11" s="3191"/>
      <c r="X11" s="3191"/>
      <c r="Y11" s="3191"/>
      <c r="Z11" s="3191"/>
    </row>
    <row r="12" spans="1:41" s="1965" customFormat="1" ht="13.5" customHeight="1">
      <c r="A12" s="427" t="s">
        <v>463</v>
      </c>
      <c r="B12" s="437" t="s">
        <v>464</v>
      </c>
      <c r="C12" s="438" t="s">
        <v>468</v>
      </c>
      <c r="D12" s="439" t="s">
        <v>469</v>
      </c>
      <c r="E12" s="439" t="s">
        <v>470</v>
      </c>
      <c r="F12" s="439" t="s">
        <v>471</v>
      </c>
      <c r="G12" s="437"/>
      <c r="H12" s="440"/>
      <c r="I12" s="440"/>
      <c r="J12" s="440"/>
      <c r="K12" s="441"/>
      <c r="L12" s="3192"/>
      <c r="M12" s="3192"/>
      <c r="N12" s="3192"/>
      <c r="O12" s="3192"/>
      <c r="P12" s="3192"/>
      <c r="Q12" s="3192"/>
      <c r="R12" s="3192"/>
      <c r="S12" s="3192"/>
      <c r="T12" s="3192"/>
      <c r="U12" s="3192"/>
      <c r="V12" s="3192"/>
      <c r="W12" s="3192"/>
      <c r="X12" s="3192"/>
      <c r="Y12" s="3192"/>
      <c r="Z12" s="3192"/>
    </row>
    <row r="13" spans="1:41" s="1996" customFormat="1" ht="13.5" customHeight="1">
      <c r="A13" s="1559" t="s">
        <v>1838</v>
      </c>
      <c r="B13" s="442" t="s">
        <v>472</v>
      </c>
      <c r="C13" s="443">
        <f ca="1">IF(B1="",'数据-取费表'!M16,INDIRECT("'数据-取费表'!M"&amp;$K$1)+INDIRECT("'数据-取费表'!t"&amp;$K$1))</f>
        <v>30381</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59" t="s">
        <v>1839</v>
      </c>
      <c r="B14" s="442" t="s">
        <v>473</v>
      </c>
      <c r="C14" s="53">
        <f ca="1">ROUND(C13*F14,0)</f>
        <v>911</v>
      </c>
      <c r="D14" s="444"/>
      <c r="E14" s="362"/>
      <c r="F14" s="446">
        <f>'数据-取费表'!B33</f>
        <v>0.03</v>
      </c>
      <c r="G14" s="437" t="s">
        <v>495</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59" t="s">
        <v>1840</v>
      </c>
      <c r="B15" s="442" t="s">
        <v>475</v>
      </c>
      <c r="C15" s="53">
        <f ca="1">ROUND(IF(B1="",SUMIF('数据-取费表'!C:C,"住宅",'数据-取费表'!M:M)*F15,IF(INDIRECT("'数据-取费表'!c"&amp;$K$1)="住宅",INDIRECT("'数据-取费表'!M"&amp;$K$1)*F15,0)),0)</f>
        <v>665</v>
      </c>
      <c r="D15" s="444"/>
      <c r="E15" s="362"/>
      <c r="F15" s="446">
        <f>'数据-取费表'!B34</f>
        <v>0.03</v>
      </c>
      <c r="G15" s="437" t="s">
        <v>495</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59" t="s">
        <v>1841</v>
      </c>
      <c r="B16" s="442" t="s">
        <v>477</v>
      </c>
      <c r="C16" s="53">
        <f ca="1">ROUND(D16*E16/10000,0)</f>
        <v>3441</v>
      </c>
      <c r="D16" s="444">
        <f ca="1">IF(B1="",'数据-汇总表'!E3,INDIRECT("'数据-取费表'!K"&amp;$K$1)+INDIRECT("'数据-取费表'!S"&amp;$K$1))</f>
        <v>172032.86</v>
      </c>
      <c r="E16" s="53">
        <f>'数据-取费表'!B35</f>
        <v>200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1842</v>
      </c>
      <c r="B17" s="442" t="s">
        <v>478</v>
      </c>
      <c r="C17" s="447">
        <f ca="1">ROUND(C13*F17,0)</f>
        <v>456</v>
      </c>
      <c r="D17" s="448"/>
      <c r="E17" s="447"/>
      <c r="F17" s="449">
        <f>'数据-取费表'!B36</f>
        <v>1.4999999999999999E-2</v>
      </c>
      <c r="G17" s="437" t="s">
        <v>495</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0" t="s">
        <v>1843</v>
      </c>
      <c r="B18" s="452" t="s">
        <v>480</v>
      </c>
      <c r="C18" s="453">
        <f ca="1">SUM(C13:C17)</f>
        <v>35854</v>
      </c>
      <c r="D18" s="454"/>
      <c r="E18" s="455"/>
      <c r="F18" s="455"/>
      <c r="G18" s="1280" t="s">
        <v>2415</v>
      </c>
      <c r="H18" s="440"/>
      <c r="I18" s="440"/>
      <c r="J18" s="440"/>
      <c r="K18" s="441"/>
      <c r="L18" s="3194"/>
      <c r="M18" s="3194"/>
      <c r="N18" s="3194"/>
      <c r="O18" s="3194"/>
      <c r="P18" s="3194"/>
      <c r="Q18" s="3194"/>
      <c r="R18" s="3194"/>
      <c r="S18" s="3194"/>
      <c r="T18" s="3194"/>
      <c r="U18" s="3194"/>
      <c r="V18" s="3194"/>
      <c r="W18" s="3194"/>
      <c r="X18" s="3194"/>
      <c r="Y18" s="3194"/>
      <c r="Z18" s="3194"/>
    </row>
    <row r="19" spans="1:26" s="1999" customFormat="1" ht="13.5" customHeight="1">
      <c r="A19" s="1560" t="s">
        <v>1844</v>
      </c>
      <c r="B19" s="452" t="s">
        <v>486</v>
      </c>
      <c r="C19" s="453">
        <f ca="1">ROUND(C18*F19,0)</f>
        <v>538</v>
      </c>
      <c r="D19" s="455"/>
      <c r="E19" s="455"/>
      <c r="F19" s="459">
        <f>'数据-取费表'!B37</f>
        <v>1.4999999999999999E-2</v>
      </c>
      <c r="G19" s="437" t="s">
        <v>496</v>
      </c>
      <c r="H19" s="440"/>
      <c r="I19" s="440"/>
      <c r="J19" s="440"/>
      <c r="K19" s="441"/>
      <c r="L19" s="3196"/>
      <c r="M19" s="3196"/>
      <c r="N19" s="3196"/>
      <c r="O19" s="3194"/>
      <c r="P19" s="3194"/>
      <c r="Q19" s="3194"/>
      <c r="R19" s="3194"/>
      <c r="S19" s="3194"/>
      <c r="T19" s="3194"/>
      <c r="U19" s="3194"/>
      <c r="V19" s="3194"/>
      <c r="W19" s="3194"/>
      <c r="X19" s="3194"/>
      <c r="Y19" s="3194"/>
      <c r="Z19" s="3194"/>
    </row>
    <row r="20" spans="1:26" s="1999" customFormat="1" ht="13.5" customHeight="1">
      <c r="A20" s="1560" t="s">
        <v>1845</v>
      </c>
      <c r="B20" s="452" t="s">
        <v>497</v>
      </c>
      <c r="C20" s="2737">
        <f>F20</f>
        <v>1.4999999999999999E-2</v>
      </c>
      <c r="D20" s="462" t="s">
        <v>498</v>
      </c>
      <c r="E20" s="462"/>
      <c r="F20" s="479">
        <f>'数据-取费表'!B38</f>
        <v>1.4999999999999999E-2</v>
      </c>
      <c r="G20" s="1280" t="s">
        <v>499</v>
      </c>
      <c r="H20" s="440"/>
      <c r="I20" s="440"/>
      <c r="J20" s="440"/>
      <c r="K20" s="441"/>
      <c r="L20" s="3196"/>
      <c r="M20" s="3196"/>
      <c r="N20" s="3196"/>
      <c r="O20" s="3194"/>
      <c r="P20" s="3194"/>
      <c r="Q20" s="3194"/>
      <c r="R20" s="3194"/>
      <c r="S20" s="3194"/>
      <c r="T20" s="3194"/>
      <c r="U20" s="3194"/>
      <c r="V20" s="3194"/>
      <c r="W20" s="3194"/>
      <c r="X20" s="3194"/>
      <c r="Y20" s="3194"/>
      <c r="Z20" s="3194"/>
    </row>
    <row r="21" spans="1:26" s="2001" customFormat="1" ht="13.5" customHeight="1">
      <c r="A21" s="1560" t="s">
        <v>1848</v>
      </c>
      <c r="B21" s="454" t="s">
        <v>487</v>
      </c>
      <c r="C21" s="463">
        <f ca="1">C22</f>
        <v>2173</v>
      </c>
      <c r="D21" s="460">
        <f ca="1">C23</f>
        <v>8.9999999999999998E-4</v>
      </c>
      <c r="E21" s="462" t="s">
        <v>500</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2" t="s">
        <v>2436</v>
      </c>
      <c r="M21" s="3203"/>
      <c r="N21" s="3203"/>
      <c r="O21" s="3203"/>
      <c r="P21" s="3203"/>
      <c r="Q21" s="3196"/>
      <c r="R21" s="3196"/>
      <c r="S21" s="3196"/>
      <c r="T21" s="3196"/>
      <c r="U21" s="3196"/>
      <c r="V21" s="3196"/>
      <c r="W21" s="3196"/>
      <c r="X21" s="3196"/>
      <c r="Y21" s="3196"/>
      <c r="Z21" s="3196"/>
    </row>
    <row r="22" spans="1:26" s="2000" customFormat="1" ht="13.5" customHeight="1">
      <c r="A22" s="1559" t="s">
        <v>1838</v>
      </c>
      <c r="B22" s="1281" t="s">
        <v>2418</v>
      </c>
      <c r="C22" s="480">
        <f ca="1">ROUND(IF('数据-取费表'!B22&lt;=1,(C18+C19)*F21*'数据-取费表'!B20/2,(C18+C19)*(POWER((1+F21),'数据-取费表'!B20/2)-1)),0)</f>
        <v>2173</v>
      </c>
      <c r="D22" s="465"/>
      <c r="E22" s="466"/>
      <c r="F22" s="467"/>
      <c r="G22" s="2418" t="str">
        <f>IF('数据-取费表'!B22&lt;=1,"((1)+(2))×年利率×建设期÷2","((1)+(2))×((1+年利率)^(建设期÷2)-1)")</f>
        <v>((1)+(2))×((1+年利率)^(建设期÷2)-1)</v>
      </c>
      <c r="H22" s="450"/>
      <c r="I22" s="450"/>
      <c r="J22" s="450"/>
      <c r="K22" s="451"/>
      <c r="L22" s="3195"/>
      <c r="M22" s="3195"/>
      <c r="N22" s="3195"/>
      <c r="O22" s="3195"/>
      <c r="P22" s="3195"/>
      <c r="Q22" s="3195"/>
      <c r="R22" s="3195"/>
      <c r="S22" s="3195"/>
      <c r="T22" s="3195"/>
      <c r="U22" s="3195"/>
      <c r="V22" s="3195"/>
      <c r="W22" s="3195"/>
      <c r="X22" s="3195"/>
      <c r="Y22" s="3195"/>
      <c r="Z22" s="3195"/>
    </row>
    <row r="23" spans="1:26" s="2000" customFormat="1" ht="13.5" customHeight="1">
      <c r="A23" s="1559" t="s">
        <v>1839</v>
      </c>
      <c r="B23" s="1281" t="s">
        <v>501</v>
      </c>
      <c r="C23" s="481">
        <f ca="1">ROUND(IF('数据-取费表'!B22&lt;=1,F20*F21*'数据-取费表'!B20/2,F20*(POWER((1+F21),'数据-取费表'!B20/2)-1)),4)</f>
        <v>8.9999999999999998E-4</v>
      </c>
      <c r="D23" s="465"/>
      <c r="E23" s="466"/>
      <c r="F23" s="467"/>
      <c r="G23" s="2418" t="str">
        <f>IF('数据-取费表'!B22&lt;=1,"销售费用率×年利率×建设期÷2","销售费用率×((1+年利率)^(建设期÷2)-1)")</f>
        <v>销售费用率×((1+年利率)^(建设期÷2)-1)</v>
      </c>
      <c r="H23" s="450"/>
      <c r="I23" s="450"/>
      <c r="J23" s="450"/>
      <c r="K23" s="451"/>
      <c r="L23" s="3195"/>
      <c r="M23" s="3195"/>
      <c r="N23" s="3195"/>
      <c r="O23" s="3195"/>
      <c r="P23" s="3195"/>
      <c r="Q23" s="3195"/>
      <c r="R23" s="3195"/>
      <c r="S23" s="3195"/>
      <c r="T23" s="3195"/>
      <c r="U23" s="3195"/>
      <c r="V23" s="3195"/>
      <c r="W23" s="3195"/>
      <c r="X23" s="3195"/>
      <c r="Y23" s="3195"/>
      <c r="Z23" s="3195"/>
    </row>
    <row r="24" spans="1:26" s="2000" customFormat="1" ht="13.5" customHeight="1">
      <c r="A24" s="1560" t="s">
        <v>1849</v>
      </c>
      <c r="B24" s="2739" t="s">
        <v>2811</v>
      </c>
      <c r="C24" s="471">
        <f ca="1">C25</f>
        <v>4731</v>
      </c>
      <c r="D24" s="482">
        <f ca="1">C26</f>
        <v>2E-3</v>
      </c>
      <c r="E24" s="462" t="s">
        <v>500</v>
      </c>
      <c r="F24" s="472">
        <f ca="1">IF(B1="",'数据-取费表'!Q16,INDIRECT("'数据-取费表'!q"&amp;$K$1))</f>
        <v>0.13</v>
      </c>
      <c r="G24" s="437"/>
      <c r="H24" s="440"/>
      <c r="I24" s="440"/>
      <c r="J24" s="440"/>
      <c r="K24" s="441"/>
      <c r="L24" s="3195"/>
      <c r="M24" s="3195"/>
      <c r="N24" s="3195"/>
      <c r="O24" s="3195"/>
      <c r="P24" s="3195"/>
      <c r="Q24" s="3195"/>
      <c r="R24" s="3195"/>
      <c r="S24" s="3195"/>
      <c r="T24" s="3195"/>
      <c r="U24" s="3195"/>
      <c r="V24" s="3195"/>
      <c r="W24" s="3195"/>
      <c r="X24" s="3195"/>
      <c r="Y24" s="3195"/>
      <c r="Z24" s="3195"/>
    </row>
    <row r="25" spans="1:26" s="2000" customFormat="1" ht="13.5" customHeight="1">
      <c r="A25" s="1559" t="s">
        <v>1838</v>
      </c>
      <c r="B25" s="1281" t="s">
        <v>2419</v>
      </c>
      <c r="C25" s="483">
        <f ca="1">ROUND((C18+C19)*F24,0)</f>
        <v>4731</v>
      </c>
      <c r="D25" s="465"/>
      <c r="E25" s="466"/>
      <c r="F25" s="473"/>
      <c r="G25" s="1279" t="s">
        <v>2416</v>
      </c>
      <c r="H25" s="450"/>
      <c r="I25" s="450"/>
      <c r="J25" s="450"/>
      <c r="K25" s="451"/>
      <c r="L25" s="3195"/>
      <c r="M25" s="3195"/>
      <c r="N25" s="3195"/>
      <c r="O25" s="3195"/>
      <c r="P25" s="3195"/>
      <c r="Q25" s="3195"/>
      <c r="R25" s="3195"/>
      <c r="S25" s="3195"/>
      <c r="T25" s="3195"/>
      <c r="U25" s="3195"/>
      <c r="V25" s="3195"/>
      <c r="W25" s="3195"/>
      <c r="X25" s="3195"/>
      <c r="Y25" s="3195"/>
      <c r="Z25" s="3195"/>
    </row>
    <row r="26" spans="1:26" s="2000" customFormat="1" ht="13.5" customHeight="1">
      <c r="A26" s="1559" t="s">
        <v>1839</v>
      </c>
      <c r="B26" s="1281" t="s">
        <v>502</v>
      </c>
      <c r="C26" s="484">
        <f ca="1">ROUND(F20*F24,4)</f>
        <v>2E-3</v>
      </c>
      <c r="D26" s="465"/>
      <c r="E26" s="474"/>
      <c r="F26" s="473"/>
      <c r="G26" s="1279" t="s">
        <v>503</v>
      </c>
      <c r="H26" s="450"/>
      <c r="I26" s="450"/>
      <c r="J26" s="450"/>
      <c r="K26" s="451"/>
      <c r="L26" s="3195"/>
      <c r="M26" s="3195"/>
      <c r="N26" s="3195"/>
      <c r="O26" s="3195"/>
      <c r="P26" s="3195"/>
      <c r="Q26" s="3195"/>
      <c r="R26" s="3195"/>
      <c r="S26" s="3195"/>
      <c r="T26" s="3195"/>
      <c r="U26" s="3195"/>
      <c r="V26" s="3195"/>
      <c r="W26" s="3195"/>
      <c r="X26" s="3195"/>
      <c r="Y26" s="3195"/>
      <c r="Z26" s="3195"/>
    </row>
    <row r="27" spans="1:26" s="2000" customFormat="1" ht="13.5" customHeight="1">
      <c r="A27" s="1563" t="s">
        <v>1857</v>
      </c>
      <c r="B27" s="452" t="s">
        <v>504</v>
      </c>
      <c r="C27" s="2738">
        <f>ROUND(F27/(1+'数据-取费表'!C42),4)</f>
        <v>5.2400000000000002E-2</v>
      </c>
      <c r="D27" s="455" t="s">
        <v>2809</v>
      </c>
      <c r="E27" s="455"/>
      <c r="F27" s="459">
        <f>'数据-取费表'!B41</f>
        <v>5.5000000000000007E-2</v>
      </c>
      <c r="G27" s="1872" t="s">
        <v>2278</v>
      </c>
      <c r="H27" s="440"/>
      <c r="I27" s="440"/>
      <c r="J27" s="440"/>
      <c r="K27" s="441"/>
      <c r="L27" s="3195"/>
      <c r="M27" s="3195"/>
      <c r="N27" s="3195"/>
      <c r="O27" s="3195"/>
      <c r="P27" s="3195"/>
      <c r="Q27" s="3195"/>
      <c r="R27" s="3195"/>
      <c r="S27" s="3195"/>
      <c r="T27" s="3195"/>
      <c r="U27" s="3195"/>
      <c r="V27" s="3195"/>
      <c r="W27" s="3195"/>
      <c r="X27" s="3195"/>
      <c r="Y27" s="3195"/>
      <c r="Z27" s="3195"/>
    </row>
    <row r="28" spans="1:26" s="2001" customFormat="1" ht="13.5" customHeight="1">
      <c r="A28" s="1563" t="s">
        <v>1858</v>
      </c>
      <c r="B28" s="469" t="s">
        <v>505</v>
      </c>
      <c r="C28" s="463">
        <f ca="1">ROUND((C18+C19+C21+C24)/(1-C20-D21-D24-C27),0)</f>
        <v>46570</v>
      </c>
      <c r="D28" s="470"/>
      <c r="E28" s="462"/>
      <c r="F28" s="464"/>
      <c r="G28" s="1280" t="s">
        <v>2417</v>
      </c>
      <c r="H28" s="440"/>
      <c r="I28" s="440"/>
      <c r="J28" s="440"/>
      <c r="K28" s="441"/>
      <c r="L28" s="3196"/>
      <c r="M28" s="3196"/>
      <c r="N28" s="3196"/>
      <c r="O28" s="3196"/>
      <c r="P28" s="3196"/>
      <c r="Q28" s="3196"/>
      <c r="R28" s="3196"/>
      <c r="S28" s="3196"/>
      <c r="T28" s="3196"/>
      <c r="U28" s="3196"/>
      <c r="V28" s="3196"/>
      <c r="W28" s="3196"/>
      <c r="X28" s="3196"/>
      <c r="Y28" s="3196"/>
      <c r="Z28" s="3196"/>
    </row>
    <row r="29" spans="1:26" s="2001" customFormat="1" ht="13.5" customHeight="1">
      <c r="A29" s="1563" t="s">
        <v>1859</v>
      </c>
      <c r="B29" s="469" t="s">
        <v>506</v>
      </c>
      <c r="C29" s="485">
        <f ca="1">IF(B1="",'数据-取费表'!N16,INDIRECT("'数据-取费表'!N"&amp;$K$1))</f>
        <v>0</v>
      </c>
      <c r="D29" s="486"/>
      <c r="E29" s="487"/>
      <c r="F29" s="488"/>
      <c r="G29" s="437"/>
      <c r="H29" s="440"/>
      <c r="I29" s="440"/>
      <c r="J29" s="440"/>
      <c r="K29" s="441"/>
      <c r="L29" s="3196"/>
      <c r="M29" s="3196"/>
      <c r="N29" s="3196"/>
      <c r="O29" s="3196"/>
      <c r="P29" s="3196"/>
      <c r="Q29" s="3196"/>
      <c r="R29" s="3196"/>
      <c r="S29" s="3196"/>
      <c r="T29" s="3196"/>
      <c r="U29" s="3196"/>
      <c r="V29" s="3196"/>
      <c r="W29" s="3196"/>
      <c r="X29" s="3196"/>
      <c r="Y29" s="3196"/>
      <c r="Z29" s="3196"/>
    </row>
    <row r="30" spans="1:26" s="2001" customFormat="1" ht="13.5" customHeight="1">
      <c r="A30" s="436">
        <v>2</v>
      </c>
      <c r="B30" s="469" t="s">
        <v>507</v>
      </c>
      <c r="C30" s="490">
        <f ca="1">ROUND(C28*C29,0)</f>
        <v>0</v>
      </c>
      <c r="D30" s="486"/>
      <c r="E30" s="491"/>
      <c r="F30" s="492"/>
      <c r="G30" s="1282" t="s">
        <v>508</v>
      </c>
      <c r="H30" s="489"/>
      <c r="I30" s="489"/>
      <c r="J30" s="440"/>
      <c r="K30" s="441"/>
      <c r="L30" s="3196"/>
      <c r="M30" s="3196"/>
      <c r="N30" s="3196"/>
      <c r="O30" s="3196"/>
      <c r="P30" s="3196"/>
      <c r="Q30" s="3196"/>
      <c r="R30" s="3196"/>
      <c r="S30" s="3196"/>
      <c r="T30" s="3196"/>
      <c r="U30" s="3196"/>
      <c r="V30" s="3196"/>
      <c r="W30" s="3196"/>
      <c r="X30" s="3196"/>
      <c r="Y30" s="3196"/>
      <c r="Z30" s="3196"/>
    </row>
    <row r="31" spans="1:26" s="2006" customFormat="1" ht="13.5" customHeight="1">
      <c r="A31" s="2333" t="s">
        <v>1855</v>
      </c>
      <c r="B31" s="1283"/>
      <c r="C31" s="493">
        <f>ROUND(C6*F31/(1+'数据-取费表'!C42),0)</f>
        <v>0</v>
      </c>
      <c r="D31" s="1284"/>
      <c r="E31" s="1284"/>
      <c r="F31" s="494">
        <f>'数据-取费表'!B41</f>
        <v>5.5000000000000007E-2</v>
      </c>
      <c r="G31" s="1285"/>
      <c r="H31" s="1285"/>
      <c r="I31" s="1285"/>
      <c r="J31" s="1286"/>
      <c r="K31" s="1287"/>
      <c r="L31" s="3201"/>
      <c r="M31" s="3201"/>
      <c r="N31" s="3201"/>
      <c r="O31" s="3201"/>
      <c r="P31" s="3201"/>
      <c r="Q31" s="3201"/>
      <c r="R31" s="3201"/>
      <c r="S31" s="3201"/>
      <c r="T31" s="3201"/>
      <c r="U31" s="3201"/>
      <c r="V31" s="3201"/>
      <c r="W31" s="3201"/>
      <c r="X31" s="3201"/>
      <c r="Y31" s="3201"/>
      <c r="Z31" s="3201"/>
    </row>
    <row r="32" spans="1:26" s="1965"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4" t="s">
        <v>2936</v>
      </c>
      <c r="H32" s="476"/>
      <c r="I32" s="476"/>
      <c r="J32" s="476"/>
      <c r="K32" s="478"/>
      <c r="L32" s="3192"/>
      <c r="M32" s="3192"/>
      <c r="N32" s="3192"/>
      <c r="O32" s="3192"/>
      <c r="P32" s="3192"/>
      <c r="Q32" s="3192"/>
      <c r="R32" s="3192"/>
      <c r="S32" s="3192"/>
      <c r="T32" s="3192"/>
      <c r="U32" s="3192"/>
      <c r="V32" s="3192"/>
      <c r="W32" s="3192"/>
      <c r="X32" s="3192"/>
      <c r="Y32" s="3192"/>
      <c r="Z32" s="3192"/>
    </row>
    <row r="33" spans="1:5" s="1995" customFormat="1">
      <c r="A33" s="3199"/>
      <c r="C33" s="3200"/>
      <c r="E33" s="3199"/>
    </row>
    <row r="34" spans="1:5" s="1995" customFormat="1" ht="12.75" customHeight="1">
      <c r="A34" s="3199"/>
      <c r="C34" s="3200"/>
      <c r="E34" s="3199"/>
    </row>
    <row r="35" spans="1:5" s="1995" customFormat="1">
      <c r="A35" s="3199"/>
      <c r="C35" s="3200"/>
      <c r="E35" s="3199"/>
    </row>
    <row r="36" spans="1:5" s="1995" customFormat="1">
      <c r="A36" s="3199"/>
      <c r="C36" s="3200"/>
      <c r="E36" s="3199"/>
    </row>
    <row r="37" spans="1:5" s="1995" customFormat="1">
      <c r="A37" s="3199"/>
      <c r="C37" s="3200"/>
      <c r="E37" s="3199"/>
    </row>
    <row r="38" spans="1:5" s="1995" customFormat="1">
      <c r="A38" s="3199"/>
      <c r="C38" s="3200"/>
      <c r="E38" s="3199"/>
    </row>
    <row r="39" spans="1:5" s="1995" customFormat="1">
      <c r="A39" s="3199"/>
      <c r="C39" s="3200"/>
      <c r="E39" s="3199"/>
    </row>
    <row r="40" spans="1:5" s="1995" customFormat="1">
      <c r="A40" s="3199"/>
      <c r="C40" s="3200"/>
      <c r="E40" s="3199"/>
    </row>
    <row r="41" spans="1:5" s="1995" customFormat="1">
      <c r="A41" s="3199"/>
      <c r="C41" s="3200"/>
      <c r="E41" s="3199"/>
    </row>
    <row r="42" spans="1:5" s="1995" customFormat="1">
      <c r="A42" s="3199"/>
      <c r="C42" s="3200"/>
      <c r="E42" s="3199"/>
    </row>
    <row r="43" spans="1:5" s="1995" customFormat="1">
      <c r="A43" s="3199"/>
      <c r="C43" s="3200"/>
      <c r="E43" s="3199"/>
    </row>
    <row r="44" spans="1:5" s="1995" customFormat="1">
      <c r="A44" s="3199"/>
      <c r="C44" s="3200"/>
      <c r="E44" s="3199"/>
    </row>
    <row r="45" spans="1:5" s="1995" customFormat="1">
      <c r="A45" s="3199"/>
      <c r="C45" s="3200"/>
      <c r="E45" s="3199"/>
    </row>
    <row r="46" spans="1:5" s="1995" customFormat="1">
      <c r="A46" s="3199"/>
      <c r="C46" s="3200"/>
      <c r="E46" s="3199"/>
    </row>
    <row r="47" spans="1:5" s="1995" customFormat="1">
      <c r="A47" s="3199"/>
      <c r="C47" s="3200"/>
      <c r="E47" s="3199"/>
    </row>
    <row r="48" spans="1:5" s="1995" customFormat="1">
      <c r="A48" s="3199"/>
      <c r="C48" s="3200"/>
      <c r="E48" s="3199"/>
    </row>
    <row r="49" spans="1:5" s="1995" customFormat="1">
      <c r="A49" s="3199"/>
      <c r="C49" s="3200"/>
      <c r="E49" s="3199"/>
    </row>
    <row r="50" spans="1:5" s="1995" customFormat="1">
      <c r="A50" s="3199"/>
      <c r="C50" s="3200"/>
      <c r="E50" s="3199"/>
    </row>
    <row r="51" spans="1:5" s="1995" customFormat="1">
      <c r="A51" s="3199"/>
      <c r="C51" s="3200"/>
      <c r="E51" s="3199"/>
    </row>
    <row r="52" spans="1:5" s="1995" customFormat="1">
      <c r="A52" s="3199"/>
      <c r="C52" s="3200"/>
      <c r="E52" s="3199"/>
    </row>
    <row r="53" spans="1:5" s="1995" customFormat="1">
      <c r="A53" s="3199"/>
      <c r="C53" s="3200"/>
      <c r="E53" s="3199"/>
    </row>
    <row r="54" spans="1:5" s="1995" customFormat="1">
      <c r="A54" s="3199"/>
      <c r="C54" s="3200"/>
      <c r="E54" s="3199"/>
    </row>
    <row r="55" spans="1:5" s="1995" customFormat="1">
      <c r="A55" s="3199"/>
      <c r="C55" s="3200"/>
      <c r="E55" s="3199"/>
    </row>
    <row r="56" spans="1:5" s="1995" customFormat="1">
      <c r="A56" s="3199"/>
      <c r="C56" s="3200"/>
      <c r="E56" s="3199"/>
    </row>
    <row r="57" spans="1:5" s="1995" customFormat="1">
      <c r="A57" s="3199"/>
      <c r="C57" s="3200"/>
      <c r="E57" s="3199"/>
    </row>
    <row r="58" spans="1:5" s="1995" customFormat="1">
      <c r="A58" s="3199"/>
      <c r="C58" s="3200"/>
      <c r="E58" s="3199"/>
    </row>
    <row r="59" spans="1:5" s="1995" customFormat="1">
      <c r="A59" s="3199"/>
      <c r="C59" s="3200"/>
      <c r="E59" s="3199"/>
    </row>
    <row r="60" spans="1:5" s="1995" customFormat="1">
      <c r="A60" s="3199"/>
      <c r="C60" s="3200"/>
      <c r="E60" s="3199"/>
    </row>
    <row r="61" spans="1:5" s="1995" customFormat="1">
      <c r="A61" s="3199"/>
      <c r="C61" s="3200"/>
      <c r="E61" s="3199"/>
    </row>
    <row r="62" spans="1:5" s="1995" customFormat="1">
      <c r="A62" s="3199"/>
      <c r="C62" s="3200"/>
      <c r="E62" s="3199"/>
    </row>
    <row r="63" spans="1:5" s="1995" customFormat="1">
      <c r="A63" s="3199"/>
      <c r="C63" s="3200"/>
      <c r="E63" s="3199"/>
    </row>
    <row r="64" spans="1:5" s="1995" customFormat="1">
      <c r="A64" s="3199"/>
      <c r="C64" s="3200"/>
      <c r="E64" s="3199"/>
    </row>
    <row r="65" spans="1:5" s="1995" customFormat="1">
      <c r="A65" s="3199"/>
      <c r="C65" s="3200"/>
      <c r="E65" s="3199"/>
    </row>
    <row r="66" spans="1:5" s="1995" customFormat="1">
      <c r="A66" s="3199"/>
      <c r="C66" s="3200"/>
      <c r="E66" s="3199"/>
    </row>
    <row r="67" spans="1:5" s="1995" customFormat="1">
      <c r="A67" s="3199"/>
      <c r="C67" s="3200"/>
      <c r="E67" s="3199"/>
    </row>
    <row r="68" spans="1:5" s="1995" customFormat="1">
      <c r="A68" s="3199"/>
      <c r="C68" s="3200"/>
      <c r="E68" s="3199"/>
    </row>
    <row r="69" spans="1:5" s="1995" customFormat="1">
      <c r="A69" s="3199"/>
      <c r="C69" s="3200"/>
      <c r="E69" s="3199"/>
    </row>
    <row r="70" spans="1:5" s="1995" customFormat="1">
      <c r="A70" s="3199"/>
      <c r="C70" s="3200"/>
      <c r="E70" s="3199"/>
    </row>
    <row r="71" spans="1:5" s="1995" customFormat="1">
      <c r="A71" s="3199"/>
      <c r="C71" s="3200"/>
      <c r="E71" s="3199"/>
    </row>
    <row r="72" spans="1:5" s="1995" customFormat="1">
      <c r="A72" s="3199"/>
      <c r="C72" s="3200"/>
      <c r="E72" s="3199"/>
    </row>
    <row r="73" spans="1:5" s="1995" customFormat="1">
      <c r="A73" s="3199"/>
      <c r="C73" s="3200"/>
      <c r="E73" s="3199"/>
    </row>
    <row r="74" spans="1:5" s="1995" customFormat="1">
      <c r="A74" s="3199"/>
      <c r="C74" s="3200"/>
      <c r="E74" s="3199"/>
    </row>
    <row r="75" spans="1:5" s="1995" customFormat="1">
      <c r="A75" s="3199"/>
      <c r="C75" s="3200"/>
      <c r="E75" s="3199"/>
    </row>
    <row r="76" spans="1:5" s="1995" customFormat="1">
      <c r="A76" s="3199"/>
      <c r="C76" s="3200"/>
      <c r="E76" s="3199"/>
    </row>
    <row r="77" spans="1:5" s="1995" customFormat="1">
      <c r="A77" s="3199"/>
      <c r="C77" s="3200"/>
      <c r="E77" s="3199"/>
    </row>
    <row r="78" spans="1:5" s="1995" customFormat="1">
      <c r="A78" s="3199"/>
      <c r="C78" s="3200"/>
      <c r="E78" s="3199"/>
    </row>
    <row r="79" spans="1:5" s="1995" customFormat="1">
      <c r="A79" s="3199"/>
      <c r="C79" s="3200"/>
      <c r="E79" s="3199"/>
    </row>
    <row r="80" spans="1:5" s="1995" customFormat="1">
      <c r="A80" s="3199"/>
      <c r="C80" s="3200"/>
      <c r="E80" s="3199"/>
    </row>
    <row r="81" spans="1:5" s="1995" customFormat="1">
      <c r="A81" s="3199"/>
      <c r="C81" s="3200"/>
      <c r="E81" s="3199"/>
    </row>
    <row r="82" spans="1:5" s="1995" customFormat="1">
      <c r="A82" s="3199"/>
      <c r="C82" s="3200"/>
      <c r="E82" s="3199"/>
    </row>
    <row r="83" spans="1:5" s="1995" customFormat="1">
      <c r="A83" s="3199"/>
      <c r="C83" s="3200"/>
      <c r="E83" s="3199"/>
    </row>
    <row r="84" spans="1:5" s="1995" customFormat="1">
      <c r="A84" s="3199"/>
      <c r="C84" s="3200"/>
      <c r="E84" s="3199"/>
    </row>
    <row r="85" spans="1:5" s="1995" customFormat="1">
      <c r="A85" s="3199"/>
      <c r="C85" s="3200"/>
      <c r="E85" s="3199"/>
    </row>
    <row r="86" spans="1:5" s="1995" customFormat="1">
      <c r="A86" s="3199"/>
      <c r="C86" s="3200"/>
      <c r="E86" s="3199"/>
    </row>
    <row r="87" spans="1:5" s="1995" customFormat="1">
      <c r="A87" s="3199"/>
      <c r="C87" s="3200"/>
      <c r="E87" s="3199"/>
    </row>
    <row r="88" spans="1:5" s="1995" customFormat="1">
      <c r="A88" s="3199"/>
      <c r="C88" s="3200"/>
      <c r="E88" s="3199"/>
    </row>
    <row r="89" spans="1:5" s="1995" customFormat="1">
      <c r="A89" s="3199"/>
      <c r="C89" s="3200"/>
      <c r="E89" s="3199"/>
    </row>
    <row r="90" spans="1:5" s="1995" customFormat="1">
      <c r="A90" s="3199"/>
      <c r="C90" s="3200"/>
      <c r="E90" s="3199"/>
    </row>
    <row r="91" spans="1:5" s="1995" customFormat="1">
      <c r="A91" s="3199"/>
      <c r="C91" s="3200"/>
      <c r="E91" s="3199"/>
    </row>
    <row r="92" spans="1:5" s="1995" customFormat="1">
      <c r="A92" s="3199"/>
      <c r="C92" s="3200"/>
      <c r="E92" s="3199"/>
    </row>
    <row r="93" spans="1:5" s="1995" customFormat="1">
      <c r="A93" s="3199"/>
      <c r="C93" s="3200"/>
      <c r="E93" s="3199"/>
    </row>
    <row r="94" spans="1:5" s="1995" customFormat="1">
      <c r="A94" s="3199"/>
      <c r="C94" s="3200"/>
      <c r="E94" s="3199"/>
    </row>
    <row r="95" spans="1:5" s="1995" customFormat="1">
      <c r="A95" s="3199"/>
      <c r="C95" s="3200"/>
      <c r="E95" s="3199"/>
    </row>
    <row r="96" spans="1:5" s="1995" customFormat="1">
      <c r="A96" s="3199"/>
      <c r="C96" s="3200"/>
      <c r="E96" s="3199"/>
    </row>
    <row r="97" spans="1:5" s="1995" customFormat="1">
      <c r="A97" s="3199"/>
      <c r="C97" s="3200"/>
      <c r="E97" s="3199"/>
    </row>
    <row r="98" spans="1:5" s="1995" customFormat="1">
      <c r="A98" s="3199"/>
      <c r="C98" s="3200"/>
      <c r="E98" s="3199"/>
    </row>
    <row r="99" spans="1:5" s="1995" customFormat="1">
      <c r="A99" s="3199"/>
      <c r="C99" s="3200"/>
      <c r="E99" s="3199"/>
    </row>
    <row r="100" spans="1:5" s="1995" customFormat="1">
      <c r="A100" s="3199"/>
      <c r="C100" s="3200"/>
      <c r="E100" s="3199"/>
    </row>
    <row r="101" spans="1:5" s="1995" customFormat="1">
      <c r="A101" s="3199"/>
      <c r="C101" s="3200"/>
      <c r="E101" s="3199"/>
    </row>
    <row r="102" spans="1:5" s="1995" customFormat="1">
      <c r="A102" s="3199"/>
      <c r="C102" s="3200"/>
      <c r="E102" s="3199"/>
    </row>
    <row r="103" spans="1:5" s="1995" customFormat="1">
      <c r="A103" s="3199"/>
      <c r="C103" s="3200"/>
      <c r="E103" s="3199"/>
    </row>
    <row r="104" spans="1:5" s="1995" customFormat="1">
      <c r="A104" s="3199"/>
      <c r="C104" s="3200"/>
      <c r="E104" s="3199"/>
    </row>
    <row r="105" spans="1:5" s="1995" customFormat="1">
      <c r="A105" s="3199"/>
      <c r="C105" s="3200"/>
      <c r="E105" s="3199"/>
    </row>
    <row r="106" spans="1:5" s="1995" customFormat="1">
      <c r="A106" s="3199"/>
      <c r="C106" s="3200"/>
      <c r="E106" s="3199"/>
    </row>
    <row r="107" spans="1:5" s="1995" customFormat="1">
      <c r="A107" s="3199"/>
      <c r="C107" s="3200"/>
      <c r="E107" s="3199"/>
    </row>
    <row r="108" spans="1:5" s="1995" customFormat="1">
      <c r="A108" s="3199"/>
      <c r="C108" s="3200"/>
      <c r="E108" s="3199"/>
    </row>
    <row r="109" spans="1:5" s="1995" customFormat="1">
      <c r="A109" s="3199"/>
      <c r="C109" s="3200"/>
      <c r="E109" s="3199"/>
    </row>
    <row r="110" spans="1:5" s="1995" customFormat="1">
      <c r="A110" s="3199"/>
      <c r="C110" s="3200"/>
      <c r="E110" s="3199"/>
    </row>
    <row r="111" spans="1:5" s="1995" customFormat="1">
      <c r="A111" s="3199"/>
      <c r="C111" s="3200"/>
      <c r="E111" s="3199"/>
    </row>
    <row r="112" spans="1:5" s="1995" customFormat="1">
      <c r="A112" s="3199"/>
      <c r="C112" s="3200"/>
      <c r="E112" s="3199"/>
    </row>
    <row r="113" spans="1:5" s="1995" customFormat="1">
      <c r="A113" s="3199"/>
      <c r="C113" s="3200"/>
      <c r="E113" s="3199"/>
    </row>
    <row r="114" spans="1:5" s="1995" customFormat="1">
      <c r="A114" s="3199"/>
      <c r="C114" s="3200"/>
      <c r="E114" s="3199"/>
    </row>
    <row r="115" spans="1:5" s="1995" customFormat="1">
      <c r="A115" s="3199"/>
      <c r="C115" s="3200"/>
      <c r="E115" s="3199"/>
    </row>
    <row r="116" spans="1:5" s="1995" customFormat="1">
      <c r="A116" s="3199"/>
      <c r="C116" s="3200"/>
      <c r="E116" s="3199"/>
    </row>
    <row r="117" spans="1:5" s="1995" customFormat="1">
      <c r="A117" s="3199"/>
      <c r="C117" s="3200"/>
      <c r="E117" s="3199"/>
    </row>
    <row r="118" spans="1:5" s="1995" customFormat="1">
      <c r="A118" s="3199"/>
      <c r="C118" s="3200"/>
      <c r="E118" s="3199"/>
    </row>
    <row r="119" spans="1:5" s="1995" customFormat="1">
      <c r="A119" s="3199"/>
      <c r="C119" s="3200"/>
      <c r="E119" s="3199"/>
    </row>
    <row r="120" spans="1:5" s="1995" customFormat="1">
      <c r="A120" s="3199"/>
      <c r="C120" s="3200"/>
      <c r="E120" s="3199"/>
    </row>
    <row r="121" spans="1:5" s="1995" customFormat="1">
      <c r="A121" s="3199"/>
      <c r="C121" s="3200"/>
      <c r="E121" s="3199"/>
    </row>
    <row r="122" spans="1:5" s="1995" customFormat="1">
      <c r="A122" s="3199"/>
      <c r="C122" s="3200"/>
      <c r="E122" s="3199"/>
    </row>
    <row r="123" spans="1:5" s="1995" customFormat="1">
      <c r="A123" s="3199"/>
      <c r="C123" s="3200"/>
      <c r="E123" s="3199"/>
    </row>
    <row r="124" spans="1:5" s="1995" customFormat="1">
      <c r="A124" s="3199"/>
      <c r="C124" s="3200"/>
      <c r="E124" s="3199"/>
    </row>
    <row r="125" spans="1:5" s="1995" customFormat="1">
      <c r="A125" s="3199"/>
      <c r="C125" s="3200"/>
      <c r="E125" s="3199"/>
    </row>
    <row r="126" spans="1:5" s="1995" customFormat="1">
      <c r="A126" s="3199"/>
      <c r="C126" s="3200"/>
      <c r="E126" s="3199"/>
    </row>
    <row r="127" spans="1:5" s="1995" customFormat="1">
      <c r="A127" s="3199"/>
      <c r="C127" s="3200"/>
      <c r="E127" s="3199"/>
    </row>
    <row r="128" spans="1:5" s="1995" customFormat="1">
      <c r="A128" s="3199"/>
      <c r="C128" s="3200"/>
      <c r="E128" s="3199"/>
    </row>
    <row r="129" spans="1:5" s="1995" customFormat="1">
      <c r="A129" s="3199"/>
      <c r="C129" s="3200"/>
      <c r="E129" s="3199"/>
    </row>
    <row r="130" spans="1:5" s="1995" customFormat="1">
      <c r="A130" s="3199"/>
      <c r="C130" s="3200"/>
      <c r="E130" s="3199"/>
    </row>
    <row r="131" spans="1:5" s="1995" customFormat="1">
      <c r="A131" s="3199"/>
      <c r="C131" s="3200"/>
      <c r="E131" s="3199"/>
    </row>
    <row r="132" spans="1:5" s="1995" customFormat="1">
      <c r="A132" s="3199"/>
      <c r="C132" s="3200"/>
      <c r="E132" s="3199"/>
    </row>
    <row r="133" spans="1:5" s="1995" customFormat="1">
      <c r="A133" s="3199"/>
      <c r="C133" s="3200"/>
      <c r="E133" s="3199"/>
    </row>
    <row r="134" spans="1:5" s="1995" customFormat="1">
      <c r="A134" s="3199"/>
      <c r="C134" s="3200"/>
      <c r="E134" s="3199"/>
    </row>
    <row r="135" spans="1:5" s="1995" customFormat="1">
      <c r="A135" s="3199"/>
      <c r="C135" s="3200"/>
      <c r="E135" s="3199"/>
    </row>
    <row r="136" spans="1:5" s="1995" customFormat="1">
      <c r="A136" s="3199"/>
      <c r="C136" s="3200"/>
      <c r="E136" s="3199"/>
    </row>
    <row r="137" spans="1:5" s="1995" customFormat="1">
      <c r="A137" s="3199"/>
      <c r="C137" s="3200"/>
      <c r="E137" s="3199"/>
    </row>
    <row r="138" spans="1:5" s="1995" customFormat="1">
      <c r="A138" s="3199"/>
      <c r="C138" s="3200"/>
      <c r="E138" s="3199"/>
    </row>
    <row r="139" spans="1:5" s="1995" customFormat="1">
      <c r="A139" s="3199"/>
      <c r="C139" s="3200"/>
      <c r="E139" s="3199"/>
    </row>
    <row r="140" spans="1:5" s="1995" customFormat="1">
      <c r="A140" s="3199"/>
      <c r="C140" s="3200"/>
      <c r="E140" s="3199"/>
    </row>
    <row r="141" spans="1:5" s="1995" customFormat="1">
      <c r="A141" s="3199"/>
      <c r="C141" s="3200"/>
      <c r="E141" s="3199"/>
    </row>
    <row r="142" spans="1:5" s="1995" customFormat="1">
      <c r="A142" s="3199"/>
      <c r="C142" s="3200"/>
      <c r="E142" s="3199"/>
    </row>
    <row r="143" spans="1:5" s="1995" customFormat="1">
      <c r="A143" s="3199"/>
      <c r="C143" s="3200"/>
      <c r="E143" s="3199"/>
    </row>
    <row r="144" spans="1:5" s="1995" customFormat="1">
      <c r="A144" s="3199"/>
      <c r="C144" s="3200"/>
      <c r="E144" s="3199"/>
    </row>
    <row r="145" spans="1:5" s="1995" customFormat="1">
      <c r="A145" s="3199"/>
      <c r="C145" s="3200"/>
      <c r="E145" s="3199"/>
    </row>
    <row r="146" spans="1:5" s="1995" customFormat="1">
      <c r="A146" s="3199"/>
      <c r="C146" s="3200"/>
      <c r="E146" s="3199"/>
    </row>
    <row r="147" spans="1:5" s="1995" customFormat="1">
      <c r="A147" s="3199"/>
      <c r="C147" s="3200"/>
      <c r="E147" s="3199"/>
    </row>
    <row r="148" spans="1:5" s="1995" customFormat="1">
      <c r="A148" s="3199"/>
      <c r="C148" s="3200"/>
      <c r="E148" s="3199"/>
    </row>
    <row r="149" spans="1:5" s="1995" customFormat="1">
      <c r="A149" s="3199"/>
      <c r="C149" s="3200"/>
      <c r="E149" s="3199"/>
    </row>
    <row r="150" spans="1:5" s="1995" customFormat="1">
      <c r="A150" s="3199"/>
      <c r="C150" s="3200"/>
      <c r="E150" s="3199"/>
    </row>
    <row r="151" spans="1:5" s="1995" customFormat="1">
      <c r="A151" s="3199"/>
      <c r="C151" s="3200"/>
      <c r="E151" s="3199"/>
    </row>
    <row r="152" spans="1:5" s="1995" customFormat="1">
      <c r="A152" s="3199"/>
      <c r="C152" s="3200"/>
      <c r="E152" s="3199"/>
    </row>
    <row r="153" spans="1:5" s="1995" customFormat="1">
      <c r="A153" s="3199"/>
      <c r="C153" s="3200"/>
      <c r="E153" s="3199"/>
    </row>
    <row r="154" spans="1:5" s="1995" customFormat="1">
      <c r="A154" s="3199"/>
      <c r="C154" s="3200"/>
      <c r="E154" s="3199"/>
    </row>
    <row r="155" spans="1:5" s="1995" customFormat="1">
      <c r="A155" s="3199"/>
      <c r="C155" s="3200"/>
      <c r="E155" s="3199"/>
    </row>
    <row r="156" spans="1:5" s="1995" customFormat="1">
      <c r="A156" s="3199"/>
      <c r="C156" s="3200"/>
      <c r="E156" s="3199"/>
    </row>
    <row r="157" spans="1:5" s="1995" customFormat="1">
      <c r="A157" s="3199"/>
      <c r="C157" s="3200"/>
      <c r="E157" s="3199"/>
    </row>
    <row r="158" spans="1:5" s="1995" customFormat="1">
      <c r="A158" s="3199"/>
      <c r="C158" s="3200"/>
      <c r="E158" s="3199"/>
    </row>
    <row r="159" spans="1:5" s="1995" customFormat="1">
      <c r="A159" s="3199"/>
      <c r="C159" s="3200"/>
      <c r="E159" s="3199"/>
    </row>
    <row r="160" spans="1:5" s="1995" customFormat="1">
      <c r="A160" s="3199"/>
      <c r="C160" s="3200"/>
      <c r="E160" s="3199"/>
    </row>
    <row r="161" spans="1:5" s="1995" customFormat="1">
      <c r="A161" s="3199"/>
      <c r="C161" s="3200"/>
      <c r="E161" s="3199"/>
    </row>
    <row r="162" spans="1:5" s="1995" customFormat="1">
      <c r="A162" s="3199"/>
      <c r="C162" s="3200"/>
      <c r="E162" s="3199"/>
    </row>
    <row r="163" spans="1:5" s="1995" customFormat="1">
      <c r="A163" s="3199"/>
      <c r="C163" s="3200"/>
      <c r="E163" s="3199"/>
    </row>
    <row r="164" spans="1:5" s="1995" customFormat="1">
      <c r="A164" s="3199"/>
      <c r="C164" s="3200"/>
      <c r="E164" s="3199"/>
    </row>
    <row r="165" spans="1:5" s="1995" customFormat="1">
      <c r="A165" s="3199"/>
      <c r="C165" s="3200"/>
      <c r="E165" s="3199"/>
    </row>
    <row r="166" spans="1:5" s="1995" customFormat="1">
      <c r="A166" s="3199"/>
      <c r="C166" s="3200"/>
      <c r="E166" s="3199"/>
    </row>
    <row r="167" spans="1:5" s="1995" customFormat="1">
      <c r="A167" s="3199"/>
      <c r="C167" s="3200"/>
      <c r="E167" s="3199"/>
    </row>
    <row r="168" spans="1:5" s="1995" customFormat="1">
      <c r="A168" s="3199"/>
      <c r="C168" s="3200"/>
      <c r="E168" s="3199"/>
    </row>
    <row r="169" spans="1:5" s="1995" customFormat="1">
      <c r="A169" s="3199"/>
      <c r="C169" s="3200"/>
      <c r="E169" s="3199"/>
    </row>
    <row r="170" spans="1:5" s="1995" customFormat="1">
      <c r="A170" s="3199"/>
      <c r="C170" s="3200"/>
      <c r="E170" s="3199"/>
    </row>
    <row r="171" spans="1:5" s="1995" customFormat="1">
      <c r="A171" s="3199"/>
      <c r="C171" s="3200"/>
      <c r="E171" s="3199"/>
    </row>
    <row r="172" spans="1:5" s="1995" customFormat="1">
      <c r="A172" s="3199"/>
      <c r="C172" s="3200"/>
      <c r="E172" s="3199"/>
    </row>
    <row r="173" spans="1:5" s="1995" customFormat="1">
      <c r="A173" s="3199"/>
      <c r="C173" s="3200"/>
      <c r="E173" s="3199"/>
    </row>
    <row r="174" spans="1:5" s="1995" customFormat="1">
      <c r="A174" s="3199"/>
      <c r="C174" s="3200"/>
      <c r="E174" s="3199"/>
    </row>
    <row r="175" spans="1:5" s="1995" customFormat="1">
      <c r="A175" s="3199"/>
      <c r="C175" s="3200"/>
      <c r="E175" s="3199"/>
    </row>
    <row r="176" spans="1:5" s="1995" customFormat="1">
      <c r="A176" s="3199"/>
      <c r="C176" s="3200"/>
      <c r="E176" s="3199"/>
    </row>
    <row r="177" spans="1:5" s="1995" customFormat="1">
      <c r="A177" s="3199"/>
      <c r="C177" s="3200"/>
      <c r="E177" s="3199"/>
    </row>
    <row r="178" spans="1:5" s="1995" customFormat="1">
      <c r="A178" s="3199"/>
      <c r="C178" s="3200"/>
      <c r="E178" s="3199"/>
    </row>
    <row r="179" spans="1:5" s="1995" customFormat="1">
      <c r="A179" s="3199"/>
      <c r="C179" s="3200"/>
      <c r="E179" s="3199"/>
    </row>
    <row r="180" spans="1:5" s="1995" customFormat="1">
      <c r="A180" s="3199"/>
      <c r="C180" s="3200"/>
      <c r="E180" s="3199"/>
    </row>
    <row r="181" spans="1:5" s="1995" customFormat="1">
      <c r="A181" s="3199"/>
      <c r="C181" s="3200"/>
      <c r="E181" s="3199"/>
    </row>
    <row r="182" spans="1:5" s="1995" customFormat="1">
      <c r="A182" s="3199"/>
      <c r="C182" s="3200"/>
      <c r="E182" s="3199"/>
    </row>
    <row r="183" spans="1:5" s="1995" customFormat="1">
      <c r="A183" s="3199"/>
      <c r="C183" s="3200"/>
      <c r="E183" s="3199"/>
    </row>
    <row r="184" spans="1:5" s="1995" customFormat="1">
      <c r="A184" s="3199"/>
      <c r="C184" s="3200"/>
      <c r="E184" s="3199"/>
    </row>
    <row r="185" spans="1:5" s="1995" customFormat="1">
      <c r="A185" s="3199"/>
      <c r="C185" s="3200"/>
      <c r="E185" s="3199"/>
    </row>
    <row r="186" spans="1:5" s="1995" customFormat="1">
      <c r="A186" s="3199"/>
      <c r="C186" s="3200"/>
      <c r="E186" s="3199"/>
    </row>
    <row r="187" spans="1:5" s="1995" customFormat="1">
      <c r="A187" s="3199"/>
      <c r="C187" s="3200"/>
      <c r="E187" s="3199"/>
    </row>
    <row r="188" spans="1:5" s="1995" customFormat="1">
      <c r="A188" s="3199"/>
      <c r="C188" s="3200"/>
      <c r="E188" s="3199"/>
    </row>
    <row r="189" spans="1:5" s="1995" customFormat="1">
      <c r="A189" s="3199"/>
      <c r="C189" s="3200"/>
      <c r="E189" s="3199"/>
    </row>
    <row r="190" spans="1:5" s="1995" customFormat="1">
      <c r="A190" s="3199"/>
      <c r="C190" s="3200"/>
      <c r="E190" s="3199"/>
    </row>
    <row r="191" spans="1:5" s="1995" customFormat="1">
      <c r="A191" s="3199"/>
      <c r="C191" s="3200"/>
      <c r="E191" s="3199"/>
    </row>
    <row r="192" spans="1:5" s="1995" customFormat="1">
      <c r="A192" s="3199"/>
      <c r="C192" s="3200"/>
      <c r="E192" s="3199"/>
    </row>
    <row r="193" spans="1:5" s="1995" customFormat="1">
      <c r="A193" s="3199"/>
      <c r="C193" s="3200"/>
      <c r="E193" s="3199"/>
    </row>
    <row r="194" spans="1:5" s="1995" customFormat="1">
      <c r="A194" s="3199"/>
      <c r="C194" s="3200"/>
      <c r="E194" s="3199"/>
    </row>
    <row r="195" spans="1:5" s="1995" customFormat="1">
      <c r="A195" s="3199"/>
      <c r="C195" s="3200"/>
      <c r="E195" s="3199"/>
    </row>
    <row r="196" spans="1:5" s="1995" customFormat="1">
      <c r="A196" s="3199"/>
      <c r="C196" s="3200"/>
      <c r="E196" s="3199"/>
    </row>
    <row r="197" spans="1:5" s="1995" customFormat="1">
      <c r="A197" s="3199"/>
      <c r="C197" s="3200"/>
      <c r="E197" s="3199"/>
    </row>
    <row r="198" spans="1:5" s="1995" customFormat="1">
      <c r="A198" s="3199"/>
      <c r="C198" s="3200"/>
      <c r="E198" s="3199"/>
    </row>
    <row r="199" spans="1:5" s="1995" customFormat="1">
      <c r="A199" s="3199"/>
      <c r="C199" s="3200"/>
      <c r="E199" s="3199"/>
    </row>
    <row r="200" spans="1:5" s="1995" customFormat="1">
      <c r="A200" s="3199"/>
      <c r="C200" s="3200"/>
      <c r="E200" s="3199"/>
    </row>
    <row r="201" spans="1:5" s="1995" customFormat="1">
      <c r="A201" s="3199"/>
      <c r="C201" s="3200"/>
      <c r="E201" s="3199"/>
    </row>
    <row r="202" spans="1:5" s="1995" customFormat="1">
      <c r="A202" s="3199"/>
      <c r="C202" s="3200"/>
      <c r="E202" s="3199"/>
    </row>
    <row r="203" spans="1:5" s="1995" customFormat="1">
      <c r="A203" s="3199"/>
      <c r="C203" s="3200"/>
      <c r="E203" s="3199"/>
    </row>
    <row r="204" spans="1:5" s="1995" customFormat="1">
      <c r="A204" s="3199"/>
      <c r="C204" s="3200"/>
      <c r="E204" s="3199"/>
    </row>
    <row r="205" spans="1:5" s="1995" customFormat="1">
      <c r="A205" s="3199"/>
      <c r="C205" s="3200"/>
      <c r="E205" s="3199"/>
    </row>
    <row r="206" spans="1:5" s="1995" customFormat="1">
      <c r="A206" s="3199"/>
      <c r="C206" s="3200"/>
      <c r="E206" s="3199"/>
    </row>
    <row r="207" spans="1:5" s="1995" customFormat="1">
      <c r="A207" s="3199"/>
      <c r="C207" s="3200"/>
      <c r="E207" s="3199"/>
    </row>
    <row r="208" spans="1:5" s="1995" customFormat="1">
      <c r="A208" s="3199"/>
      <c r="C208" s="3200"/>
      <c r="E208" s="3199"/>
    </row>
    <row r="209" spans="1:5" s="1995" customFormat="1">
      <c r="A209" s="3199"/>
      <c r="C209" s="3200"/>
      <c r="E209" s="3199"/>
    </row>
    <row r="210" spans="1:5" s="1995" customFormat="1">
      <c r="A210" s="3199"/>
      <c r="C210" s="3200"/>
      <c r="E210" s="3199"/>
    </row>
    <row r="211" spans="1:5" s="1995" customFormat="1">
      <c r="A211" s="3199"/>
      <c r="C211" s="3200"/>
      <c r="E211" s="3199"/>
    </row>
    <row r="212" spans="1:5" s="1995" customFormat="1">
      <c r="A212" s="3199"/>
      <c r="C212" s="3200"/>
      <c r="E212" s="3199"/>
    </row>
    <row r="213" spans="1:5" s="1995" customFormat="1">
      <c r="A213" s="3199"/>
      <c r="C213" s="3200"/>
      <c r="E213" s="3199"/>
    </row>
    <row r="214" spans="1:5" s="1995" customFormat="1">
      <c r="A214" s="3199"/>
      <c r="C214" s="3200"/>
      <c r="E214" s="3199"/>
    </row>
    <row r="215" spans="1:5" s="1995" customFormat="1">
      <c r="A215" s="3199"/>
      <c r="C215" s="3200"/>
      <c r="E215" s="3199"/>
    </row>
    <row r="216" spans="1:5" s="1995" customFormat="1">
      <c r="A216" s="3199"/>
      <c r="C216" s="3200"/>
      <c r="E216" s="3199"/>
    </row>
    <row r="217" spans="1:5" s="1995" customFormat="1">
      <c r="A217" s="3199"/>
      <c r="C217" s="3200"/>
      <c r="E217" s="3199"/>
    </row>
    <row r="218" spans="1:5" s="1995" customFormat="1">
      <c r="A218" s="3199"/>
      <c r="C218" s="3200"/>
      <c r="E218" s="3199"/>
    </row>
    <row r="219" spans="1:5" s="1995" customFormat="1">
      <c r="A219" s="3199"/>
      <c r="C219" s="3200"/>
      <c r="E219" s="3199"/>
    </row>
    <row r="220" spans="1:5" s="1995" customFormat="1">
      <c r="A220" s="3199"/>
      <c r="C220" s="3200"/>
      <c r="E220" s="3199"/>
    </row>
    <row r="221" spans="1:5" s="1995" customFormat="1">
      <c r="A221" s="3199"/>
      <c r="C221" s="3200"/>
      <c r="E221" s="3199"/>
    </row>
    <row r="222" spans="1:5" s="1995" customFormat="1">
      <c r="A222" s="3199"/>
      <c r="C222" s="3200"/>
      <c r="E222" s="3199"/>
    </row>
    <row r="223" spans="1:5" s="1995" customFormat="1">
      <c r="A223" s="3199"/>
      <c r="C223" s="3200"/>
      <c r="E223" s="3199"/>
    </row>
    <row r="224" spans="1:5" s="1995" customFormat="1">
      <c r="A224" s="3199"/>
      <c r="C224" s="3200"/>
      <c r="E224" s="3199"/>
    </row>
    <row r="225" spans="1:5" s="1995" customFormat="1">
      <c r="A225" s="3199"/>
      <c r="C225" s="3200"/>
      <c r="E225" s="3199"/>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1891</v>
      </c>
      <c r="B36" s="1580" t="s">
        <v>1892</v>
      </c>
    </row>
    <row r="37" spans="1:9" ht="28.5" customHeight="1">
      <c r="A37" s="1580"/>
      <c r="B37" s="3317" t="str">
        <f>项目基本情况!B1</f>
        <v>四川省内江市内江经开区甜德街西侧，甜和街东侧A-5-2地块出让国有建设用地使用权抵押价格预评估</v>
      </c>
      <c r="C37" s="3317"/>
      <c r="D37" s="3317"/>
      <c r="E37" s="3317"/>
      <c r="F37" s="3317"/>
      <c r="G37" s="3317"/>
      <c r="H37" s="3317"/>
      <c r="I37" s="3317"/>
    </row>
    <row r="38" spans="1:9">
      <c r="A38" s="1582"/>
      <c r="B38" s="1582"/>
    </row>
    <row r="39" spans="1:9">
      <c r="A39" s="1580" t="s">
        <v>1891</v>
      </c>
      <c r="B39" s="1580" t="s">
        <v>2034</v>
      </c>
    </row>
    <row r="40" spans="1:9">
      <c r="A40" s="1580"/>
      <c r="B40" s="1580" t="str">
        <f>项目基本情况!B5</f>
        <v>浙金信托</v>
      </c>
    </row>
    <row r="41" spans="1:9">
      <c r="A41" s="1580"/>
      <c r="B41" s="1580"/>
    </row>
    <row r="42" spans="1:9">
      <c r="A42" s="1580" t="s">
        <v>1891</v>
      </c>
      <c r="B42" s="1580" t="s">
        <v>2035</v>
      </c>
    </row>
    <row r="43" spans="1:9">
      <c r="A43" s="1580"/>
      <c r="B43" s="1580" t="s">
        <v>1893</v>
      </c>
    </row>
    <row r="44" spans="1:9">
      <c r="A44" s="1580"/>
      <c r="B44" s="1580"/>
    </row>
    <row r="45" spans="1:9">
      <c r="A45" s="1580" t="s">
        <v>1891</v>
      </c>
      <c r="B45" s="1580" t="s">
        <v>2033</v>
      </c>
    </row>
    <row r="46" spans="1:9" s="1580" customFormat="1" ht="12.75">
      <c r="B46" s="1580" t="str">
        <f>项目基本情况!K4</f>
        <v>王鹏、郑燚</v>
      </c>
    </row>
    <row r="47" spans="1:9">
      <c r="A47" s="1580"/>
      <c r="B47" s="1580"/>
    </row>
    <row r="48" spans="1:9">
      <c r="A48" s="1580" t="s">
        <v>1891</v>
      </c>
      <c r="B48" s="1580" t="s">
        <v>2036</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70" zoomScaleNormal="95" zoomScaleSheetLayoutView="70" workbookViewId="0">
      <selection activeCell="E7" sqref="E7:F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509</v>
      </c>
      <c r="B1" s="496"/>
      <c r="C1" s="497" t="s">
        <v>510</v>
      </c>
      <c r="D1" s="498" t="s">
        <v>511</v>
      </c>
      <c r="E1" s="499"/>
      <c r="F1" s="421"/>
      <c r="G1" s="499"/>
      <c r="H1" s="499"/>
      <c r="I1" s="499"/>
      <c r="J1" s="499"/>
      <c r="K1" s="500"/>
      <c r="L1" s="3204"/>
      <c r="M1" s="3205"/>
      <c r="N1" s="3205"/>
      <c r="O1" s="3205"/>
      <c r="P1" s="2012"/>
      <c r="Q1" s="2012"/>
      <c r="R1" s="2012"/>
      <c r="S1" s="2012"/>
      <c r="T1" s="2012"/>
      <c r="U1" s="2012"/>
      <c r="V1" s="2012"/>
      <c r="W1" s="2012"/>
      <c r="X1" s="2012"/>
      <c r="Y1" s="2012"/>
      <c r="Z1" s="2012"/>
      <c r="AA1" s="2012"/>
      <c r="AB1" s="2012"/>
      <c r="AC1" s="3206"/>
      <c r="AD1" s="1288"/>
    </row>
    <row r="2" spans="1:30" s="1289" customFormat="1" ht="28.5" customHeight="1">
      <c r="A2" s="416" t="s">
        <v>460</v>
      </c>
      <c r="B2" s="501">
        <f>F68</f>
        <v>26600</v>
      </c>
      <c r="C2" s="3214"/>
      <c r="D2" s="3214"/>
      <c r="E2" s="3216"/>
      <c r="F2" s="3217"/>
      <c r="G2" s="3216"/>
      <c r="H2" s="3216"/>
      <c r="I2" s="3216"/>
      <c r="J2" s="3216"/>
      <c r="K2" s="3218"/>
      <c r="L2" s="2011"/>
      <c r="M2" s="2012"/>
      <c r="N2" s="2012"/>
      <c r="O2" s="2012"/>
      <c r="P2" s="2012"/>
      <c r="Q2" s="2012"/>
      <c r="R2" s="2012"/>
      <c r="S2" s="2012"/>
      <c r="T2" s="2012"/>
      <c r="U2" s="2012"/>
      <c r="V2" s="2012"/>
      <c r="W2" s="2012"/>
      <c r="X2" s="2012"/>
      <c r="Y2" s="2012"/>
      <c r="Z2" s="2012"/>
      <c r="AA2" s="2012"/>
      <c r="AB2" s="2012"/>
      <c r="AC2" s="3206"/>
      <c r="AD2" s="1288"/>
    </row>
    <row r="3" spans="1:30" s="1289" customFormat="1" ht="28.5" customHeight="1">
      <c r="A3" s="1329" t="s">
        <v>1674</v>
      </c>
      <c r="B3" s="503">
        <f>ROUND(B2*10000/'数据-汇总表'!E3,0)</f>
        <v>1546</v>
      </c>
      <c r="C3" s="3215"/>
      <c r="D3" s="3219"/>
      <c r="E3" s="3215"/>
      <c r="F3" s="3215"/>
      <c r="G3" s="3216"/>
      <c r="H3" s="3216"/>
      <c r="I3" s="3216"/>
      <c r="J3" s="3216"/>
      <c r="K3" s="3218"/>
      <c r="L3" s="2011"/>
      <c r="M3" s="2012"/>
      <c r="N3" s="2012"/>
      <c r="O3" s="2012"/>
      <c r="P3" s="2012"/>
      <c r="Q3" s="2012"/>
      <c r="R3" s="2012"/>
      <c r="S3" s="2012"/>
      <c r="T3" s="2012"/>
      <c r="U3" s="2012"/>
      <c r="V3" s="2012"/>
      <c r="W3" s="2012"/>
      <c r="X3" s="2012"/>
      <c r="Y3" s="2012"/>
      <c r="Z3" s="2012"/>
      <c r="AA3" s="2012"/>
      <c r="AB3" s="3207"/>
      <c r="AC3" s="1942"/>
    </row>
    <row r="4" spans="1:30" s="1289" customFormat="1" ht="28.5" customHeight="1">
      <c r="A4" s="504" t="s">
        <v>513</v>
      </c>
      <c r="B4" s="420">
        <f>IF(B48="单位面积地价",C50,ROUND(B2*10000/'数据-汇总表'!D3,0))</f>
        <v>4450</v>
      </c>
      <c r="C4" s="3215"/>
      <c r="D4" s="3219"/>
      <c r="E4" s="3215"/>
      <c r="F4" s="3215"/>
      <c r="G4" s="3216"/>
      <c r="H4" s="3216"/>
      <c r="I4" s="3216"/>
      <c r="J4" s="3216"/>
      <c r="K4" s="3218"/>
      <c r="L4" s="2011"/>
      <c r="M4" s="2012"/>
      <c r="N4" s="2012"/>
      <c r="O4" s="2012"/>
      <c r="P4" s="2012"/>
      <c r="Q4" s="2012"/>
      <c r="R4" s="2012"/>
      <c r="S4" s="2012"/>
      <c r="T4" s="2012"/>
      <c r="U4" s="2012"/>
      <c r="V4" s="2012"/>
      <c r="W4" s="2012"/>
      <c r="X4" s="2012"/>
      <c r="Y4" s="2012"/>
      <c r="Z4" s="2012"/>
      <c r="AA4" s="2012"/>
      <c r="AB4" s="2012"/>
      <c r="AC4" s="1942"/>
    </row>
    <row r="5" spans="1:30" s="1289" customFormat="1" ht="28.5" customHeight="1" thickBot="1">
      <c r="A5" s="422"/>
      <c r="B5" s="423">
        <f>ROUND(B2/('数据-汇总表'!D3/666.67),0)</f>
        <v>297</v>
      </c>
      <c r="C5" s="424" t="s">
        <v>462</v>
      </c>
      <c r="D5" s="3215"/>
      <c r="E5" s="3215"/>
      <c r="F5" s="3215"/>
      <c r="G5" s="3216"/>
      <c r="H5" s="3216"/>
      <c r="I5" s="3216"/>
      <c r="J5" s="3216"/>
      <c r="K5" s="3218"/>
      <c r="L5" s="2011"/>
      <c r="M5" s="2012"/>
      <c r="N5" s="2012"/>
      <c r="O5" s="2012"/>
      <c r="P5" s="2012"/>
      <c r="Q5" s="2012"/>
      <c r="R5" s="2012"/>
      <c r="S5" s="2012"/>
      <c r="T5" s="2012"/>
      <c r="U5" s="2012"/>
      <c r="V5" s="2012"/>
      <c r="W5" s="2012"/>
      <c r="X5" s="2012"/>
      <c r="Y5" s="2012"/>
      <c r="Z5" s="2012"/>
      <c r="AA5" s="2012"/>
      <c r="AB5" s="2012"/>
      <c r="AC5" s="1942"/>
    </row>
    <row r="6" spans="1:30" ht="20.25">
      <c r="A6" s="505" t="s">
        <v>514</v>
      </c>
      <c r="B6" s="506"/>
      <c r="C6" s="3512" t="s">
        <v>515</v>
      </c>
      <c r="D6" s="3513"/>
      <c r="E6" s="3512" t="s">
        <v>516</v>
      </c>
      <c r="F6" s="3513"/>
      <c r="G6" s="3512" t="s">
        <v>517</v>
      </c>
      <c r="H6" s="3513"/>
      <c r="I6" s="3512" t="s">
        <v>518</v>
      </c>
      <c r="J6" s="3513"/>
      <c r="K6" s="507" t="s">
        <v>519</v>
      </c>
      <c r="L6" s="2013"/>
      <c r="M6" s="2012"/>
      <c r="N6" s="2012"/>
      <c r="O6" s="2014"/>
      <c r="P6" s="3514" t="s">
        <v>520</v>
      </c>
      <c r="Q6" s="3515"/>
      <c r="R6" s="3500" t="s">
        <v>516</v>
      </c>
      <c r="S6" s="3501"/>
      <c r="T6" s="3500" t="s">
        <v>517</v>
      </c>
      <c r="U6" s="3501"/>
      <c r="V6" s="3520" t="s">
        <v>518</v>
      </c>
      <c r="W6" s="3520"/>
      <c r="X6" s="1499"/>
      <c r="Y6" s="3500" t="s">
        <v>520</v>
      </c>
      <c r="Z6" s="3501"/>
      <c r="AA6" s="3495" t="s">
        <v>516</v>
      </c>
      <c r="AB6" s="3496" t="s">
        <v>517</v>
      </c>
      <c r="AC6" s="3495" t="s">
        <v>518</v>
      </c>
    </row>
    <row r="7" spans="1:30" ht="42.75" customHeight="1">
      <c r="A7" s="508"/>
      <c r="B7" s="509"/>
      <c r="C7" s="3525" t="s">
        <v>3509</v>
      </c>
      <c r="D7" s="3524"/>
      <c r="E7" s="3523" t="str">
        <f>土地案例!A5</f>
        <v>内江经开区甜城大道西侧、汉安大道北侧</v>
      </c>
      <c r="F7" s="3524"/>
      <c r="G7" s="3523" t="str">
        <f>土地案例!A10</f>
        <v>内江经开区甜城大道东侧、顺江路西侧、康宁路北侧</v>
      </c>
      <c r="H7" s="3524"/>
      <c r="I7" s="3523" t="str">
        <f>土地案例!A11</f>
        <v>内江经开区甜城大道东侧、迎霞路南侧、顺江路西侧</v>
      </c>
      <c r="J7" s="3524"/>
      <c r="K7" s="507"/>
      <c r="L7" s="2013"/>
      <c r="M7" s="2012"/>
      <c r="N7" s="2012"/>
      <c r="O7" s="2014"/>
      <c r="P7" s="3516"/>
      <c r="Q7" s="3517"/>
      <c r="R7" s="3502"/>
      <c r="S7" s="3503"/>
      <c r="T7" s="3502"/>
      <c r="U7" s="3503"/>
      <c r="V7" s="3520"/>
      <c r="W7" s="3520"/>
      <c r="X7" s="1499"/>
      <c r="Y7" s="3502"/>
      <c r="Z7" s="3503"/>
      <c r="AA7" s="3496"/>
      <c r="AB7" s="3496"/>
      <c r="AC7" s="3496"/>
    </row>
    <row r="8" spans="1:30" ht="21" thickBot="1">
      <c r="A8" s="508"/>
      <c r="B8" s="509"/>
      <c r="C8" s="3526" t="s">
        <v>3510</v>
      </c>
      <c r="D8" s="3527"/>
      <c r="E8" s="3526" t="s">
        <v>3510</v>
      </c>
      <c r="F8" s="3527"/>
      <c r="G8" s="3521" t="s">
        <v>2900</v>
      </c>
      <c r="H8" s="3522"/>
      <c r="I8" s="3521" t="s">
        <v>2900</v>
      </c>
      <c r="J8" s="3522"/>
      <c r="K8" s="507" t="s">
        <v>521</v>
      </c>
      <c r="L8" s="2013"/>
      <c r="M8" s="2012"/>
      <c r="N8" s="2012"/>
      <c r="O8" s="2014"/>
      <c r="P8" s="3518"/>
      <c r="Q8" s="3519"/>
      <c r="R8" s="3502"/>
      <c r="S8" s="3503"/>
      <c r="T8" s="3504"/>
      <c r="U8" s="3505"/>
      <c r="V8" s="3520"/>
      <c r="W8" s="3520"/>
      <c r="X8" s="1499"/>
      <c r="Y8" s="3504"/>
      <c r="Z8" s="3505"/>
      <c r="AA8" s="3497"/>
      <c r="AB8" s="3497"/>
      <c r="AC8" s="3497"/>
    </row>
    <row r="9" spans="1:30" s="1202" customFormat="1" ht="21" thickBot="1">
      <c r="A9" s="2627"/>
      <c r="B9" s="2634" t="s">
        <v>522</v>
      </c>
      <c r="C9" s="2626">
        <f>'数据-取费表'!B2</f>
        <v>44254</v>
      </c>
      <c r="D9" s="513">
        <v>100</v>
      </c>
      <c r="E9" s="514" t="str">
        <f>土地案例!AA5</f>
        <v>2020-12-08</v>
      </c>
      <c r="F9" s="515">
        <f>SUMIF(72:72,YEAR(E9)&amp;"-"&amp;INT((MONTH(E9)+2)/3),73:73)</f>
        <v>99.5</v>
      </c>
      <c r="G9" s="516" t="str">
        <f>土地案例!AA10</f>
        <v>2020-10-10</v>
      </c>
      <c r="H9" s="513">
        <f>SUMIF(72:72,YEAR(G9)&amp;"-"&amp;INT((MONTH(G9)+2)/3),73:73)</f>
        <v>99.5</v>
      </c>
      <c r="I9" s="516" t="str">
        <f>土地案例!AA11</f>
        <v>2020-09-28</v>
      </c>
      <c r="J9" s="513">
        <f>SUMIF(72:72,YEAR(I9)&amp;"-"&amp;INT((MONTH(I9)+2)/3),73:73)</f>
        <v>99</v>
      </c>
      <c r="K9" s="517"/>
      <c r="L9" s="2015"/>
      <c r="M9" s="2012"/>
      <c r="N9" s="2012"/>
      <c r="O9" s="2016"/>
      <c r="P9" s="3498" t="s">
        <v>523</v>
      </c>
      <c r="Q9" s="3507"/>
      <c r="R9" s="1500" t="s">
        <v>8</v>
      </c>
      <c r="S9" s="1501">
        <f t="shared" ref="S9:S17" si="0">F9</f>
        <v>99.5</v>
      </c>
      <c r="T9" s="1500" t="s">
        <v>8</v>
      </c>
      <c r="U9" s="1501">
        <f t="shared" ref="U9:U17" si="1">H9</f>
        <v>99.5</v>
      </c>
      <c r="V9" s="1500" t="s">
        <v>8</v>
      </c>
      <c r="W9" s="1501">
        <f t="shared" ref="W9:W17" si="2">J9</f>
        <v>99</v>
      </c>
      <c r="X9" s="1502"/>
      <c r="Y9" s="3498" t="s">
        <v>523</v>
      </c>
      <c r="Z9" s="3499"/>
      <c r="AA9" s="1503">
        <f>D9/F9</f>
        <v>1.0050251256281406</v>
      </c>
      <c r="AB9" s="1503">
        <f>D9/H9</f>
        <v>1.0050251256281406</v>
      </c>
      <c r="AC9" s="1503">
        <f>D9/J9</f>
        <v>1.0101010101010102</v>
      </c>
    </row>
    <row r="10" spans="1:30" s="1202" customFormat="1" ht="21" thickBot="1">
      <c r="A10" s="2628"/>
      <c r="B10" s="2635" t="s">
        <v>524</v>
      </c>
      <c r="C10" s="844" t="s">
        <v>525</v>
      </c>
      <c r="D10" s="513">
        <v>100</v>
      </c>
      <c r="E10" s="518" t="s">
        <v>3019</v>
      </c>
      <c r="F10" s="515">
        <f>SUMIF(75:75,E10,76:76)-SUMIF(75:75,C10,76:76)+100</f>
        <v>100</v>
      </c>
      <c r="G10" s="518" t="s">
        <v>3019</v>
      </c>
      <c r="H10" s="513">
        <f>SUMIF(75:75,G10,76:76)-SUMIF(75:75,C10,76:76)+100</f>
        <v>100</v>
      </c>
      <c r="I10" s="518" t="s">
        <v>3019</v>
      </c>
      <c r="J10" s="513">
        <f>SUMIF(75:75,I10,76:76)-SUMIF(75:75,C10,76:76)+100</f>
        <v>100</v>
      </c>
      <c r="K10" s="517"/>
      <c r="L10" s="2015"/>
      <c r="M10" s="2012"/>
      <c r="N10" s="2012"/>
      <c r="O10" s="2016"/>
      <c r="P10" s="3498" t="s">
        <v>526</v>
      </c>
      <c r="Q10" s="3499"/>
      <c r="R10" s="1500" t="s">
        <v>8</v>
      </c>
      <c r="S10" s="1501">
        <f t="shared" si="0"/>
        <v>100</v>
      </c>
      <c r="T10" s="1500" t="s">
        <v>8</v>
      </c>
      <c r="U10" s="1501">
        <f t="shared" si="1"/>
        <v>100</v>
      </c>
      <c r="V10" s="1500" t="s">
        <v>8</v>
      </c>
      <c r="W10" s="1501">
        <f t="shared" si="2"/>
        <v>100</v>
      </c>
      <c r="X10" s="1502"/>
      <c r="Y10" s="3498" t="s">
        <v>526</v>
      </c>
      <c r="Z10" s="3499"/>
      <c r="AA10" s="1503">
        <f t="shared" ref="AA10:AA47" si="3">D10/F10</f>
        <v>1</v>
      </c>
      <c r="AB10" s="1503">
        <f t="shared" ref="AB10:AB47" si="4">D10/H10</f>
        <v>1</v>
      </c>
      <c r="AC10" s="1503">
        <f t="shared" ref="AC10:AC47" si="5">D10/J10</f>
        <v>1</v>
      </c>
    </row>
    <row r="11" spans="1:30" s="1202" customFormat="1" ht="20.25">
      <c r="A11" s="2629"/>
      <c r="B11" s="2636" t="s">
        <v>2736</v>
      </c>
      <c r="C11" s="2623" t="s">
        <v>913</v>
      </c>
      <c r="D11" s="251">
        <v>100</v>
      </c>
      <c r="E11" s="2623" t="s">
        <v>913</v>
      </c>
      <c r="F11" s="251">
        <f>SUMIF(77:77,E11,78:78)-SUMIF(77:77,C11,78:78)+100</f>
        <v>100</v>
      </c>
      <c r="G11" s="2623" t="s">
        <v>913</v>
      </c>
      <c r="H11" s="251">
        <f>SUMIF(77:77,G11,78:78)-SUMIF(77:77,C11,78:78)+100</f>
        <v>100</v>
      </c>
      <c r="I11" s="2623" t="s">
        <v>913</v>
      </c>
      <c r="J11" s="251">
        <f>SUMIF(77:77,I11,78:78)-SUMIF(77:77,C11,78:78)+100</f>
        <v>100</v>
      </c>
      <c r="K11" s="517"/>
      <c r="L11" s="2015"/>
      <c r="M11" s="2012"/>
      <c r="N11" s="2012"/>
      <c r="O11" s="2017"/>
      <c r="P11" s="3506" t="s">
        <v>528</v>
      </c>
      <c r="Q11" s="1133" t="str">
        <f t="shared" ref="Q11:Q17" si="6">B11</f>
        <v>用途</v>
      </c>
      <c r="R11" s="1500" t="s">
        <v>8</v>
      </c>
      <c r="S11" s="1501">
        <f t="shared" si="0"/>
        <v>100</v>
      </c>
      <c r="T11" s="1500" t="s">
        <v>8</v>
      </c>
      <c r="U11" s="1501">
        <f t="shared" si="1"/>
        <v>100</v>
      </c>
      <c r="V11" s="1500" t="s">
        <v>8</v>
      </c>
      <c r="W11" s="1501">
        <f t="shared" si="2"/>
        <v>100</v>
      </c>
      <c r="X11" s="1502"/>
      <c r="Y11" s="3457" t="s">
        <v>529</v>
      </c>
      <c r="Z11" s="1132" t="str">
        <f t="shared" ref="Z11:Z17" si="7">Q11</f>
        <v>用途</v>
      </c>
      <c r="AA11" s="1503">
        <f t="shared" si="3"/>
        <v>1</v>
      </c>
      <c r="AB11" s="1503">
        <f t="shared" si="4"/>
        <v>1</v>
      </c>
      <c r="AC11" s="1503">
        <f t="shared" si="5"/>
        <v>1</v>
      </c>
    </row>
    <row r="12" spans="1:30" s="1291" customFormat="1" ht="27">
      <c r="A12" s="2630"/>
      <c r="B12" s="2635" t="s">
        <v>2737</v>
      </c>
      <c r="C12" s="898"/>
      <c r="D12" s="252">
        <v>100</v>
      </c>
      <c r="E12" s="522" t="s">
        <v>3512</v>
      </c>
      <c r="F12" s="252">
        <f>ROUND(100/'数据-取费表'!G16,0)</f>
        <v>101</v>
      </c>
      <c r="G12" s="523" t="s">
        <v>3513</v>
      </c>
      <c r="H12" s="252">
        <f>ROUND(100/'数据-取费表'!G16,0)</f>
        <v>101</v>
      </c>
      <c r="I12" s="523" t="s">
        <v>3513</v>
      </c>
      <c r="J12" s="252">
        <f>ROUND(100/'数据-取费表'!G16,0)</f>
        <v>101</v>
      </c>
      <c r="K12" s="524"/>
      <c r="L12" s="2018"/>
      <c r="M12" s="2012"/>
      <c r="N12" s="2012"/>
      <c r="O12" s="2019"/>
      <c r="P12" s="3506"/>
      <c r="Q12" s="1133" t="str">
        <f t="shared" si="6"/>
        <v>土地使用年限（年）</v>
      </c>
      <c r="R12" s="1500" t="s">
        <v>8</v>
      </c>
      <c r="S12" s="1501">
        <f t="shared" si="0"/>
        <v>101</v>
      </c>
      <c r="T12" s="1500" t="s">
        <v>8</v>
      </c>
      <c r="U12" s="1501">
        <f t="shared" si="1"/>
        <v>101</v>
      </c>
      <c r="V12" s="1500" t="s">
        <v>8</v>
      </c>
      <c r="W12" s="1501">
        <f t="shared" si="2"/>
        <v>101</v>
      </c>
      <c r="X12" s="1502"/>
      <c r="Y12" s="3457"/>
      <c r="Z12" s="1132" t="str">
        <f t="shared" si="7"/>
        <v>土地使用年限（年）</v>
      </c>
      <c r="AA12" s="1503">
        <f t="shared" si="3"/>
        <v>0.99009900990099009</v>
      </c>
      <c r="AB12" s="1503">
        <f t="shared" si="4"/>
        <v>0.99009900990099009</v>
      </c>
      <c r="AC12" s="1503">
        <f t="shared" si="5"/>
        <v>0.99009900990099009</v>
      </c>
    </row>
    <row r="13" spans="1:30" ht="21" thickBot="1">
      <c r="A13" s="2631"/>
      <c r="B13" s="2635" t="s">
        <v>2738</v>
      </c>
      <c r="C13" s="527">
        <f>'数据-汇总表'!I7</f>
        <v>2.16</v>
      </c>
      <c r="D13" s="252">
        <v>100</v>
      </c>
      <c r="E13" s="526">
        <v>3</v>
      </c>
      <c r="F13" s="252">
        <f>LOOKUP(E13,82:82,83:83)-LOOKUP(C13,82:82,83:83)+100</f>
        <v>90</v>
      </c>
      <c r="G13" s="527">
        <v>3.1</v>
      </c>
      <c r="H13" s="252">
        <f>LOOKUP(G13,82:82,83:83)-LOOKUP(C13,82:82,83:83)+100</f>
        <v>90</v>
      </c>
      <c r="I13" s="526">
        <v>3.1</v>
      </c>
      <c r="J13" s="252">
        <f>LOOKUP(I13,82:82,83:83)-LOOKUP(C13,82:82,83:83)+100</f>
        <v>90</v>
      </c>
      <c r="K13" s="528">
        <v>10</v>
      </c>
      <c r="L13" s="2020"/>
      <c r="M13" s="2012"/>
      <c r="N13" s="2012"/>
      <c r="O13" s="2021"/>
      <c r="P13" s="3506"/>
      <c r="Q13" s="1133" t="str">
        <f t="shared" si="6"/>
        <v>容积率</v>
      </c>
      <c r="R13" s="1500" t="s">
        <v>8</v>
      </c>
      <c r="S13" s="1501">
        <f t="shared" si="0"/>
        <v>90</v>
      </c>
      <c r="T13" s="1500" t="s">
        <v>8</v>
      </c>
      <c r="U13" s="1501">
        <f t="shared" si="1"/>
        <v>90</v>
      </c>
      <c r="V13" s="1500" t="s">
        <v>8</v>
      </c>
      <c r="W13" s="1501">
        <f t="shared" si="2"/>
        <v>90</v>
      </c>
      <c r="X13" s="1502"/>
      <c r="Y13" s="3457"/>
      <c r="Z13" s="1132" t="str">
        <f t="shared" si="7"/>
        <v>容积率</v>
      </c>
      <c r="AA13" s="1503">
        <f t="shared" si="3"/>
        <v>1.1111111111111112</v>
      </c>
      <c r="AB13" s="1503">
        <f t="shared" si="4"/>
        <v>1.1111111111111112</v>
      </c>
      <c r="AC13" s="1503">
        <f t="shared" si="5"/>
        <v>1.1111111111111112</v>
      </c>
    </row>
    <row r="14" spans="1:30" s="1202" customFormat="1" ht="20.25" hidden="1">
      <c r="A14" s="2628"/>
      <c r="B14" s="2637" t="s">
        <v>2739</v>
      </c>
      <c r="C14" s="2624"/>
      <c r="D14" s="531">
        <v>100</v>
      </c>
      <c r="E14" s="1324"/>
      <c r="F14" s="252">
        <f>SUMIF(84:84,E14,85:85)-SUMIF(84:84,C14,85:85)+100</f>
        <v>100</v>
      </c>
      <c r="G14" s="523"/>
      <c r="H14" s="252">
        <f>SUMIF(84:84,G14,85:85)-SUMIF(84:84,C14,85:85)+100</f>
        <v>100</v>
      </c>
      <c r="I14" s="522"/>
      <c r="J14" s="252">
        <f>SUMIF(84:84,I14,85:85)-SUMIF(84:84,C14,85:85)+100</f>
        <v>100</v>
      </c>
      <c r="K14" s="524"/>
      <c r="L14" s="2015"/>
      <c r="M14" s="2012"/>
      <c r="N14" s="2012"/>
      <c r="O14" s="2017"/>
      <c r="P14" s="3506"/>
      <c r="Q14" s="1133" t="str">
        <f t="shared" si="6"/>
        <v>配建</v>
      </c>
      <c r="R14" s="1500" t="s">
        <v>8</v>
      </c>
      <c r="S14" s="1501">
        <f t="shared" si="0"/>
        <v>100</v>
      </c>
      <c r="T14" s="1500" t="s">
        <v>8</v>
      </c>
      <c r="U14" s="1501">
        <f t="shared" si="1"/>
        <v>100</v>
      </c>
      <c r="V14" s="1500" t="s">
        <v>8</v>
      </c>
      <c r="W14" s="1501">
        <f t="shared" si="2"/>
        <v>100</v>
      </c>
      <c r="X14" s="1502"/>
      <c r="Y14" s="3457"/>
      <c r="Z14" s="1132" t="str">
        <f t="shared" si="7"/>
        <v>配建</v>
      </c>
      <c r="AA14" s="1503">
        <f>D14/F14</f>
        <v>1</v>
      </c>
      <c r="AB14" s="1503">
        <f>D14/H14</f>
        <v>1</v>
      </c>
      <c r="AC14" s="1503">
        <f>D14/J14</f>
        <v>1</v>
      </c>
    </row>
    <row r="15" spans="1:30" ht="20.25" hidden="1">
      <c r="A15" s="2632"/>
      <c r="B15" s="2638">
        <v>111</v>
      </c>
      <c r="C15" s="900"/>
      <c r="D15" s="533">
        <v>100</v>
      </c>
      <c r="E15" s="534"/>
      <c r="F15" s="252">
        <f>SUMIF(86:86,E15,87:87)-SUMIF(86:86,C15,87:87)+100</f>
        <v>100</v>
      </c>
      <c r="G15" s="535"/>
      <c r="H15" s="533">
        <f>SUMIF(86:86,G15,87:87)-SUMIF(86:86,C15,87:87)+100</f>
        <v>100</v>
      </c>
      <c r="I15" s="535"/>
      <c r="J15" s="533">
        <f>SUMIF(86:86,I15,87:87)-SUMIF(86:86,C15,87:87)+100</f>
        <v>100</v>
      </c>
      <c r="K15" s="524"/>
      <c r="L15" s="2022"/>
      <c r="M15" s="2012"/>
      <c r="N15" s="2012"/>
      <c r="O15" s="2021"/>
      <c r="P15" s="3506"/>
      <c r="Q15" s="1133">
        <f t="shared" si="6"/>
        <v>111</v>
      </c>
      <c r="R15" s="1500" t="s">
        <v>8</v>
      </c>
      <c r="S15" s="1501">
        <f t="shared" si="0"/>
        <v>100</v>
      </c>
      <c r="T15" s="1500" t="s">
        <v>8</v>
      </c>
      <c r="U15" s="1501">
        <f t="shared" si="1"/>
        <v>100</v>
      </c>
      <c r="V15" s="1500" t="s">
        <v>8</v>
      </c>
      <c r="W15" s="1501">
        <f t="shared" si="2"/>
        <v>100</v>
      </c>
      <c r="X15" s="1502"/>
      <c r="Y15" s="3457"/>
      <c r="Z15" s="1132">
        <f t="shared" si="7"/>
        <v>111</v>
      </c>
      <c r="AA15" s="1503">
        <f>D15/F15</f>
        <v>1</v>
      </c>
      <c r="AB15" s="1503">
        <f>D15/H15</f>
        <v>1</v>
      </c>
      <c r="AC15" s="1503">
        <f>D15/J15</f>
        <v>1</v>
      </c>
    </row>
    <row r="16" spans="1:30" ht="21" hidden="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506"/>
      <c r="Q16" s="1133">
        <f t="shared" si="6"/>
        <v>111</v>
      </c>
      <c r="R16" s="1500" t="s">
        <v>8</v>
      </c>
      <c r="S16" s="1501">
        <f t="shared" si="0"/>
        <v>100</v>
      </c>
      <c r="T16" s="1500" t="s">
        <v>8</v>
      </c>
      <c r="U16" s="1501">
        <f t="shared" si="1"/>
        <v>100</v>
      </c>
      <c r="V16" s="1500" t="s">
        <v>8</v>
      </c>
      <c r="W16" s="1501">
        <f t="shared" si="2"/>
        <v>100</v>
      </c>
      <c r="X16" s="1502"/>
      <c r="Y16" s="3457"/>
      <c r="Z16" s="1132">
        <f t="shared" si="7"/>
        <v>111</v>
      </c>
      <c r="AA16" s="1503">
        <f>D16/F16</f>
        <v>1</v>
      </c>
      <c r="AB16" s="1503">
        <f>D16/H16</f>
        <v>1</v>
      </c>
      <c r="AC16" s="1503">
        <f>D16/J16</f>
        <v>1</v>
      </c>
    </row>
    <row r="17" spans="1:29" ht="99.75">
      <c r="A17" s="2625" t="s">
        <v>2734</v>
      </c>
      <c r="B17" s="571" t="s">
        <v>294</v>
      </c>
      <c r="C17" s="541" t="str">
        <f>估价对象房地状况!C15</f>
        <v>估价对象周边居住用地比例、居住小区规模和社区发展完善程度，综合评价居住社区成熟度一般</v>
      </c>
      <c r="D17" s="544">
        <v>100</v>
      </c>
      <c r="E17" s="545"/>
      <c r="F17" s="542">
        <f>SUMIF(90:90,E18,91:91)-SUMIF(90:90,C18,91:91)+100</f>
        <v>92</v>
      </c>
      <c r="G17" s="543"/>
      <c r="H17" s="542">
        <f>SUMIF(90:90,G18,91:91)-SUMIF(90:90,C18,91:91)+100</f>
        <v>92</v>
      </c>
      <c r="I17" s="545"/>
      <c r="J17" s="542">
        <f>SUMIF(90:90,I18,91:91)-SUMIF(90:90,C18,91:91)+100</f>
        <v>92</v>
      </c>
      <c r="K17" s="528">
        <v>8</v>
      </c>
      <c r="L17" s="2022"/>
      <c r="M17" s="2012"/>
      <c r="N17" s="2012"/>
      <c r="O17" s="2021"/>
      <c r="P17" s="3508" t="s">
        <v>533</v>
      </c>
      <c r="Q17" s="1504" t="str">
        <f t="shared" si="6"/>
        <v>居住社区成熟度</v>
      </c>
      <c r="R17" s="1505" t="s">
        <v>8</v>
      </c>
      <c r="S17" s="1506">
        <f t="shared" si="0"/>
        <v>92</v>
      </c>
      <c r="T17" s="1505" t="s">
        <v>8</v>
      </c>
      <c r="U17" s="1506">
        <f t="shared" si="1"/>
        <v>92</v>
      </c>
      <c r="V17" s="1505" t="s">
        <v>8</v>
      </c>
      <c r="W17" s="1506">
        <f t="shared" si="2"/>
        <v>92</v>
      </c>
      <c r="X17" s="1499"/>
      <c r="Y17" s="3508" t="s">
        <v>533</v>
      </c>
      <c r="Z17" s="1507" t="str">
        <f t="shared" si="7"/>
        <v>居住社区成熟度</v>
      </c>
      <c r="AA17" s="1508">
        <f t="shared" si="3"/>
        <v>1.0869565217391304</v>
      </c>
      <c r="AB17" s="1508">
        <f t="shared" si="4"/>
        <v>1.0869565217391304</v>
      </c>
      <c r="AC17" s="1508">
        <f t="shared" si="5"/>
        <v>1.0869565217391304</v>
      </c>
    </row>
    <row r="18" spans="1:29" ht="20.25">
      <c r="A18" s="525"/>
      <c r="B18" s="546"/>
      <c r="C18" s="547" t="s">
        <v>3522</v>
      </c>
      <c r="D18" s="550"/>
      <c r="E18" s="551" t="s">
        <v>3523</v>
      </c>
      <c r="F18" s="548"/>
      <c r="G18" s="551" t="s">
        <v>3523</v>
      </c>
      <c r="H18" s="552"/>
      <c r="I18" s="551" t="s">
        <v>3523</v>
      </c>
      <c r="J18" s="548"/>
      <c r="K18" s="524"/>
      <c r="L18" s="2022"/>
      <c r="M18" s="2012"/>
      <c r="N18" s="2012"/>
      <c r="O18" s="2021"/>
      <c r="P18" s="3509"/>
      <c r="Q18" s="1504"/>
      <c r="R18" s="1505"/>
      <c r="S18" s="1506"/>
      <c r="T18" s="1505"/>
      <c r="U18" s="1506"/>
      <c r="V18" s="1505"/>
      <c r="W18" s="1506"/>
      <c r="X18" s="1499"/>
      <c r="Y18" s="3509"/>
      <c r="Z18" s="1507"/>
      <c r="AA18" s="1508">
        <v>1</v>
      </c>
      <c r="AB18" s="1508">
        <v>1</v>
      </c>
      <c r="AC18" s="1508">
        <v>1</v>
      </c>
    </row>
    <row r="19" spans="1:29" ht="71.25">
      <c r="A19" s="525"/>
      <c r="B19" s="553" t="s">
        <v>534</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v>2</v>
      </c>
      <c r="L19" s="2022"/>
      <c r="M19" s="2012"/>
      <c r="N19" s="2012"/>
      <c r="O19" s="2021"/>
      <c r="P19" s="3509"/>
      <c r="Q19" s="1504" t="str">
        <f>B19</f>
        <v>商业繁华度</v>
      </c>
      <c r="R19" s="1505" t="s">
        <v>8</v>
      </c>
      <c r="S19" s="1506">
        <f>F19</f>
        <v>100</v>
      </c>
      <c r="T19" s="1505" t="s">
        <v>8</v>
      </c>
      <c r="U19" s="1506">
        <f>H19</f>
        <v>100</v>
      </c>
      <c r="V19" s="1505" t="s">
        <v>8</v>
      </c>
      <c r="W19" s="1506">
        <f>J19</f>
        <v>100</v>
      </c>
      <c r="X19" s="1499"/>
      <c r="Y19" s="3509"/>
      <c r="Z19" s="1507" t="str">
        <f>Q19</f>
        <v>商业繁华度</v>
      </c>
      <c r="AA19" s="1508">
        <f t="shared" si="3"/>
        <v>1</v>
      </c>
      <c r="AB19" s="1508">
        <f t="shared" si="4"/>
        <v>1</v>
      </c>
      <c r="AC19" s="1508">
        <f t="shared" si="5"/>
        <v>1</v>
      </c>
    </row>
    <row r="20" spans="1:29" ht="20.25">
      <c r="A20" s="525"/>
      <c r="B20" s="559"/>
      <c r="C20" s="560" t="s">
        <v>3523</v>
      </c>
      <c r="D20" s="556"/>
      <c r="E20" s="560" t="s">
        <v>3523</v>
      </c>
      <c r="F20" s="552"/>
      <c r="G20" s="560" t="s">
        <v>3523</v>
      </c>
      <c r="H20" s="548"/>
      <c r="I20" s="560" t="s">
        <v>3523</v>
      </c>
      <c r="J20" s="548"/>
      <c r="K20" s="524"/>
      <c r="L20" s="2022"/>
      <c r="M20" s="2012"/>
      <c r="N20" s="2012"/>
      <c r="O20" s="2021"/>
      <c r="P20" s="3509"/>
      <c r="Q20" s="1504"/>
      <c r="R20" s="1505"/>
      <c r="S20" s="1506"/>
      <c r="T20" s="1505"/>
      <c r="U20" s="1506"/>
      <c r="V20" s="1505"/>
      <c r="W20" s="1506"/>
      <c r="X20" s="1499"/>
      <c r="Y20" s="3509"/>
      <c r="Z20" s="1507"/>
      <c r="AA20" s="1508">
        <v>1</v>
      </c>
      <c r="AB20" s="1508">
        <v>1</v>
      </c>
      <c r="AC20" s="1508">
        <v>1</v>
      </c>
    </row>
    <row r="21" spans="1:29" ht="71.25" hidden="1">
      <c r="A21" s="525"/>
      <c r="B21" s="553" t="s">
        <v>535</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509"/>
      <c r="Q21" s="1504" t="str">
        <f>B21</f>
        <v>办公集聚程度</v>
      </c>
      <c r="R21" s="1505" t="s">
        <v>8</v>
      </c>
      <c r="S21" s="1506">
        <f>F21</f>
        <v>100</v>
      </c>
      <c r="T21" s="1505" t="s">
        <v>8</v>
      </c>
      <c r="U21" s="1506">
        <f>H21</f>
        <v>100</v>
      </c>
      <c r="V21" s="1505" t="s">
        <v>8</v>
      </c>
      <c r="W21" s="1506">
        <f>J21</f>
        <v>100</v>
      </c>
      <c r="X21" s="1499"/>
      <c r="Y21" s="3509"/>
      <c r="Z21" s="1507" t="str">
        <f>Q21</f>
        <v>办公集聚程度</v>
      </c>
      <c r="AA21" s="1508">
        <f t="shared" si="3"/>
        <v>1</v>
      </c>
      <c r="AB21" s="1508">
        <f t="shared" si="4"/>
        <v>1</v>
      </c>
      <c r="AC21" s="1508">
        <f t="shared" si="5"/>
        <v>1</v>
      </c>
    </row>
    <row r="22" spans="1:29" ht="20.25" hidden="1">
      <c r="A22" s="525"/>
      <c r="B22" s="559"/>
      <c r="C22" s="547"/>
      <c r="D22" s="550"/>
      <c r="E22" s="551"/>
      <c r="F22" s="548"/>
      <c r="G22" s="549"/>
      <c r="H22" s="548"/>
      <c r="I22" s="551"/>
      <c r="J22" s="548"/>
      <c r="K22" s="524"/>
      <c r="L22" s="2022"/>
      <c r="M22" s="2012"/>
      <c r="N22" s="2012"/>
      <c r="O22" s="2021"/>
      <c r="P22" s="3509"/>
      <c r="Q22" s="1504"/>
      <c r="R22" s="1505"/>
      <c r="S22" s="1506"/>
      <c r="T22" s="1505"/>
      <c r="U22" s="1506"/>
      <c r="V22" s="1505"/>
      <c r="W22" s="1506"/>
      <c r="X22" s="1499"/>
      <c r="Y22" s="3509"/>
      <c r="Z22" s="1507"/>
      <c r="AA22" s="1508">
        <v>1</v>
      </c>
      <c r="AB22" s="1508">
        <v>1</v>
      </c>
      <c r="AC22" s="1508">
        <v>1</v>
      </c>
    </row>
    <row r="23" spans="1:29" ht="85.5">
      <c r="A23" s="525"/>
      <c r="B23" s="553" t="s">
        <v>536</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v>2</v>
      </c>
      <c r="L23" s="2022"/>
      <c r="M23" s="2012"/>
      <c r="N23" s="2012"/>
      <c r="O23" s="2021"/>
      <c r="P23" s="3509"/>
      <c r="Q23" s="1504" t="str">
        <f>B23</f>
        <v>交通便捷度</v>
      </c>
      <c r="R23" s="1505" t="s">
        <v>8</v>
      </c>
      <c r="S23" s="1506">
        <f>F23</f>
        <v>100</v>
      </c>
      <c r="T23" s="1505" t="s">
        <v>8</v>
      </c>
      <c r="U23" s="1506">
        <f>H23</f>
        <v>100</v>
      </c>
      <c r="V23" s="1505" t="s">
        <v>8</v>
      </c>
      <c r="W23" s="1506">
        <f>J23</f>
        <v>100</v>
      </c>
      <c r="X23" s="1499"/>
      <c r="Y23" s="3509"/>
      <c r="Z23" s="1507" t="str">
        <f>Q23</f>
        <v>交通便捷度</v>
      </c>
      <c r="AA23" s="1508">
        <f t="shared" si="3"/>
        <v>1</v>
      </c>
      <c r="AB23" s="1508">
        <f t="shared" si="4"/>
        <v>1</v>
      </c>
      <c r="AC23" s="1508">
        <f t="shared" si="5"/>
        <v>1</v>
      </c>
    </row>
    <row r="24" spans="1:29" ht="20.25">
      <c r="A24" s="525"/>
      <c r="B24" s="571"/>
      <c r="C24" s="547" t="s">
        <v>3523</v>
      </c>
      <c r="D24" s="550"/>
      <c r="E24" s="547" t="s">
        <v>3523</v>
      </c>
      <c r="F24" s="548"/>
      <c r="G24" s="547" t="s">
        <v>3523</v>
      </c>
      <c r="H24" s="548"/>
      <c r="I24" s="547" t="s">
        <v>3523</v>
      </c>
      <c r="J24" s="548"/>
      <c r="K24" s="524"/>
      <c r="L24" s="2022"/>
      <c r="M24" s="2012"/>
      <c r="N24" s="2012"/>
      <c r="O24" s="2021"/>
      <c r="P24" s="3509"/>
      <c r="Q24" s="1504"/>
      <c r="R24" s="1505"/>
      <c r="S24" s="1506"/>
      <c r="T24" s="1505"/>
      <c r="U24" s="1506"/>
      <c r="V24" s="1505"/>
      <c r="W24" s="1506"/>
      <c r="X24" s="1499"/>
      <c r="Y24" s="3509"/>
      <c r="Z24" s="1507"/>
      <c r="AA24" s="1508">
        <v>1</v>
      </c>
      <c r="AB24" s="1508">
        <v>1</v>
      </c>
      <c r="AC24" s="1508">
        <v>1</v>
      </c>
    </row>
    <row r="25" spans="1:29" ht="27">
      <c r="A25" s="508"/>
      <c r="B25" s="256" t="s">
        <v>537</v>
      </c>
      <c r="C25" s="566">
        <f>估价对象房地状况!C19</f>
        <v>0</v>
      </c>
      <c r="D25" s="556">
        <v>100</v>
      </c>
      <c r="E25" s="557"/>
      <c r="F25" s="558">
        <f>SUMIF(98:98,E26,99:99)-SUMIF(98:98,C26,99:99)+100</f>
        <v>95</v>
      </c>
      <c r="G25" s="555"/>
      <c r="H25" s="552">
        <f>SUMIF(98:98,G26,99:99)-SUMIF(98:98,C26,99:99)+100</f>
        <v>95</v>
      </c>
      <c r="I25" s="557"/>
      <c r="J25" s="552">
        <f>SUMIF(98:98,I26,99:99)-SUMIF(98:98,C26,99:99)+100</f>
        <v>95</v>
      </c>
      <c r="K25" s="528">
        <v>5</v>
      </c>
      <c r="L25" s="2022"/>
      <c r="M25" s="2012"/>
      <c r="N25" s="2012"/>
      <c r="O25" s="2021"/>
      <c r="P25" s="3509"/>
      <c r="Q25" s="1504" t="str">
        <f t="shared" ref="Q25:Q39" si="8">B25</f>
        <v>区域土地利用方向</v>
      </c>
      <c r="R25" s="1505" t="s">
        <v>8</v>
      </c>
      <c r="S25" s="1506">
        <f>F25</f>
        <v>95</v>
      </c>
      <c r="T25" s="1505" t="s">
        <v>8</v>
      </c>
      <c r="U25" s="1506">
        <f>H25</f>
        <v>95</v>
      </c>
      <c r="V25" s="1505" t="s">
        <v>8</v>
      </c>
      <c r="W25" s="1506">
        <f>J25</f>
        <v>95</v>
      </c>
      <c r="X25" s="1499"/>
      <c r="Y25" s="3509"/>
      <c r="Z25" s="1507" t="str">
        <f>Q25</f>
        <v>区域土地利用方向</v>
      </c>
      <c r="AA25" s="1508">
        <f t="shared" si="3"/>
        <v>1.0526315789473684</v>
      </c>
      <c r="AB25" s="1508">
        <f t="shared" si="4"/>
        <v>1.0526315789473684</v>
      </c>
      <c r="AC25" s="1508">
        <f t="shared" si="5"/>
        <v>1.0526315789473684</v>
      </c>
    </row>
    <row r="26" spans="1:29" ht="20.25">
      <c r="A26" s="508"/>
      <c r="B26" s="993"/>
      <c r="C26" s="547" t="s">
        <v>3522</v>
      </c>
      <c r="D26" s="550"/>
      <c r="E26" s="547" t="s">
        <v>3523</v>
      </c>
      <c r="F26" s="548"/>
      <c r="G26" s="547" t="s">
        <v>3523</v>
      </c>
      <c r="H26" s="548"/>
      <c r="I26" s="547" t="s">
        <v>3523</v>
      </c>
      <c r="J26" s="548"/>
      <c r="K26" s="524"/>
      <c r="L26" s="2022"/>
      <c r="M26" s="2012"/>
      <c r="N26" s="2012"/>
      <c r="O26" s="2021"/>
      <c r="P26" s="3509"/>
      <c r="Q26" s="1504"/>
      <c r="R26" s="1505"/>
      <c r="S26" s="1506"/>
      <c r="T26" s="1505"/>
      <c r="U26" s="1506"/>
      <c r="V26" s="1505"/>
      <c r="W26" s="1506"/>
      <c r="X26" s="1499"/>
      <c r="Y26" s="3509"/>
      <c r="Z26" s="1507"/>
      <c r="AA26" s="1508"/>
      <c r="AB26" s="1508"/>
      <c r="AC26" s="1508"/>
    </row>
    <row r="27" spans="1:29" ht="57">
      <c r="A27" s="508"/>
      <c r="B27" s="571" t="s">
        <v>538</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2"/>
      <c r="M27" s="2012"/>
      <c r="N27" s="2012"/>
      <c r="O27" s="2021"/>
      <c r="P27" s="3509"/>
      <c r="Q27" s="1504" t="str">
        <f t="shared" si="8"/>
        <v>自然及人文环境状况</v>
      </c>
      <c r="R27" s="1505" t="s">
        <v>8</v>
      </c>
      <c r="S27" s="1506">
        <f>F27</f>
        <v>100</v>
      </c>
      <c r="T27" s="1505" t="s">
        <v>8</v>
      </c>
      <c r="U27" s="1506">
        <f>H27</f>
        <v>100</v>
      </c>
      <c r="V27" s="1505" t="s">
        <v>8</v>
      </c>
      <c r="W27" s="1506">
        <f>J27</f>
        <v>100</v>
      </c>
      <c r="X27" s="1499"/>
      <c r="Y27" s="3509"/>
      <c r="Z27" s="1507" t="str">
        <f>Q27</f>
        <v>自然及人文环境状况</v>
      </c>
      <c r="AA27" s="1508">
        <f t="shared" si="3"/>
        <v>1</v>
      </c>
      <c r="AB27" s="1508">
        <f t="shared" si="4"/>
        <v>1</v>
      </c>
      <c r="AC27" s="1508">
        <f t="shared" si="5"/>
        <v>1</v>
      </c>
    </row>
    <row r="28" spans="1:29" ht="20.25">
      <c r="A28" s="508"/>
      <c r="B28" s="559"/>
      <c r="C28" s="547" t="s">
        <v>3523</v>
      </c>
      <c r="D28" s="550"/>
      <c r="E28" s="547" t="s">
        <v>3523</v>
      </c>
      <c r="F28" s="548"/>
      <c r="G28" s="547" t="s">
        <v>3523</v>
      </c>
      <c r="H28" s="548"/>
      <c r="I28" s="547" t="s">
        <v>3523</v>
      </c>
      <c r="J28" s="548"/>
      <c r="K28" s="524"/>
      <c r="L28" s="2022"/>
      <c r="M28" s="2012"/>
      <c r="N28" s="2012"/>
      <c r="O28" s="2021"/>
      <c r="P28" s="3509"/>
      <c r="Q28" s="1504"/>
      <c r="R28" s="1505"/>
      <c r="S28" s="1506"/>
      <c r="T28" s="1505"/>
      <c r="U28" s="1506"/>
      <c r="V28" s="1505"/>
      <c r="W28" s="1506"/>
      <c r="X28" s="1499"/>
      <c r="Y28" s="3509"/>
      <c r="Z28" s="1507"/>
      <c r="AA28" s="1508">
        <v>1</v>
      </c>
      <c r="AB28" s="1508">
        <v>1</v>
      </c>
      <c r="AC28" s="1508">
        <v>1</v>
      </c>
    </row>
    <row r="29" spans="1:29" s="1202" customFormat="1" ht="42.75">
      <c r="A29" s="570"/>
      <c r="B29" s="2433" t="s">
        <v>2529</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v>2</v>
      </c>
      <c r="L29" s="2015"/>
      <c r="M29" s="2012"/>
      <c r="N29" s="2012"/>
      <c r="O29" s="2017"/>
      <c r="P29" s="3509"/>
      <c r="Q29" s="1133" t="str">
        <f t="shared" si="8"/>
        <v>公共配套设施</v>
      </c>
      <c r="R29" s="1500" t="s">
        <v>8</v>
      </c>
      <c r="S29" s="1501">
        <f>F29</f>
        <v>100</v>
      </c>
      <c r="T29" s="1500" t="s">
        <v>8</v>
      </c>
      <c r="U29" s="1501">
        <f>H29</f>
        <v>100</v>
      </c>
      <c r="V29" s="1500" t="s">
        <v>8</v>
      </c>
      <c r="W29" s="1501">
        <f>J29</f>
        <v>100</v>
      </c>
      <c r="X29" s="1502"/>
      <c r="Y29" s="3509"/>
      <c r="Z29" s="1132" t="str">
        <f>Q29</f>
        <v>公共配套设施</v>
      </c>
      <c r="AA29" s="1508">
        <f>D29/F29</f>
        <v>1</v>
      </c>
      <c r="AB29" s="1508">
        <f>D29/H29</f>
        <v>1</v>
      </c>
      <c r="AC29" s="1508">
        <f>D29/J29</f>
        <v>1</v>
      </c>
    </row>
    <row r="30" spans="1:29" s="1202" customFormat="1" ht="20.25">
      <c r="A30" s="570"/>
      <c r="B30" s="559"/>
      <c r="C30" s="572" t="s">
        <v>3523</v>
      </c>
      <c r="D30" s="550"/>
      <c r="E30" s="547" t="s">
        <v>3523</v>
      </c>
      <c r="F30" s="548"/>
      <c r="G30" s="547" t="s">
        <v>3523</v>
      </c>
      <c r="H30" s="548"/>
      <c r="I30" s="547" t="s">
        <v>3523</v>
      </c>
      <c r="J30" s="548"/>
      <c r="K30" s="524"/>
      <c r="L30" s="2015"/>
      <c r="M30" s="2012"/>
      <c r="N30" s="2012"/>
      <c r="O30" s="2017"/>
      <c r="P30" s="3509"/>
      <c r="Q30" s="1133"/>
      <c r="R30" s="1500"/>
      <c r="S30" s="1501"/>
      <c r="T30" s="1500"/>
      <c r="U30" s="1501"/>
      <c r="V30" s="1500"/>
      <c r="W30" s="1501"/>
      <c r="X30" s="1502"/>
      <c r="Y30" s="3509"/>
      <c r="Z30" s="1132"/>
      <c r="AA30" s="1508">
        <v>1</v>
      </c>
      <c r="AB30" s="1508">
        <v>1</v>
      </c>
      <c r="AC30" s="1508">
        <v>1</v>
      </c>
    </row>
    <row r="31" spans="1:29" s="1202" customFormat="1" ht="28.5">
      <c r="A31" s="570"/>
      <c r="B31" s="2433"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5"/>
      <c r="M31" s="2012"/>
      <c r="N31" s="2012"/>
      <c r="O31" s="2017"/>
      <c r="P31" s="3509"/>
      <c r="Q31" s="2426" t="str">
        <f t="shared" ref="Q31" si="9">B31</f>
        <v>基础设施水平</v>
      </c>
      <c r="R31" s="1500" t="s">
        <v>8</v>
      </c>
      <c r="S31" s="1501">
        <f>F31</f>
        <v>100</v>
      </c>
      <c r="T31" s="1500" t="s">
        <v>8</v>
      </c>
      <c r="U31" s="1501">
        <f>H31</f>
        <v>100</v>
      </c>
      <c r="V31" s="1500" t="s">
        <v>8</v>
      </c>
      <c r="W31" s="1501">
        <f>J31</f>
        <v>100</v>
      </c>
      <c r="X31" s="1502"/>
      <c r="Y31" s="3509"/>
      <c r="Z31" s="2425" t="str">
        <f>Q31</f>
        <v>基础设施水平</v>
      </c>
      <c r="AA31" s="1508">
        <f>D31/F31</f>
        <v>1</v>
      </c>
      <c r="AB31" s="1508">
        <f>D31/H31</f>
        <v>1</v>
      </c>
      <c r="AC31" s="1508">
        <f>D31/J31</f>
        <v>1</v>
      </c>
    </row>
    <row r="32" spans="1:29" s="1202" customFormat="1" ht="20.25">
      <c r="A32" s="570"/>
      <c r="B32" s="559"/>
      <c r="C32" s="572" t="s">
        <v>3527</v>
      </c>
      <c r="D32" s="550"/>
      <c r="E32" s="572" t="s">
        <v>3527</v>
      </c>
      <c r="F32" s="548"/>
      <c r="G32" s="572" t="s">
        <v>3527</v>
      </c>
      <c r="H32" s="548"/>
      <c r="I32" s="572" t="s">
        <v>3527</v>
      </c>
      <c r="J32" s="548"/>
      <c r="K32" s="524"/>
      <c r="L32" s="2015"/>
      <c r="M32" s="2012"/>
      <c r="N32" s="2012"/>
      <c r="O32" s="2017"/>
      <c r="P32" s="3509"/>
      <c r="Q32" s="2426"/>
      <c r="R32" s="1500"/>
      <c r="S32" s="1501"/>
      <c r="T32" s="1500"/>
      <c r="U32" s="1501"/>
      <c r="V32" s="1500"/>
      <c r="W32" s="1501"/>
      <c r="X32" s="1502"/>
      <c r="Y32" s="3509"/>
      <c r="Z32" s="2425"/>
      <c r="AA32" s="1508">
        <v>1</v>
      </c>
      <c r="AB32" s="1508">
        <v>1</v>
      </c>
      <c r="AC32" s="1508">
        <v>1</v>
      </c>
    </row>
    <row r="33" spans="1:29" ht="20.25" hidden="1">
      <c r="A33" s="525"/>
      <c r="B33" s="559" t="s">
        <v>540</v>
      </c>
      <c r="C33" s="573" t="s">
        <v>3538</v>
      </c>
      <c r="D33" s="568">
        <v>100</v>
      </c>
      <c r="E33" s="573" t="s">
        <v>3538</v>
      </c>
      <c r="F33" s="533">
        <f>SUMIF(106:106,E33,107:107)-SUMIF(106:106,C33,107:107)+100</f>
        <v>100</v>
      </c>
      <c r="G33" s="573" t="s">
        <v>3538</v>
      </c>
      <c r="H33" s="533">
        <f>SUMIF(106:106,G33,107:107)-SUMIF(106:106,C33,107:107)+100</f>
        <v>100</v>
      </c>
      <c r="I33" s="573" t="s">
        <v>3538</v>
      </c>
      <c r="J33" s="533">
        <f>SUMIF(106:106,I33,107:107)-SUMIF(106:106,C33,107:107)+100</f>
        <v>100</v>
      </c>
      <c r="K33" s="528">
        <v>1</v>
      </c>
      <c r="L33" s="2022"/>
      <c r="M33" s="2012"/>
      <c r="N33" s="2012"/>
      <c r="O33" s="2021"/>
      <c r="P33" s="3509"/>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09"/>
      <c r="Z33" s="1507" t="str">
        <f t="shared" ref="Z33:Z47" si="13">Q33</f>
        <v>临街状况</v>
      </c>
      <c r="AA33" s="1508">
        <f t="shared" si="3"/>
        <v>1</v>
      </c>
      <c r="AB33" s="1508">
        <f t="shared" si="4"/>
        <v>1</v>
      </c>
      <c r="AC33" s="1508">
        <f t="shared" si="5"/>
        <v>1</v>
      </c>
    </row>
    <row r="34" spans="1:29" ht="27">
      <c r="A34" s="525"/>
      <c r="B34" s="571" t="s">
        <v>541</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v>1</v>
      </c>
      <c r="L34" s="2022"/>
      <c r="M34" s="2012"/>
      <c r="N34" s="2012"/>
      <c r="O34" s="2021"/>
      <c r="P34" s="3509"/>
      <c r="Q34" s="1504" t="str">
        <f t="shared" si="8"/>
        <v>毗邻道路的类型与等级</v>
      </c>
      <c r="R34" s="1505" t="s">
        <v>8</v>
      </c>
      <c r="S34" s="1506">
        <f t="shared" si="10"/>
        <v>100</v>
      </c>
      <c r="T34" s="1505" t="s">
        <v>8</v>
      </c>
      <c r="U34" s="1506">
        <f t="shared" si="11"/>
        <v>100</v>
      </c>
      <c r="V34" s="1505" t="s">
        <v>8</v>
      </c>
      <c r="W34" s="1506">
        <f t="shared" si="12"/>
        <v>100</v>
      </c>
      <c r="X34" s="1499"/>
      <c r="Y34" s="3509"/>
      <c r="Z34" s="1507" t="str">
        <f t="shared" si="13"/>
        <v>毗邻道路的类型与等级</v>
      </c>
      <c r="AA34" s="1508">
        <f t="shared" si="3"/>
        <v>1</v>
      </c>
      <c r="AB34" s="1508">
        <f t="shared" si="4"/>
        <v>1</v>
      </c>
      <c r="AC34" s="1508">
        <f t="shared" si="5"/>
        <v>1</v>
      </c>
    </row>
    <row r="35" spans="1:29" ht="29.25" thickBot="1">
      <c r="A35" s="525"/>
      <c r="B35" s="559"/>
      <c r="C35" s="547" t="s">
        <v>3537</v>
      </c>
      <c r="D35" s="550"/>
      <c r="E35" s="547" t="s">
        <v>3537</v>
      </c>
      <c r="F35" s="548"/>
      <c r="G35" s="547" t="s">
        <v>3537</v>
      </c>
      <c r="H35" s="548"/>
      <c r="I35" s="547" t="s">
        <v>3537</v>
      </c>
      <c r="J35" s="548"/>
      <c r="K35" s="574"/>
      <c r="L35" s="2022"/>
      <c r="M35" s="2012"/>
      <c r="N35" s="2012"/>
      <c r="O35" s="2021"/>
      <c r="P35" s="3509"/>
      <c r="Q35" s="1504"/>
      <c r="R35" s="1505"/>
      <c r="S35" s="1506"/>
      <c r="T35" s="1505"/>
      <c r="U35" s="1506"/>
      <c r="V35" s="1505"/>
      <c r="W35" s="1506"/>
      <c r="X35" s="1499"/>
      <c r="Y35" s="3509"/>
      <c r="Z35" s="1507"/>
      <c r="AA35" s="1508">
        <v>1</v>
      </c>
      <c r="AB35" s="1508">
        <v>1</v>
      </c>
      <c r="AC35" s="1508">
        <v>1</v>
      </c>
    </row>
    <row r="36" spans="1:29" ht="20.25" hidden="1">
      <c r="A36" s="525"/>
      <c r="B36" s="575" t="s">
        <v>542</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509"/>
      <c r="Q36" s="1504" t="str">
        <f t="shared" si="8"/>
        <v>土地级别</v>
      </c>
      <c r="R36" s="1505" t="s">
        <v>8</v>
      </c>
      <c r="S36" s="1506">
        <f t="shared" si="10"/>
        <v>100</v>
      </c>
      <c r="T36" s="1505" t="s">
        <v>8</v>
      </c>
      <c r="U36" s="1506">
        <f t="shared" si="11"/>
        <v>100</v>
      </c>
      <c r="V36" s="1505" t="s">
        <v>8</v>
      </c>
      <c r="W36" s="1506">
        <f t="shared" si="12"/>
        <v>100</v>
      </c>
      <c r="X36" s="1499"/>
      <c r="Y36" s="3509"/>
      <c r="Z36" s="1507" t="str">
        <f t="shared" si="13"/>
        <v>土地级别</v>
      </c>
      <c r="AA36" s="1508">
        <f t="shared" si="3"/>
        <v>1</v>
      </c>
      <c r="AB36" s="1508">
        <f t="shared" si="4"/>
        <v>1</v>
      </c>
      <c r="AC36" s="1508">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509"/>
      <c r="Q37" s="1504">
        <f t="shared" si="8"/>
        <v>111</v>
      </c>
      <c r="R37" s="1505" t="s">
        <v>8</v>
      </c>
      <c r="S37" s="1506">
        <f t="shared" si="10"/>
        <v>100</v>
      </c>
      <c r="T37" s="1505" t="s">
        <v>8</v>
      </c>
      <c r="U37" s="1506">
        <f t="shared" si="11"/>
        <v>100</v>
      </c>
      <c r="V37" s="1505" t="s">
        <v>8</v>
      </c>
      <c r="W37" s="1506">
        <f t="shared" si="12"/>
        <v>100</v>
      </c>
      <c r="X37" s="1499"/>
      <c r="Y37" s="3509"/>
      <c r="Z37" s="1507">
        <f t="shared" si="13"/>
        <v>111</v>
      </c>
      <c r="AA37" s="1508">
        <f t="shared" si="3"/>
        <v>1</v>
      </c>
      <c r="AB37" s="1508">
        <f t="shared" si="4"/>
        <v>1</v>
      </c>
      <c r="AC37" s="1508">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510" t="s">
        <v>543</v>
      </c>
      <c r="Q38" s="1504">
        <f t="shared" si="8"/>
        <v>111</v>
      </c>
      <c r="R38" s="1505" t="s">
        <v>8</v>
      </c>
      <c r="S38" s="1506">
        <f t="shared" si="10"/>
        <v>100</v>
      </c>
      <c r="T38" s="1505" t="s">
        <v>8</v>
      </c>
      <c r="U38" s="1506">
        <f t="shared" si="11"/>
        <v>100</v>
      </c>
      <c r="V38" s="1505" t="s">
        <v>8</v>
      </c>
      <c r="W38" s="1506">
        <f t="shared" si="12"/>
        <v>100</v>
      </c>
      <c r="X38" s="1499"/>
      <c r="Y38" s="3511" t="s">
        <v>543</v>
      </c>
      <c r="Z38" s="1507">
        <f t="shared" si="13"/>
        <v>111</v>
      </c>
      <c r="AA38" s="1508">
        <f t="shared" si="3"/>
        <v>1</v>
      </c>
      <c r="AB38" s="1508">
        <f t="shared" si="4"/>
        <v>1</v>
      </c>
      <c r="AC38" s="1508">
        <f t="shared" si="5"/>
        <v>1</v>
      </c>
    </row>
    <row r="39" spans="1:29" s="1292"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511"/>
      <c r="Q39" s="1504">
        <f t="shared" si="8"/>
        <v>111</v>
      </c>
      <c r="R39" s="1509" t="s">
        <v>8</v>
      </c>
      <c r="S39" s="1510">
        <f t="shared" si="10"/>
        <v>100</v>
      </c>
      <c r="T39" s="1509" t="s">
        <v>8</v>
      </c>
      <c r="U39" s="1510">
        <f t="shared" si="11"/>
        <v>100</v>
      </c>
      <c r="V39" s="1509" t="s">
        <v>8</v>
      </c>
      <c r="W39" s="1510">
        <f t="shared" si="12"/>
        <v>100</v>
      </c>
      <c r="X39" s="1511"/>
      <c r="Y39" s="3511"/>
      <c r="Z39" s="1512">
        <f t="shared" si="13"/>
        <v>111</v>
      </c>
      <c r="AA39" s="1508">
        <f t="shared" si="3"/>
        <v>1</v>
      </c>
      <c r="AB39" s="1508">
        <f t="shared" si="4"/>
        <v>1</v>
      </c>
      <c r="AC39" s="1508">
        <f t="shared" si="5"/>
        <v>1</v>
      </c>
    </row>
    <row r="40" spans="1:29" ht="20.25">
      <c r="A40" s="2622" t="s">
        <v>2735</v>
      </c>
      <c r="B40" s="588" t="s">
        <v>545</v>
      </c>
      <c r="C40" s="589">
        <f>'数据-基础表'!A3</f>
        <v>59775.26</v>
      </c>
      <c r="D40" s="590">
        <v>100</v>
      </c>
      <c r="E40" s="589">
        <f>土地案例!J5</f>
        <v>40545.29</v>
      </c>
      <c r="F40" s="590">
        <f>LOOKUP(E40,119:119,120:120)-LOOKUP(C40,119:119,120:120)+100</f>
        <v>100</v>
      </c>
      <c r="G40" s="589">
        <f>土地案例!J10</f>
        <v>84526.38</v>
      </c>
      <c r="H40" s="590">
        <f>LOOKUP(G40,119:119,120:120)-LOOKUP(C40,119:119,120:120)+100</f>
        <v>101</v>
      </c>
      <c r="I40" s="591">
        <f>土地案例!J11</f>
        <v>102179.33</v>
      </c>
      <c r="J40" s="590">
        <f>LOOKUP(I40,119:119,120:120)-LOOKUP(C40,119:119,120:120)+100</f>
        <v>102</v>
      </c>
      <c r="K40" s="574"/>
      <c r="L40" s="2022"/>
      <c r="M40" s="2012"/>
      <c r="N40" s="2012"/>
      <c r="O40" s="2021"/>
      <c r="P40" s="3511"/>
      <c r="Q40" s="1504" t="str">
        <f>B40</f>
        <v>宗地面积</v>
      </c>
      <c r="R40" s="1505" t="s">
        <v>8</v>
      </c>
      <c r="S40" s="1506">
        <f t="shared" si="10"/>
        <v>100</v>
      </c>
      <c r="T40" s="1505" t="s">
        <v>8</v>
      </c>
      <c r="U40" s="1506">
        <f t="shared" si="11"/>
        <v>101</v>
      </c>
      <c r="V40" s="1505" t="s">
        <v>8</v>
      </c>
      <c r="W40" s="1506">
        <f t="shared" si="12"/>
        <v>102</v>
      </c>
      <c r="X40" s="1499"/>
      <c r="Y40" s="3511"/>
      <c r="Z40" s="1507" t="str">
        <f t="shared" si="13"/>
        <v>宗地面积</v>
      </c>
      <c r="AA40" s="1508">
        <f t="shared" si="3"/>
        <v>1</v>
      </c>
      <c r="AB40" s="1508">
        <f t="shared" si="4"/>
        <v>0.99009900990099009</v>
      </c>
      <c r="AC40" s="1508">
        <f t="shared" si="5"/>
        <v>0.98039215686274506</v>
      </c>
    </row>
    <row r="41" spans="1:29" ht="20.25">
      <c r="A41" s="587"/>
      <c r="B41" s="520" t="s">
        <v>546</v>
      </c>
      <c r="C41" s="592" t="s">
        <v>3532</v>
      </c>
      <c r="D41" s="533">
        <v>100</v>
      </c>
      <c r="E41" s="592" t="s">
        <v>3532</v>
      </c>
      <c r="F41" s="533">
        <f>SUMIF(121:121,E41,122:122)-SUMIF(121:121,C41,122:122)+100</f>
        <v>100</v>
      </c>
      <c r="G41" s="592" t="s">
        <v>3532</v>
      </c>
      <c r="H41" s="533">
        <f>SUMIF(121:121,G41,122:122)-SUMIF(121:121,C41,122:122)+100</f>
        <v>100</v>
      </c>
      <c r="I41" s="592" t="s">
        <v>3532</v>
      </c>
      <c r="J41" s="533">
        <f>SUMIF(121:121,I41,122:122)-SUMIF(121:121,C41,122:122)+100</f>
        <v>100</v>
      </c>
      <c r="K41" s="577">
        <v>1</v>
      </c>
      <c r="L41" s="2022"/>
      <c r="M41" s="2012"/>
      <c r="N41" s="2012"/>
      <c r="O41" s="2021"/>
      <c r="P41" s="3511"/>
      <c r="Q41" s="1504" t="str">
        <f t="shared" ref="Q41:Q47" si="14">B41</f>
        <v>宗地形状</v>
      </c>
      <c r="R41" s="1505" t="s">
        <v>8</v>
      </c>
      <c r="S41" s="1506">
        <f t="shared" si="10"/>
        <v>100</v>
      </c>
      <c r="T41" s="1505" t="s">
        <v>8</v>
      </c>
      <c r="U41" s="1506">
        <f t="shared" si="11"/>
        <v>100</v>
      </c>
      <c r="V41" s="1505" t="s">
        <v>8</v>
      </c>
      <c r="W41" s="1506">
        <f t="shared" si="12"/>
        <v>100</v>
      </c>
      <c r="X41" s="1499"/>
      <c r="Y41" s="3511"/>
      <c r="Z41" s="1507" t="str">
        <f t="shared" si="13"/>
        <v>宗地形状</v>
      </c>
      <c r="AA41" s="1508">
        <f t="shared" si="3"/>
        <v>1</v>
      </c>
      <c r="AB41" s="1508">
        <f t="shared" si="4"/>
        <v>1</v>
      </c>
      <c r="AC41" s="1508">
        <f t="shared" si="5"/>
        <v>1</v>
      </c>
    </row>
    <row r="42" spans="1:29" ht="20.25">
      <c r="A42" s="587"/>
      <c r="B42" s="520" t="s">
        <v>547</v>
      </c>
      <c r="C42" s="592" t="s">
        <v>3522</v>
      </c>
      <c r="D42" s="533">
        <v>100</v>
      </c>
      <c r="E42" s="592" t="s">
        <v>3522</v>
      </c>
      <c r="F42" s="533">
        <f>SUMIF(123:123,E42,124:124)-SUMIF(123:123,C42,124:124)+100</f>
        <v>100</v>
      </c>
      <c r="G42" s="592" t="s">
        <v>3522</v>
      </c>
      <c r="H42" s="533">
        <f>SUMIF(123:123,G42,124:124)-SUMIF(123:123,C42,124:124)+100</f>
        <v>100</v>
      </c>
      <c r="I42" s="592" t="s">
        <v>3522</v>
      </c>
      <c r="J42" s="533">
        <f>SUMIF(123:123,I42,124:124)-SUMIF(123:123,C42,124:124)+100</f>
        <v>100</v>
      </c>
      <c r="K42" s="577">
        <v>1</v>
      </c>
      <c r="L42" s="2022"/>
      <c r="M42" s="2012"/>
      <c r="N42" s="2012"/>
      <c r="O42" s="2021"/>
      <c r="P42" s="3511"/>
      <c r="Q42" s="1504" t="str">
        <f t="shared" si="14"/>
        <v>临街宽度及深度</v>
      </c>
      <c r="R42" s="1505" t="s">
        <v>8</v>
      </c>
      <c r="S42" s="1506">
        <f t="shared" si="10"/>
        <v>100</v>
      </c>
      <c r="T42" s="1505" t="s">
        <v>8</v>
      </c>
      <c r="U42" s="1506">
        <f t="shared" si="11"/>
        <v>100</v>
      </c>
      <c r="V42" s="1505" t="s">
        <v>8</v>
      </c>
      <c r="W42" s="1506">
        <f t="shared" si="12"/>
        <v>100</v>
      </c>
      <c r="X42" s="1499"/>
      <c r="Y42" s="3511"/>
      <c r="Z42" s="1507" t="str">
        <f t="shared" si="13"/>
        <v>临街宽度及深度</v>
      </c>
      <c r="AA42" s="1508">
        <f t="shared" si="3"/>
        <v>1</v>
      </c>
      <c r="AB42" s="1508">
        <f t="shared" si="4"/>
        <v>1</v>
      </c>
      <c r="AC42" s="1508">
        <f t="shared" si="5"/>
        <v>1</v>
      </c>
    </row>
    <row r="43" spans="1:29" s="1202" customFormat="1" ht="20.25">
      <c r="A43" s="593"/>
      <c r="B43" s="1807" t="s">
        <v>2408</v>
      </c>
      <c r="C43" s="594" t="s">
        <v>3527</v>
      </c>
      <c r="D43" s="252">
        <v>100</v>
      </c>
      <c r="E43" s="594" t="s">
        <v>3527</v>
      </c>
      <c r="F43" s="533">
        <f>SUMIF(125:125,E43,126:126)-SUMIF(125:125,C43,126:126)+100</f>
        <v>100</v>
      </c>
      <c r="G43" s="594" t="s">
        <v>3527</v>
      </c>
      <c r="H43" s="533">
        <f>SUMIF(125:125,G43,126:126)-SUMIF(125:125,C43,126:126)+100</f>
        <v>100</v>
      </c>
      <c r="I43" s="594" t="s">
        <v>3527</v>
      </c>
      <c r="J43" s="533">
        <f>SUMIF(125:125,I43,126:126)-SUMIF(125:125,C43,126:126)+100</f>
        <v>100</v>
      </c>
      <c r="K43" s="577">
        <v>1</v>
      </c>
      <c r="L43" s="2015"/>
      <c r="M43" s="2012"/>
      <c r="N43" s="2012"/>
      <c r="O43" s="2017"/>
      <c r="P43" s="3511"/>
      <c r="Q43" s="1504" t="str">
        <f t="shared" si="14"/>
        <v>宗地开发程度</v>
      </c>
      <c r="R43" s="1500" t="s">
        <v>8</v>
      </c>
      <c r="S43" s="1501">
        <f t="shared" si="10"/>
        <v>100</v>
      </c>
      <c r="T43" s="1500" t="s">
        <v>8</v>
      </c>
      <c r="U43" s="1501">
        <f t="shared" si="11"/>
        <v>100</v>
      </c>
      <c r="V43" s="1500" t="s">
        <v>8</v>
      </c>
      <c r="W43" s="1501">
        <f t="shared" si="12"/>
        <v>100</v>
      </c>
      <c r="X43" s="1502"/>
      <c r="Y43" s="3511"/>
      <c r="Z43" s="1132" t="str">
        <f t="shared" si="13"/>
        <v>宗地开发程度</v>
      </c>
      <c r="AA43" s="1503">
        <f t="shared" si="3"/>
        <v>1</v>
      </c>
      <c r="AB43" s="1503">
        <f t="shared" si="4"/>
        <v>1</v>
      </c>
      <c r="AC43" s="1503">
        <f t="shared" si="5"/>
        <v>1</v>
      </c>
    </row>
    <row r="44" spans="1:29" ht="21" thickBot="1">
      <c r="A44" s="587"/>
      <c r="B44" s="520" t="s">
        <v>548</v>
      </c>
      <c r="C44" s="592" t="s">
        <v>3522</v>
      </c>
      <c r="D44" s="533">
        <v>100</v>
      </c>
      <c r="E44" s="592" t="s">
        <v>3522</v>
      </c>
      <c r="F44" s="533">
        <f>SUMIF(127:127,E44,128:128)-SUMIF(127:127,C44,128:128)+100</f>
        <v>100</v>
      </c>
      <c r="G44" s="592" t="s">
        <v>3522</v>
      </c>
      <c r="H44" s="533">
        <f>SUMIF(127:127,G44,128:128)-SUMIF(127:127,C44,128:128)+100</f>
        <v>100</v>
      </c>
      <c r="I44" s="592" t="s">
        <v>3522</v>
      </c>
      <c r="J44" s="533">
        <f>SUMIF(127:127,I44,128:128)-SUMIF(127:127,C44,128:128)+100</f>
        <v>100</v>
      </c>
      <c r="K44" s="577">
        <v>1</v>
      </c>
      <c r="L44" s="2022"/>
      <c r="M44" s="2012"/>
      <c r="N44" s="2012"/>
      <c r="O44" s="2021"/>
      <c r="P44" s="3511" t="s">
        <v>543</v>
      </c>
      <c r="Q44" s="1504" t="str">
        <f t="shared" si="14"/>
        <v>工程地质条件</v>
      </c>
      <c r="R44" s="1505" t="s">
        <v>8</v>
      </c>
      <c r="S44" s="1506">
        <f t="shared" si="10"/>
        <v>100</v>
      </c>
      <c r="T44" s="1505" t="s">
        <v>8</v>
      </c>
      <c r="U44" s="1506">
        <f t="shared" si="11"/>
        <v>100</v>
      </c>
      <c r="V44" s="1505" t="s">
        <v>8</v>
      </c>
      <c r="W44" s="1506">
        <f t="shared" si="12"/>
        <v>100</v>
      </c>
      <c r="X44" s="1499"/>
      <c r="Y44" s="3511" t="s">
        <v>543</v>
      </c>
      <c r="Z44" s="1507" t="str">
        <f t="shared" si="13"/>
        <v>工程地质条件</v>
      </c>
      <c r="AA44" s="1508">
        <f t="shared" si="3"/>
        <v>1</v>
      </c>
      <c r="AB44" s="1508">
        <f t="shared" si="4"/>
        <v>1</v>
      </c>
      <c r="AC44" s="1508">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511"/>
      <c r="Q45" s="1504">
        <f t="shared" si="14"/>
        <v>111</v>
      </c>
      <c r="R45" s="1505" t="s">
        <v>8</v>
      </c>
      <c r="S45" s="1506">
        <f t="shared" si="10"/>
        <v>100</v>
      </c>
      <c r="T45" s="1505" t="s">
        <v>8</v>
      </c>
      <c r="U45" s="1506">
        <f t="shared" si="11"/>
        <v>100</v>
      </c>
      <c r="V45" s="1505" t="s">
        <v>8</v>
      </c>
      <c r="W45" s="1506">
        <f t="shared" si="12"/>
        <v>100</v>
      </c>
      <c r="X45" s="1499"/>
      <c r="Y45" s="3511"/>
      <c r="Z45" s="1507">
        <f t="shared" si="13"/>
        <v>111</v>
      </c>
      <c r="AA45" s="1508">
        <f t="shared" si="3"/>
        <v>1</v>
      </c>
      <c r="AB45" s="1508">
        <f t="shared" si="4"/>
        <v>1</v>
      </c>
      <c r="AC45" s="1508">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511"/>
      <c r="Q46" s="1504">
        <f t="shared" si="14"/>
        <v>111</v>
      </c>
      <c r="R46" s="1505" t="s">
        <v>8</v>
      </c>
      <c r="S46" s="1506">
        <f t="shared" si="10"/>
        <v>100</v>
      </c>
      <c r="T46" s="1505" t="s">
        <v>8</v>
      </c>
      <c r="U46" s="1506">
        <f t="shared" si="11"/>
        <v>100</v>
      </c>
      <c r="V46" s="1505" t="s">
        <v>8</v>
      </c>
      <c r="W46" s="1506">
        <f t="shared" si="12"/>
        <v>100</v>
      </c>
      <c r="X46" s="1499"/>
      <c r="Y46" s="3511"/>
      <c r="Z46" s="1507">
        <f t="shared" si="13"/>
        <v>111</v>
      </c>
      <c r="AA46" s="1508">
        <f t="shared" si="3"/>
        <v>1</v>
      </c>
      <c r="AB46" s="1508">
        <f t="shared" si="4"/>
        <v>1</v>
      </c>
      <c r="AC46" s="1508">
        <f t="shared" si="5"/>
        <v>1</v>
      </c>
    </row>
    <row r="47" spans="1:29" s="1292"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511"/>
      <c r="Q47" s="1504">
        <f t="shared" si="14"/>
        <v>111</v>
      </c>
      <c r="R47" s="1509" t="s">
        <v>8</v>
      </c>
      <c r="S47" s="1510">
        <f t="shared" si="10"/>
        <v>100</v>
      </c>
      <c r="T47" s="1509" t="s">
        <v>8</v>
      </c>
      <c r="U47" s="1510">
        <f t="shared" si="11"/>
        <v>100</v>
      </c>
      <c r="V47" s="1509" t="s">
        <v>8</v>
      </c>
      <c r="W47" s="1510">
        <f t="shared" si="12"/>
        <v>100</v>
      </c>
      <c r="X47" s="1511"/>
      <c r="Y47" s="3511"/>
      <c r="Z47" s="1512">
        <f t="shared" si="13"/>
        <v>111</v>
      </c>
      <c r="AA47" s="1508">
        <f t="shared" si="3"/>
        <v>1</v>
      </c>
      <c r="AB47" s="1508">
        <f t="shared" si="4"/>
        <v>1</v>
      </c>
      <c r="AC47" s="1508">
        <f t="shared" si="5"/>
        <v>1</v>
      </c>
    </row>
    <row r="48" spans="1:29" ht="20.25">
      <c r="A48" s="600" t="s">
        <v>549</v>
      </c>
      <c r="B48" s="601" t="s">
        <v>3508</v>
      </c>
      <c r="C48" s="602" t="s">
        <v>1</v>
      </c>
      <c r="D48" s="603"/>
      <c r="E48" s="604">
        <f>ROUND(土地案例!AL5,0)</f>
        <v>1750</v>
      </c>
      <c r="F48" s="605"/>
      <c r="G48" s="606">
        <f>ROUND(土地案例!AL10,0)</f>
        <v>1655</v>
      </c>
      <c r="H48" s="607"/>
      <c r="I48" s="604">
        <f>ROUND(土地案例!AL11,0)</f>
        <v>1515</v>
      </c>
      <c r="J48" s="607"/>
      <c r="K48" s="1293"/>
      <c r="L48" s="2024"/>
      <c r="M48" s="2012"/>
      <c r="N48" s="2012"/>
      <c r="O48" s="2025"/>
      <c r="P48" s="3506" t="str">
        <f>A48</f>
        <v>成交单价</v>
      </c>
      <c r="Q48" s="3506"/>
      <c r="R48" s="3520">
        <f>E48</f>
        <v>1750</v>
      </c>
      <c r="S48" s="3520"/>
      <c r="T48" s="3520">
        <f>G48</f>
        <v>1655</v>
      </c>
      <c r="U48" s="3520"/>
      <c r="V48" s="3520">
        <f>I48</f>
        <v>1515</v>
      </c>
      <c r="W48" s="3520"/>
      <c r="X48" s="1494"/>
      <c r="Y48" s="1513"/>
      <c r="Z48" s="1494"/>
      <c r="AA48" s="1494"/>
      <c r="AB48" s="1494"/>
      <c r="AC48" s="1494"/>
    </row>
    <row r="49" spans="1:29" ht="21" thickBot="1">
      <c r="A49" s="608" t="s">
        <v>2673</v>
      </c>
      <c r="B49" s="609"/>
      <c r="C49" s="610">
        <f>R50</f>
        <v>2058</v>
      </c>
      <c r="D49" s="3008" t="s">
        <v>2970</v>
      </c>
      <c r="E49" s="610">
        <f>R49</f>
        <v>2214</v>
      </c>
      <c r="F49" s="3009"/>
      <c r="G49" s="611">
        <f>T49</f>
        <v>2073</v>
      </c>
      <c r="H49" s="3009"/>
      <c r="I49" s="610">
        <f>V49</f>
        <v>1888</v>
      </c>
      <c r="J49" s="3009"/>
      <c r="K49" s="3010">
        <f>F49+H49+J49</f>
        <v>0</v>
      </c>
      <c r="L49" s="2024"/>
      <c r="M49" s="2012"/>
      <c r="N49" s="2012"/>
      <c r="O49" s="2025"/>
      <c r="P49" s="3506" t="str">
        <f>A49</f>
        <v>比较价格（元/平方米）</v>
      </c>
      <c r="Q49" s="3506"/>
      <c r="R49" s="3531">
        <f>ROUND(PRODUCT(R48,AA9:AA47),0)</f>
        <v>2214</v>
      </c>
      <c r="S49" s="3531"/>
      <c r="T49" s="3531">
        <f>ROUND(PRODUCT(T48,AB9:AB47),0)</f>
        <v>2073</v>
      </c>
      <c r="U49" s="3531"/>
      <c r="V49" s="3531">
        <f>ROUND(PRODUCT(V48,AC9:AC47),0)</f>
        <v>1888</v>
      </c>
      <c r="W49" s="3531"/>
      <c r="X49" s="1494"/>
      <c r="Y49" s="1494"/>
      <c r="Z49" s="1494"/>
      <c r="AA49" s="1494"/>
      <c r="AB49" s="1494"/>
      <c r="AC49" s="1494"/>
    </row>
    <row r="50" spans="1:29" ht="21" thickBot="1">
      <c r="A50" s="612" t="s">
        <v>2902</v>
      </c>
      <c r="B50" s="613"/>
      <c r="C50" s="614">
        <f>R50</f>
        <v>2058</v>
      </c>
      <c r="D50" s="614"/>
      <c r="E50" s="614"/>
      <c r="F50" s="614"/>
      <c r="G50" s="614"/>
      <c r="H50" s="614"/>
      <c r="I50" s="614"/>
      <c r="J50" s="614"/>
      <c r="K50" s="1294"/>
      <c r="L50" s="2024"/>
      <c r="M50" s="2012"/>
      <c r="N50" s="2012"/>
      <c r="O50" s="2025"/>
      <c r="P50" s="3528" t="str">
        <f>A50</f>
        <v>估价对象XX用房的比较价格（楼面单价，元/平方米）</v>
      </c>
      <c r="Q50" s="3529"/>
      <c r="R50" s="3530">
        <f>ROUND(IF(D49="简单平均",AVERAGE(R49:W49),R49*F49+T49*H49+V49*J49),0)</f>
        <v>2058</v>
      </c>
      <c r="S50" s="3530"/>
      <c r="T50" s="3530"/>
      <c r="U50" s="3530"/>
      <c r="V50" s="3530"/>
      <c r="W50" s="3530"/>
      <c r="X50" s="1494"/>
      <c r="Y50" s="1494"/>
      <c r="Z50" s="1494"/>
      <c r="AA50" s="1494"/>
      <c r="AB50" s="1494"/>
      <c r="AC50" s="1494"/>
    </row>
    <row r="51" spans="1:29" ht="20.25">
      <c r="A51" s="3208"/>
      <c r="B51" s="3208"/>
      <c r="C51" s="3208"/>
      <c r="D51" s="3208"/>
      <c r="E51" s="3208"/>
      <c r="F51" s="3208"/>
      <c r="G51" s="3210"/>
      <c r="H51" s="3208"/>
      <c r="I51" s="3208"/>
      <c r="J51" s="3208"/>
      <c r="K51" s="3211"/>
      <c r="L51" s="2029"/>
      <c r="M51" s="2012"/>
      <c r="N51" s="2012"/>
      <c r="O51" s="2025"/>
      <c r="P51" s="2025"/>
      <c r="Q51" s="2025"/>
      <c r="R51" s="2025"/>
      <c r="S51" s="2025"/>
      <c r="T51" s="2025"/>
      <c r="U51" s="2025"/>
      <c r="V51" s="2025"/>
      <c r="W51" s="2025"/>
      <c r="X51" s="2025"/>
      <c r="Y51" s="2025"/>
      <c r="Z51" s="2025"/>
      <c r="AA51" s="2025"/>
      <c r="AB51" s="2025"/>
      <c r="AC51" s="2025"/>
    </row>
    <row r="52" spans="1:29" ht="20.25">
      <c r="A52" s="3208"/>
      <c r="B52" s="3208"/>
      <c r="C52" s="3208"/>
      <c r="D52" s="3208"/>
      <c r="E52" s="3208"/>
      <c r="F52" s="3208"/>
      <c r="G52" s="3208"/>
      <c r="H52" s="3208"/>
      <c r="I52" s="3208"/>
      <c r="J52" s="3208"/>
      <c r="K52" s="3211"/>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8"/>
      <c r="B53" s="3208"/>
      <c r="C53" s="615" t="s">
        <v>550</v>
      </c>
      <c r="D53" s="616"/>
      <c r="E53" s="617">
        <f>IF(E48&lt;E49,E49/E48-1,E48/E49-1)</f>
        <v>0.26514285714285712</v>
      </c>
      <c r="F53" s="618" t="str">
        <f>IF(OR(E53&gt;=0.3,E53&lt;=-0.3),"超过30%","")</f>
        <v/>
      </c>
      <c r="G53" s="617">
        <f>IF(G48&lt;G49,G49/G48-1,G48/G49-1)</f>
        <v>0.25256797583081569</v>
      </c>
      <c r="H53" s="618" t="str">
        <f>IF(OR(G53&gt;=0.3,G53&lt;=-0.3),"超过30%","")</f>
        <v/>
      </c>
      <c r="I53" s="617">
        <f>IF(I48&lt;I49,I49/I48-1,I48/I49-1)</f>
        <v>0.24620462046204628</v>
      </c>
      <c r="J53" s="618" t="str">
        <f>IF(OR(I53&gt;=0.3,I53&lt;=-0.3),"超过30%","")</f>
        <v/>
      </c>
      <c r="K53" s="3211"/>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8"/>
      <c r="B54" s="3208"/>
      <c r="C54" s="615" t="s">
        <v>551</v>
      </c>
      <c r="D54" s="619"/>
      <c r="E54" s="617">
        <f>IF(E49&lt;G49,G49/E49-1,E49/G49-1)</f>
        <v>6.8017366136034818E-2</v>
      </c>
      <c r="F54" s="618" t="str">
        <f>IF(OR(E54&gt;=0.2,E54&lt;=-0.2),"超过20%","")</f>
        <v/>
      </c>
      <c r="G54" s="617">
        <f>IF(G49&lt;I49,I49/G49-1,G49/I49-1)</f>
        <v>9.7987288135593209E-2</v>
      </c>
      <c r="H54" s="618" t="str">
        <f>IF(OR(G54&gt;=0.2,G54&lt;=-0.2),"超过20%","")</f>
        <v/>
      </c>
      <c r="I54" s="617">
        <f>IF(I49&lt;E49,E49/I49-1,I49/E49-1)</f>
        <v>0.17266949152542366</v>
      </c>
      <c r="J54" s="618" t="str">
        <f>IF(OR(I54&gt;=0.2,I54&lt;=-0.2),"超过20%","")</f>
        <v/>
      </c>
      <c r="K54" s="3211"/>
      <c r="L54" s="2029"/>
      <c r="M54" s="2012"/>
      <c r="N54" s="2012"/>
      <c r="O54" s="2025"/>
      <c r="P54" s="2025"/>
      <c r="Q54" s="2025"/>
      <c r="R54" s="2025"/>
      <c r="S54" s="2025"/>
      <c r="T54" s="2025"/>
      <c r="U54" s="2025"/>
      <c r="V54" s="2025"/>
      <c r="W54" s="2025"/>
      <c r="X54" s="2025"/>
      <c r="Y54" s="2025"/>
      <c r="Z54" s="2025"/>
      <c r="AA54" s="2025"/>
      <c r="AB54" s="2025"/>
      <c r="AC54" s="2025"/>
    </row>
    <row r="55" spans="1:29" s="1297" customFormat="1" ht="13.5" customHeight="1">
      <c r="A55" s="3209"/>
      <c r="B55" s="3209"/>
      <c r="C55" s="615" t="s">
        <v>552</v>
      </c>
      <c r="D55" s="619"/>
      <c r="E55" s="617">
        <f>IF(E48&lt;G48,G48/E48-1,E48/G48-1)</f>
        <v>5.7401812688821829E-2</v>
      </c>
      <c r="F55" s="618" t="str">
        <f>IF(OR(E55&gt;=0.3,E55&lt;=-0.3),"超过30%","")</f>
        <v/>
      </c>
      <c r="G55" s="617">
        <f>IF(G48&lt;I48,I48/G48-1,G48/I48-1)</f>
        <v>9.2409240924092417E-2</v>
      </c>
      <c r="H55" s="618" t="str">
        <f>IF(OR(G55&gt;=0.3,G55&lt;=-0.3),"超过30%","")</f>
        <v/>
      </c>
      <c r="I55" s="617">
        <f>IF(I48&lt;E48,E48/I48-1,I48/E48-1)</f>
        <v>0.15511551155115511</v>
      </c>
      <c r="J55" s="618" t="str">
        <f>IF(OR(I55&gt;=0.3,I55&lt;=-0.3),"超过30%","")</f>
        <v/>
      </c>
      <c r="K55" s="3212"/>
      <c r="L55" s="2032"/>
      <c r="M55" s="2012"/>
      <c r="N55" s="2012"/>
      <c r="O55" s="2026"/>
      <c r="P55" s="2026"/>
      <c r="Q55" s="2026"/>
      <c r="R55" s="2026"/>
      <c r="S55" s="2026"/>
      <c r="T55" s="2026"/>
      <c r="U55" s="2026"/>
      <c r="V55" s="2026"/>
      <c r="W55" s="2026"/>
      <c r="X55" s="2026"/>
      <c r="Y55" s="2026"/>
      <c r="Z55" s="2026"/>
      <c r="AA55" s="2026"/>
      <c r="AB55" s="2026"/>
      <c r="AC55" s="2026"/>
    </row>
    <row r="56" spans="1:29" s="1297" customFormat="1" ht="21" thickBot="1">
      <c r="A56" s="2026"/>
      <c r="B56" s="2027"/>
      <c r="C56" s="2030"/>
      <c r="D56" s="2026"/>
      <c r="E56" s="2026"/>
      <c r="F56" s="2026"/>
      <c r="G56" s="2026"/>
      <c r="H56" s="2026"/>
      <c r="I56" s="2026"/>
      <c r="J56" s="2026"/>
      <c r="K56" s="3212"/>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553</v>
      </c>
      <c r="B57" s="621" t="s">
        <v>554</v>
      </c>
      <c r="C57" s="1495" t="s">
        <v>1714</v>
      </c>
      <c r="D57" s="2105" t="s">
        <v>2280</v>
      </c>
      <c r="E57" s="622" t="s">
        <v>555</v>
      </c>
      <c r="F57" s="623" t="s">
        <v>556</v>
      </c>
      <c r="G57" s="3490" t="s">
        <v>2268</v>
      </c>
      <c r="H57" s="3491"/>
      <c r="I57" s="1491" t="s">
        <v>1712</v>
      </c>
      <c r="J57" s="1491" t="str">
        <f>项目基本情况!F41</f>
        <v>四川省内江市</v>
      </c>
      <c r="K57" s="2033" t="s">
        <v>1713</v>
      </c>
      <c r="L57" s="2029"/>
      <c r="M57" s="2025"/>
      <c r="N57" s="2025"/>
      <c r="O57" s="2025"/>
      <c r="P57" s="2025"/>
      <c r="Q57" s="2025"/>
      <c r="R57" s="2025"/>
      <c r="S57" s="2025"/>
      <c r="T57" s="2025"/>
      <c r="U57" s="2025"/>
      <c r="V57" s="2025"/>
      <c r="W57" s="2025"/>
      <c r="X57" s="2025"/>
      <c r="Y57" s="2025"/>
      <c r="Z57" s="2025"/>
      <c r="AA57" s="2025"/>
      <c r="AB57" s="2025"/>
      <c r="AC57" s="2025"/>
    </row>
    <row r="58" spans="1:29" s="1298" customFormat="1" ht="12.75">
      <c r="A58" s="624" t="s">
        <v>557</v>
      </c>
      <c r="B58" s="625">
        <f>C50</f>
        <v>2058</v>
      </c>
      <c r="C58" s="626">
        <v>1</v>
      </c>
      <c r="D58" s="2106">
        <v>1</v>
      </c>
      <c r="E58" s="626">
        <f>'数据-汇总表'!E8+'数据-汇总表'!E9</f>
        <v>129253.17999999998</v>
      </c>
      <c r="F58" s="627">
        <f t="shared" ref="F58:F67" si="15">ROUND(B58*E58/10000,0)</f>
        <v>26600</v>
      </c>
      <c r="G58" s="3492"/>
      <c r="H58" s="3493"/>
      <c r="I58" s="1492">
        <v>1</v>
      </c>
      <c r="J58" s="1492">
        <v>1</v>
      </c>
      <c r="K58" s="3213"/>
      <c r="L58" s="2034"/>
      <c r="M58" s="2034"/>
      <c r="N58" s="2034"/>
      <c r="O58" s="2034"/>
      <c r="P58" s="2034"/>
      <c r="Q58" s="2034"/>
      <c r="R58" s="2034"/>
      <c r="S58" s="2034"/>
      <c r="T58" s="2034"/>
      <c r="U58" s="2034"/>
      <c r="V58" s="2034"/>
      <c r="W58" s="2034"/>
      <c r="X58" s="2034"/>
      <c r="Y58" s="2034"/>
      <c r="Z58" s="2034"/>
      <c r="AA58" s="2034"/>
      <c r="AB58" s="2034"/>
      <c r="AC58" s="2034"/>
    </row>
    <row r="59" spans="1:29" s="1298" customFormat="1" ht="12.75">
      <c r="A59" s="628" t="s">
        <v>558</v>
      </c>
      <c r="B59" s="629">
        <f>ROUND($C$50*C59*D59,0)</f>
        <v>0</v>
      </c>
      <c r="C59" s="371">
        <f t="shared" ref="C59:C67" si="16">IF($C$57="北京市系数",I59,J59)</f>
        <v>0</v>
      </c>
      <c r="D59" s="2107">
        <v>0.25</v>
      </c>
      <c r="E59" s="630">
        <v>0</v>
      </c>
      <c r="F59" s="627">
        <f t="shared" si="15"/>
        <v>0</v>
      </c>
      <c r="G59" s="3494" t="s">
        <v>2269</v>
      </c>
      <c r="H59" s="1860">
        <f>项目基本情况!B43</f>
        <v>0</v>
      </c>
      <c r="I59" s="1492">
        <f>SUMIF(修正!$A$45:$A$56,H59,修正!B45:B56)</f>
        <v>0</v>
      </c>
      <c r="J59" s="1493"/>
      <c r="K59" s="3213"/>
      <c r="L59" s="2034"/>
      <c r="M59" s="2034"/>
      <c r="N59" s="2034"/>
      <c r="O59" s="2034"/>
      <c r="P59" s="2034"/>
      <c r="Q59" s="2034"/>
      <c r="R59" s="2034"/>
      <c r="S59" s="2034"/>
      <c r="T59" s="2034"/>
      <c r="U59" s="2034"/>
      <c r="V59" s="2034"/>
      <c r="W59" s="2034"/>
      <c r="X59" s="2034"/>
      <c r="Y59" s="2034"/>
      <c r="Z59" s="2034"/>
      <c r="AA59" s="2034"/>
      <c r="AB59" s="2034"/>
      <c r="AC59" s="2034"/>
    </row>
    <row r="60" spans="1:29" s="1298" customFormat="1" ht="12.75">
      <c r="A60" s="628" t="s">
        <v>559</v>
      </c>
      <c r="B60" s="629">
        <f t="shared" ref="B60:B67" si="17">ROUND($C$50*C60*D60,0)</f>
        <v>0</v>
      </c>
      <c r="C60" s="371">
        <f t="shared" si="16"/>
        <v>0</v>
      </c>
      <c r="D60" s="2107">
        <v>0.25</v>
      </c>
      <c r="E60" s="630">
        <v>0</v>
      </c>
      <c r="F60" s="627">
        <f t="shared" si="15"/>
        <v>0</v>
      </c>
      <c r="G60" s="3494"/>
      <c r="H60" s="1860">
        <f>项目基本情况!B43</f>
        <v>0</v>
      </c>
      <c r="I60" s="1492">
        <f>SUMIF(修正!$A$45:$A$56,H60,修正!C45:C56)</f>
        <v>0</v>
      </c>
      <c r="J60" s="1493"/>
      <c r="K60" s="3213"/>
      <c r="L60" s="2034"/>
      <c r="M60" s="2034"/>
      <c r="N60" s="2034"/>
      <c r="O60" s="2034"/>
      <c r="P60" s="2034"/>
      <c r="Q60" s="2034"/>
      <c r="R60" s="2034"/>
      <c r="S60" s="2034"/>
      <c r="T60" s="2034"/>
      <c r="U60" s="2034"/>
      <c r="V60" s="2034"/>
      <c r="W60" s="2034"/>
      <c r="X60" s="2034"/>
      <c r="Y60" s="2034"/>
      <c r="Z60" s="2034"/>
      <c r="AA60" s="2034"/>
      <c r="AB60" s="2034"/>
      <c r="AC60" s="2034"/>
    </row>
    <row r="61" spans="1:29" s="1298" customFormat="1" ht="12.75">
      <c r="A61" s="628" t="s">
        <v>560</v>
      </c>
      <c r="B61" s="629">
        <f t="shared" si="17"/>
        <v>0</v>
      </c>
      <c r="C61" s="371">
        <f t="shared" si="16"/>
        <v>0</v>
      </c>
      <c r="D61" s="2107">
        <v>0.25</v>
      </c>
      <c r="E61" s="630">
        <v>0</v>
      </c>
      <c r="F61" s="627">
        <f t="shared" si="15"/>
        <v>0</v>
      </c>
      <c r="G61" s="3494"/>
      <c r="H61" s="1860">
        <f>项目基本情况!B43</f>
        <v>0</v>
      </c>
      <c r="I61" s="1492">
        <f>SUMIF(修正!$A$45:$A$56,H61,修正!D45:D56)</f>
        <v>0</v>
      </c>
      <c r="J61" s="1493"/>
      <c r="K61" s="3213"/>
      <c r="L61" s="2034"/>
      <c r="M61" s="2034"/>
      <c r="N61" s="2034"/>
      <c r="O61" s="2034"/>
      <c r="P61" s="2034"/>
      <c r="Q61" s="2034"/>
      <c r="R61" s="2034"/>
      <c r="S61" s="2034"/>
      <c r="T61" s="2034"/>
      <c r="U61" s="2034"/>
      <c r="V61" s="2034"/>
      <c r="W61" s="2034"/>
      <c r="X61" s="2034"/>
      <c r="Y61" s="2034"/>
      <c r="Z61" s="2034"/>
      <c r="AA61" s="2034"/>
      <c r="AB61" s="2034"/>
      <c r="AC61" s="2034"/>
    </row>
    <row r="62" spans="1:29" s="1298" customFormat="1" ht="12.75">
      <c r="A62" s="628" t="s">
        <v>561</v>
      </c>
      <c r="B62" s="629">
        <f t="shared" si="17"/>
        <v>0</v>
      </c>
      <c r="C62" s="371">
        <f t="shared" si="16"/>
        <v>0</v>
      </c>
      <c r="D62" s="2107">
        <v>0.25</v>
      </c>
      <c r="E62" s="630">
        <v>0</v>
      </c>
      <c r="F62" s="627">
        <f t="shared" si="15"/>
        <v>0</v>
      </c>
      <c r="G62" s="3494"/>
      <c r="H62" s="1860">
        <f>项目基本情况!B43</f>
        <v>0</v>
      </c>
      <c r="I62" s="1492">
        <f>SUMIF(修正!$A$45:$A$56,H62,修正!E45:E56)</f>
        <v>0</v>
      </c>
      <c r="J62" s="1493"/>
      <c r="K62" s="3213"/>
      <c r="L62" s="2034"/>
      <c r="M62" s="2034"/>
      <c r="N62" s="2034"/>
      <c r="O62" s="2034"/>
      <c r="P62" s="2034"/>
      <c r="Q62" s="2034"/>
      <c r="R62" s="2034"/>
      <c r="S62" s="2034"/>
      <c r="T62" s="2034"/>
      <c r="U62" s="2034"/>
      <c r="V62" s="2034"/>
      <c r="W62" s="2034"/>
      <c r="X62" s="2034"/>
      <c r="Y62" s="2034"/>
      <c r="Z62" s="2034"/>
      <c r="AA62" s="2034"/>
      <c r="AB62" s="2034"/>
      <c r="AC62" s="2034"/>
    </row>
    <row r="63" spans="1:29" s="1298" customFormat="1" ht="12.75">
      <c r="A63" s="2209" t="s">
        <v>2315</v>
      </c>
      <c r="B63" s="629">
        <f t="shared" si="17"/>
        <v>0</v>
      </c>
      <c r="C63" s="371">
        <f t="shared" si="16"/>
        <v>0</v>
      </c>
      <c r="D63" s="2107">
        <v>0.25</v>
      </c>
      <c r="E63" s="632">
        <f>'数据-汇总表'!E11</f>
        <v>203.63</v>
      </c>
      <c r="F63" s="627">
        <f t="shared" si="15"/>
        <v>0</v>
      </c>
      <c r="G63" s="1857" t="s">
        <v>2270</v>
      </c>
      <c r="H63" s="1860">
        <f>项目基本情况!C43</f>
        <v>0</v>
      </c>
      <c r="I63" s="1492">
        <f>SUMIF(修正!$A$45:$A$56,H63,修正!F45:F56)</f>
        <v>0</v>
      </c>
      <c r="J63" s="1493"/>
      <c r="K63" s="3213"/>
      <c r="L63" s="2034"/>
      <c r="M63" s="2034"/>
      <c r="N63" s="2034"/>
      <c r="O63" s="2034"/>
      <c r="P63" s="2034"/>
      <c r="Q63" s="2034"/>
      <c r="R63" s="2034"/>
      <c r="S63" s="2034"/>
      <c r="T63" s="2034"/>
      <c r="U63" s="2034"/>
      <c r="V63" s="2034"/>
      <c r="W63" s="2034"/>
      <c r="X63" s="2034"/>
      <c r="Y63" s="2034"/>
      <c r="Z63" s="2034"/>
      <c r="AA63" s="2034"/>
      <c r="AB63" s="2034"/>
      <c r="AC63" s="2034"/>
    </row>
    <row r="64" spans="1:29" s="1298" customFormat="1" ht="12.75">
      <c r="A64" s="628" t="s">
        <v>562</v>
      </c>
      <c r="B64" s="629">
        <f t="shared" si="17"/>
        <v>0</v>
      </c>
      <c r="C64" s="371">
        <f t="shared" si="16"/>
        <v>0</v>
      </c>
      <c r="D64" s="2107">
        <v>0.25</v>
      </c>
      <c r="E64" s="632">
        <f>'数据-汇总表'!E12</f>
        <v>0</v>
      </c>
      <c r="F64" s="627">
        <f t="shared" si="15"/>
        <v>0</v>
      </c>
      <c r="G64" s="1858" t="s">
        <v>1667</v>
      </c>
      <c r="H64" s="1856">
        <f>IF(G64="商业",项目基本情况!B43,IF(G64="办公",项目基本情况!C43,IF(G64="住宅",项目基本情况!D43,项目基本情况!E43)))</f>
        <v>0</v>
      </c>
      <c r="I64" s="1492">
        <f>SUMIF(修正!$A$45:$A$56,H64,修正!G45:G56)</f>
        <v>0</v>
      </c>
      <c r="J64" s="1493"/>
      <c r="K64" s="3213"/>
      <c r="L64" s="2034"/>
      <c r="M64" s="2034"/>
      <c r="N64" s="2034"/>
      <c r="O64" s="2034"/>
      <c r="P64" s="2034"/>
      <c r="Q64" s="2034"/>
      <c r="R64" s="2034"/>
      <c r="S64" s="2034"/>
      <c r="T64" s="2034"/>
      <c r="U64" s="2034"/>
      <c r="V64" s="2034"/>
      <c r="W64" s="2034"/>
      <c r="X64" s="2034"/>
      <c r="Y64" s="2034"/>
      <c r="Z64" s="2034"/>
      <c r="AA64" s="2034"/>
      <c r="AB64" s="2034"/>
      <c r="AC64" s="2034"/>
    </row>
    <row r="65" spans="1:29" s="1298" customFormat="1" ht="12.75">
      <c r="A65" s="628" t="s">
        <v>563</v>
      </c>
      <c r="B65" s="629">
        <f t="shared" si="17"/>
        <v>0</v>
      </c>
      <c r="C65" s="371">
        <f t="shared" si="16"/>
        <v>0</v>
      </c>
      <c r="D65" s="2107">
        <v>0.25</v>
      </c>
      <c r="E65" s="632">
        <f>'数据-汇总表'!E13</f>
        <v>38058.699999999997</v>
      </c>
      <c r="F65" s="627">
        <f t="shared" si="15"/>
        <v>0</v>
      </c>
      <c r="G65" s="1858" t="s">
        <v>913</v>
      </c>
      <c r="H65" s="1856">
        <f>IF(G65="商业",项目基本情况!B43,IF(G65="办公",项目基本情况!C43,IF(G65="住宅",项目基本情况!D43,项目基本情况!E43)))</f>
        <v>0</v>
      </c>
      <c r="I65" s="1492">
        <f>SUMIF(修正!$A$45:$A$56,H65,修正!H45:H56)</f>
        <v>0</v>
      </c>
      <c r="J65" s="1493"/>
      <c r="K65" s="3213"/>
      <c r="L65" s="2034"/>
      <c r="M65" s="2034"/>
      <c r="N65" s="2034"/>
      <c r="O65" s="2034"/>
      <c r="P65" s="2034"/>
      <c r="Q65" s="2034"/>
      <c r="R65" s="2034"/>
      <c r="S65" s="2034"/>
      <c r="T65" s="2034"/>
      <c r="U65" s="2034"/>
      <c r="V65" s="2034"/>
      <c r="W65" s="2034"/>
      <c r="X65" s="2034"/>
      <c r="Y65" s="2034"/>
      <c r="Z65" s="2034"/>
      <c r="AA65" s="2034"/>
      <c r="AB65" s="2034"/>
      <c r="AC65" s="2034"/>
    </row>
    <row r="66" spans="1:29" s="1298" customFormat="1" ht="12.75">
      <c r="A66" s="628" t="s">
        <v>564</v>
      </c>
      <c r="B66" s="629">
        <f t="shared" si="17"/>
        <v>0</v>
      </c>
      <c r="C66" s="371">
        <f t="shared" si="16"/>
        <v>0</v>
      </c>
      <c r="D66" s="2107">
        <v>0.25</v>
      </c>
      <c r="E66" s="632">
        <f>'数据-汇总表'!E14</f>
        <v>0</v>
      </c>
      <c r="F66" s="627">
        <f t="shared" si="15"/>
        <v>0</v>
      </c>
      <c r="G66" s="1857" t="s">
        <v>2269</v>
      </c>
      <c r="H66" s="1860">
        <f>项目基本情况!B43</f>
        <v>0</v>
      </c>
      <c r="I66" s="1492">
        <f>SUMIF(修正!$A$45:$A$56,H66,修正!H45:H56)</f>
        <v>0</v>
      </c>
      <c r="J66" s="1493"/>
      <c r="K66" s="3213"/>
      <c r="L66" s="2034"/>
      <c r="M66" s="2034"/>
      <c r="N66" s="2034"/>
      <c r="O66" s="2034"/>
      <c r="P66" s="2034"/>
      <c r="Q66" s="2034"/>
      <c r="R66" s="2034"/>
      <c r="S66" s="2034"/>
      <c r="T66" s="2034"/>
      <c r="U66" s="2034"/>
      <c r="V66" s="2034"/>
      <c r="W66" s="2034"/>
      <c r="X66" s="2034"/>
      <c r="Y66" s="2034"/>
      <c r="Z66" s="2034"/>
      <c r="AA66" s="2034"/>
      <c r="AB66" s="2034"/>
      <c r="AC66" s="2034"/>
    </row>
    <row r="67" spans="1:29" s="1298" customFormat="1" ht="13.5" thickBot="1">
      <c r="A67" s="628" t="s">
        <v>565</v>
      </c>
      <c r="B67" s="629">
        <f t="shared" si="17"/>
        <v>0</v>
      </c>
      <c r="C67" s="371">
        <f t="shared" si="16"/>
        <v>0</v>
      </c>
      <c r="D67" s="2107">
        <v>0.25</v>
      </c>
      <c r="E67" s="632">
        <f>'数据-汇总表'!E15</f>
        <v>0</v>
      </c>
      <c r="F67" s="627">
        <f t="shared" si="15"/>
        <v>0</v>
      </c>
      <c r="G67" s="1859" t="s">
        <v>2270</v>
      </c>
      <c r="H67" s="1861">
        <f>项目基本情况!C43</f>
        <v>0</v>
      </c>
      <c r="I67" s="1492">
        <f>SUMIF(修正!$A$45:$A$56,H67,修正!H45:H56)</f>
        <v>0</v>
      </c>
      <c r="J67" s="1493"/>
      <c r="K67" s="3213"/>
      <c r="L67" s="2034"/>
      <c r="M67" s="2034"/>
      <c r="N67" s="2034"/>
      <c r="O67" s="2034"/>
      <c r="P67" s="2034"/>
      <c r="Q67" s="2034"/>
      <c r="R67" s="2034"/>
      <c r="S67" s="2034"/>
      <c r="T67" s="2034"/>
      <c r="U67" s="2034"/>
      <c r="V67" s="2034"/>
      <c r="W67" s="2034"/>
      <c r="X67" s="2034"/>
      <c r="Y67" s="2034"/>
      <c r="Z67" s="2034"/>
      <c r="AA67" s="2034"/>
      <c r="AB67" s="2034"/>
      <c r="AC67" s="2034"/>
    </row>
    <row r="68" spans="1:29" s="1298" customFormat="1" ht="13.5" thickBot="1">
      <c r="A68" s="633" t="s">
        <v>566</v>
      </c>
      <c r="B68" s="634" t="s">
        <v>17</v>
      </c>
      <c r="C68" s="634" t="s">
        <v>18</v>
      </c>
      <c r="D68" s="634" t="s">
        <v>2281</v>
      </c>
      <c r="E68" s="634">
        <f>IF(B48="楼面地价",SUM(E58:E67),'数据-汇总表'!D3)</f>
        <v>167515.50999999998</v>
      </c>
      <c r="F68" s="635">
        <f>IF(B48="楼面地价",SUM(F58:F67),ROUND(C50*E68/10000,0))</f>
        <v>26600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2021-2-1</v>
      </c>
      <c r="D70" s="2514">
        <f>EDATE(C70,-3)</f>
        <v>44136</v>
      </c>
      <c r="E70" s="2514">
        <f t="shared" ref="E70:N70" si="18">EDATE(D70,-3)</f>
        <v>44044</v>
      </c>
      <c r="F70" s="2514">
        <f t="shared" si="18"/>
        <v>43952</v>
      </c>
      <c r="G70" s="2514">
        <f t="shared" si="18"/>
        <v>43862</v>
      </c>
      <c r="H70" s="2514">
        <f t="shared" si="18"/>
        <v>43770</v>
      </c>
      <c r="I70" s="2514">
        <f t="shared" si="18"/>
        <v>43678</v>
      </c>
      <c r="J70" s="2514">
        <f t="shared" si="18"/>
        <v>43586</v>
      </c>
      <c r="K70" s="2514">
        <f t="shared" si="18"/>
        <v>43497</v>
      </c>
      <c r="L70" s="2514">
        <f t="shared" si="18"/>
        <v>43405</v>
      </c>
      <c r="M70" s="2514">
        <f t="shared" si="18"/>
        <v>43313</v>
      </c>
      <c r="N70" s="2514">
        <f t="shared" si="18"/>
        <v>43221</v>
      </c>
      <c r="O70" s="2025"/>
      <c r="P70" s="2025"/>
      <c r="Q70" s="2025"/>
      <c r="R70" s="2025"/>
      <c r="S70" s="2025"/>
      <c r="T70" s="2025"/>
      <c r="U70" s="2025"/>
      <c r="V70" s="2025"/>
      <c r="W70" s="2025"/>
      <c r="X70" s="2025"/>
      <c r="Y70" s="2025"/>
      <c r="Z70" s="2025"/>
      <c r="AA70" s="2025"/>
      <c r="AB70" s="2025"/>
      <c r="AC70" s="2025"/>
    </row>
    <row r="71" spans="1:29" ht="21.75" thickBot="1">
      <c r="A71" s="1516" t="s">
        <v>567</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9" customFormat="1" ht="15">
      <c r="A72" s="2419" t="s">
        <v>2513</v>
      </c>
      <c r="B72" s="2420"/>
      <c r="C72" s="2511" t="str">
        <f>YEAR(C70)&amp;"-"&amp;ROUNDUP(MONTH(C70)/3,0)</f>
        <v>2021-1</v>
      </c>
      <c r="D72" s="2516" t="str">
        <f>YEAR(D70)&amp;"-"&amp;ROUNDUP(MONTH(D70)/3,0)</f>
        <v>2020-4</v>
      </c>
      <c r="E72" s="2516" t="str">
        <f t="shared" ref="E72:N72" si="19">YEAR(E70)&amp;"-"&amp;ROUNDUP(MONTH(E70)/3,0)</f>
        <v>2020-3</v>
      </c>
      <c r="F72" s="2516" t="str">
        <f t="shared" si="19"/>
        <v>2020-2</v>
      </c>
      <c r="G72" s="2516" t="str">
        <f t="shared" si="19"/>
        <v>2020-1</v>
      </c>
      <c r="H72" s="2516" t="str">
        <f t="shared" si="19"/>
        <v>2019-4</v>
      </c>
      <c r="I72" s="2516" t="str">
        <f t="shared" si="19"/>
        <v>2019-3</v>
      </c>
      <c r="J72" s="2516" t="str">
        <f t="shared" si="19"/>
        <v>2019-2</v>
      </c>
      <c r="K72" s="2516" t="str">
        <f t="shared" si="19"/>
        <v>2019-1</v>
      </c>
      <c r="L72" s="2516" t="str">
        <f t="shared" si="19"/>
        <v>2018-4</v>
      </c>
      <c r="M72" s="2516" t="str">
        <f t="shared" si="19"/>
        <v>2018-3</v>
      </c>
      <c r="N72" s="2516" t="str">
        <f t="shared" si="19"/>
        <v>2018-2</v>
      </c>
      <c r="O72" s="2038"/>
      <c r="P72" s="2039"/>
      <c r="Q72" s="2040"/>
      <c r="R72" s="2040"/>
      <c r="S72" s="2040"/>
      <c r="T72" s="2040"/>
      <c r="U72" s="2040"/>
      <c r="V72" s="2040"/>
      <c r="W72" s="2040"/>
      <c r="X72" s="2040"/>
      <c r="Y72" s="2040"/>
      <c r="Z72" s="2040"/>
      <c r="AA72" s="2040"/>
      <c r="AB72" s="2040"/>
      <c r="AC72" s="2040"/>
    </row>
    <row r="73" spans="1:29" s="1202" customFormat="1" ht="27" customHeight="1">
      <c r="A73" s="2521" t="s">
        <v>2627</v>
      </c>
      <c r="B73" s="472" t="str">
        <f>"北京市平均增长率"&amp;TEXT(SUMIF(基准地价!N21:N25,A73,基准地价!P21:P25),"0.00%")</f>
        <v>北京市平均增长率0.00%</v>
      </c>
      <c r="C73" s="882">
        <v>100</v>
      </c>
      <c r="D73" s="3304">
        <f>C73-$C$74</f>
        <v>99.5</v>
      </c>
      <c r="E73" s="3304">
        <f t="shared" ref="E73:N73" si="20">D73-$C$74</f>
        <v>99</v>
      </c>
      <c r="F73" s="3304">
        <f t="shared" si="20"/>
        <v>98.5</v>
      </c>
      <c r="G73" s="3304">
        <f t="shared" si="20"/>
        <v>98</v>
      </c>
      <c r="H73" s="3304">
        <f t="shared" si="20"/>
        <v>97.5</v>
      </c>
      <c r="I73" s="3304">
        <f t="shared" si="20"/>
        <v>97</v>
      </c>
      <c r="J73" s="3304">
        <f t="shared" si="20"/>
        <v>96.5</v>
      </c>
      <c r="K73" s="3304">
        <f t="shared" si="20"/>
        <v>96</v>
      </c>
      <c r="L73" s="3304">
        <f t="shared" si="20"/>
        <v>95.5</v>
      </c>
      <c r="M73" s="3304">
        <f t="shared" si="20"/>
        <v>95</v>
      </c>
      <c r="N73" s="3304">
        <f t="shared" si="20"/>
        <v>94.5</v>
      </c>
      <c r="O73" s="2041"/>
      <c r="P73" s="2037"/>
      <c r="Q73" s="1903"/>
      <c r="R73" s="1903"/>
      <c r="S73" s="1903"/>
      <c r="T73" s="1903"/>
      <c r="U73" s="1903"/>
      <c r="V73" s="1903"/>
      <c r="W73" s="1903"/>
      <c r="X73" s="1903"/>
      <c r="Y73" s="1903"/>
      <c r="Z73" s="1903"/>
      <c r="AA73" s="1903"/>
      <c r="AB73" s="1903"/>
      <c r="AC73" s="1903"/>
    </row>
    <row r="74" spans="1:29" s="1202" customFormat="1" ht="15" customHeight="1" thickBot="1">
      <c r="A74" s="2512" t="s">
        <v>2626</v>
      </c>
      <c r="B74" s="2520"/>
      <c r="C74" s="3303">
        <v>0.5</v>
      </c>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2" customFormat="1" ht="15">
      <c r="A75" s="650" t="s">
        <v>524</v>
      </c>
      <c r="B75" s="639"/>
      <c r="C75" s="651" t="s">
        <v>569</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2"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570</v>
      </c>
      <c r="B77" s="656" t="s">
        <v>527</v>
      </c>
      <c r="C77" s="3300" t="s">
        <v>3511</v>
      </c>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v>100</v>
      </c>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530</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531</v>
      </c>
      <c r="C81" s="673" t="str">
        <f>C82&amp;"（含）"&amp;"-"&amp;D82</f>
        <v>0（含）-1</v>
      </c>
      <c r="D81" s="673" t="str">
        <f t="shared" ref="D81:L81" si="21">D82&amp;"（含）"&amp;"-"&amp;E82</f>
        <v>1（含）-2</v>
      </c>
      <c r="E81" s="673" t="str">
        <f t="shared" si="21"/>
        <v>2（含）-3</v>
      </c>
      <c r="F81" s="673" t="str">
        <f t="shared" si="21"/>
        <v>3（含）-4</v>
      </c>
      <c r="G81" s="673" t="str">
        <f t="shared" si="21"/>
        <v>4（含）-</v>
      </c>
      <c r="H81" s="673" t="str">
        <f t="shared" si="21"/>
        <v>（含）-</v>
      </c>
      <c r="I81" s="673" t="str">
        <f t="shared" si="21"/>
        <v>（含）-</v>
      </c>
      <c r="J81" s="673" t="str">
        <f t="shared" si="21"/>
        <v>（含）-</v>
      </c>
      <c r="K81" s="673" t="str">
        <f t="shared" si="21"/>
        <v>（含）-</v>
      </c>
      <c r="L81" s="673" t="str">
        <f t="shared" si="21"/>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v>0</v>
      </c>
      <c r="D82" s="534">
        <v>1</v>
      </c>
      <c r="E82" s="534">
        <v>2</v>
      </c>
      <c r="F82" s="534">
        <v>3</v>
      </c>
      <c r="G82" s="534">
        <v>4</v>
      </c>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90</v>
      </c>
      <c r="E83" s="670">
        <f t="shared" ref="E83:M83" si="22">IF($B$48="单位面积地价",D83+$K13,D83-$K13)</f>
        <v>80</v>
      </c>
      <c r="F83" s="670">
        <f t="shared" si="22"/>
        <v>70</v>
      </c>
      <c r="G83" s="670">
        <f t="shared" si="22"/>
        <v>60</v>
      </c>
      <c r="H83" s="670">
        <f t="shared" si="22"/>
        <v>50</v>
      </c>
      <c r="I83" s="670">
        <f t="shared" si="22"/>
        <v>40</v>
      </c>
      <c r="J83" s="670">
        <f t="shared" si="22"/>
        <v>30</v>
      </c>
      <c r="K83" s="670">
        <f t="shared" si="22"/>
        <v>20</v>
      </c>
      <c r="L83" s="670">
        <f t="shared" si="22"/>
        <v>10</v>
      </c>
      <c r="M83" s="670">
        <f t="shared" si="22"/>
        <v>0</v>
      </c>
      <c r="N83" s="2045"/>
      <c r="O83" s="2045"/>
      <c r="P83" s="2044"/>
      <c r="Q83" s="2037"/>
      <c r="R83" s="2025"/>
      <c r="S83" s="2025"/>
      <c r="T83" s="2025"/>
      <c r="U83" s="2025"/>
      <c r="V83" s="2025"/>
      <c r="W83" s="2025"/>
      <c r="X83" s="2025"/>
      <c r="Y83" s="2025"/>
      <c r="Z83" s="2025"/>
      <c r="AA83" s="2025"/>
      <c r="AB83" s="2025"/>
      <c r="AC83" s="2025"/>
    </row>
    <row r="84" spans="1:29" s="1292" customFormat="1" ht="15.75" thickTop="1">
      <c r="A84" s="678"/>
      <c r="B84" s="664" t="str">
        <f>B14</f>
        <v>配建</v>
      </c>
      <c r="C84" s="679"/>
      <c r="D84" s="1325"/>
      <c r="E84" s="1326"/>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2"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2" customFormat="1" ht="15.75" thickTop="1">
      <c r="A86" s="678"/>
      <c r="B86" s="664">
        <f>B15</f>
        <v>111</v>
      </c>
      <c r="C86" s="679"/>
      <c r="D86" s="679"/>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2" customFormat="1" ht="15.75" thickBot="1">
      <c r="A87" s="678"/>
      <c r="B87" s="669"/>
      <c r="C87" s="683"/>
      <c r="D87" s="683"/>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2"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2"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532</v>
      </c>
      <c r="B90" s="656" t="s">
        <v>571</v>
      </c>
      <c r="C90" s="694" t="s">
        <v>572</v>
      </c>
      <c r="D90" s="694" t="s">
        <v>573</v>
      </c>
      <c r="E90" s="694" t="s">
        <v>574</v>
      </c>
      <c r="F90" s="694" t="s">
        <v>575</v>
      </c>
      <c r="G90" s="694" t="s">
        <v>576</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92</v>
      </c>
      <c r="E91" s="670">
        <f>D91-$K17</f>
        <v>84</v>
      </c>
      <c r="F91" s="670">
        <f>E91-$K17</f>
        <v>76</v>
      </c>
      <c r="G91" s="670">
        <f>F91-$K17</f>
        <v>68</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577</v>
      </c>
      <c r="C92" s="699" t="s">
        <v>572</v>
      </c>
      <c r="D92" s="699" t="s">
        <v>573</v>
      </c>
      <c r="E92" s="699" t="s">
        <v>574</v>
      </c>
      <c r="F92" s="699" t="s">
        <v>575</v>
      </c>
      <c r="G92" s="699" t="s">
        <v>576</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98</v>
      </c>
      <c r="E93" s="670">
        <f>D93-$K19</f>
        <v>96</v>
      </c>
      <c r="F93" s="670">
        <f>E93-$K19</f>
        <v>94</v>
      </c>
      <c r="G93" s="670">
        <f>F93-$K19</f>
        <v>92</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578</v>
      </c>
      <c r="C94" s="699" t="s">
        <v>572</v>
      </c>
      <c r="D94" s="699" t="s">
        <v>573</v>
      </c>
      <c r="E94" s="699" t="s">
        <v>574</v>
      </c>
      <c r="F94" s="699" t="s">
        <v>575</v>
      </c>
      <c r="G94" s="699" t="s">
        <v>576</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579</v>
      </c>
      <c r="C96" s="699" t="s">
        <v>572</v>
      </c>
      <c r="D96" s="699" t="s">
        <v>573</v>
      </c>
      <c r="E96" s="699" t="s">
        <v>574</v>
      </c>
      <c r="F96" s="699" t="s">
        <v>575</v>
      </c>
      <c r="G96" s="699" t="s">
        <v>576</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98</v>
      </c>
      <c r="E97" s="670">
        <f>D97-$K23</f>
        <v>96</v>
      </c>
      <c r="F97" s="670">
        <f>E97-$K23</f>
        <v>94</v>
      </c>
      <c r="G97" s="670">
        <f>F97-$K23</f>
        <v>92</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2" customFormat="1" ht="27.75" thickTop="1">
      <c r="A98" s="700"/>
      <c r="B98" s="664" t="s">
        <v>580</v>
      </c>
      <c r="C98" s="699" t="s">
        <v>572</v>
      </c>
      <c r="D98" s="699" t="s">
        <v>573</v>
      </c>
      <c r="E98" s="699" t="s">
        <v>574</v>
      </c>
      <c r="F98" s="699" t="s">
        <v>575</v>
      </c>
      <c r="G98" s="699" t="s">
        <v>576</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2" customFormat="1" ht="15.75" thickBot="1">
      <c r="A99" s="700"/>
      <c r="B99" s="669"/>
      <c r="C99" s="703">
        <v>100</v>
      </c>
      <c r="D99" s="670">
        <f>C99-$K25</f>
        <v>95</v>
      </c>
      <c r="E99" s="670">
        <f>D99-$K25</f>
        <v>90</v>
      </c>
      <c r="F99" s="670">
        <f>E99-$K25</f>
        <v>85</v>
      </c>
      <c r="G99" s="670">
        <f>F99-$K25</f>
        <v>80</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2" customFormat="1" ht="27.75" thickTop="1">
      <c r="A100" s="700"/>
      <c r="B100" s="664" t="s">
        <v>581</v>
      </c>
      <c r="C100" s="694" t="s">
        <v>572</v>
      </c>
      <c r="D100" s="694" t="s">
        <v>573</v>
      </c>
      <c r="E100" s="694" t="s">
        <v>574</v>
      </c>
      <c r="F100" s="694" t="s">
        <v>575</v>
      </c>
      <c r="G100" s="694" t="s">
        <v>576</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2"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2" customFormat="1" ht="15.75" thickTop="1">
      <c r="A102" s="678"/>
      <c r="B102" s="1808" t="s">
        <v>2529</v>
      </c>
      <c r="C102" s="694" t="s">
        <v>572</v>
      </c>
      <c r="D102" s="694" t="s">
        <v>573</v>
      </c>
      <c r="E102" s="694" t="s">
        <v>574</v>
      </c>
      <c r="F102" s="694" t="s">
        <v>575</v>
      </c>
      <c r="G102" s="694" t="s">
        <v>576</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2"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Top="1">
      <c r="A104" s="678"/>
      <c r="B104" s="2439" t="s">
        <v>2531</v>
      </c>
      <c r="C104" s="2440" t="s">
        <v>2532</v>
      </c>
      <c r="D104" s="2440" t="s">
        <v>2533</v>
      </c>
      <c r="E104" s="2440" t="s">
        <v>2534</v>
      </c>
      <c r="F104" s="2440" t="s">
        <v>2535</v>
      </c>
      <c r="G104" s="2440" t="s">
        <v>2536</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2" customFormat="1" ht="15.75" thickBot="1">
      <c r="A105" s="678"/>
      <c r="B105" s="672"/>
      <c r="C105" s="670">
        <v>100</v>
      </c>
      <c r="D105" s="670">
        <f>C105-$K31</f>
        <v>99</v>
      </c>
      <c r="E105" s="670">
        <f>D105-$K31</f>
        <v>98</v>
      </c>
      <c r="F105" s="670">
        <f>E105-$K31</f>
        <v>97</v>
      </c>
      <c r="G105" s="670">
        <f>F105-$K31</f>
        <v>96</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582</v>
      </c>
      <c r="D106" s="665" t="s">
        <v>583</v>
      </c>
      <c r="E106" s="665" t="s">
        <v>584</v>
      </c>
      <c r="F106" s="665" t="s">
        <v>585</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99</v>
      </c>
      <c r="E107" s="670">
        <f t="shared" ref="E107:M107" si="23">D107-$K33</f>
        <v>98</v>
      </c>
      <c r="F107" s="670">
        <f t="shared" si="23"/>
        <v>97</v>
      </c>
      <c r="G107" s="670">
        <f t="shared" si="23"/>
        <v>96</v>
      </c>
      <c r="H107" s="670">
        <f t="shared" si="23"/>
        <v>95</v>
      </c>
      <c r="I107" s="670">
        <f t="shared" si="23"/>
        <v>94</v>
      </c>
      <c r="J107" s="670">
        <f t="shared" si="23"/>
        <v>93</v>
      </c>
      <c r="K107" s="670">
        <f t="shared" si="23"/>
        <v>92</v>
      </c>
      <c r="L107" s="670">
        <f t="shared" si="23"/>
        <v>91</v>
      </c>
      <c r="M107" s="670">
        <f t="shared" si="23"/>
        <v>90</v>
      </c>
      <c r="N107" s="2045"/>
      <c r="O107" s="2045"/>
      <c r="P107" s="2044"/>
      <c r="Q107" s="2037"/>
      <c r="R107" s="2025"/>
      <c r="S107" s="2025"/>
      <c r="T107" s="2025"/>
      <c r="U107" s="2025"/>
      <c r="V107" s="2025"/>
      <c r="W107" s="2025"/>
      <c r="X107" s="2025"/>
      <c r="Y107" s="2025"/>
      <c r="Z107" s="2025"/>
      <c r="AA107" s="2025"/>
      <c r="AB107" s="2025"/>
      <c r="AC107" s="2025"/>
    </row>
    <row r="108" spans="1:29" ht="28.5" thickTop="1">
      <c r="A108" s="660"/>
      <c r="B108" s="664" t="s">
        <v>541</v>
      </c>
      <c r="C108" s="679" t="s">
        <v>3536</v>
      </c>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99</v>
      </c>
      <c r="E109" s="670">
        <f t="shared" ref="E109:M109" si="24">D109-$K34</f>
        <v>98</v>
      </c>
      <c r="F109" s="670">
        <f t="shared" si="24"/>
        <v>97</v>
      </c>
      <c r="G109" s="670">
        <f t="shared" si="24"/>
        <v>96</v>
      </c>
      <c r="H109" s="670">
        <f t="shared" si="24"/>
        <v>95</v>
      </c>
      <c r="I109" s="670">
        <f t="shared" si="24"/>
        <v>94</v>
      </c>
      <c r="J109" s="670">
        <f t="shared" si="24"/>
        <v>93</v>
      </c>
      <c r="K109" s="670">
        <f t="shared" si="24"/>
        <v>92</v>
      </c>
      <c r="L109" s="670">
        <f t="shared" si="24"/>
        <v>91</v>
      </c>
      <c r="M109" s="670">
        <f t="shared" si="24"/>
        <v>90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542</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2"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2"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ht="28.5">
      <c r="A118" s="655" t="s">
        <v>544</v>
      </c>
      <c r="B118" s="656" t="s">
        <v>586</v>
      </c>
      <c r="C118" s="695" t="str">
        <f t="shared" ref="C118:L118" si="26">C119&amp;"(含)"&amp;"-"&amp;D119</f>
        <v>0(含)-30000</v>
      </c>
      <c r="D118" s="695" t="str">
        <f t="shared" si="26"/>
        <v>30000(含)-60000</v>
      </c>
      <c r="E118" s="695" t="str">
        <f t="shared" si="26"/>
        <v>60000(含)-90000</v>
      </c>
      <c r="F118" s="695" t="str">
        <f t="shared" si="26"/>
        <v>90000(含)-120000</v>
      </c>
      <c r="G118" s="695" t="str">
        <f t="shared" si="26"/>
        <v>120000(含)-150000</v>
      </c>
      <c r="H118" s="695" t="str">
        <f t="shared" si="26"/>
        <v>150000(含)-</v>
      </c>
      <c r="I118" s="695" t="str">
        <f t="shared" si="26"/>
        <v>(含)-</v>
      </c>
      <c r="J118" s="2774" t="str">
        <f t="shared" si="26"/>
        <v>(含)-</v>
      </c>
      <c r="K118" s="2774" t="str">
        <f t="shared" si="26"/>
        <v>(含)-</v>
      </c>
      <c r="L118" s="2775" t="str">
        <f t="shared" si="26"/>
        <v>(含)-</v>
      </c>
      <c r="M118" s="2776"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v>0</v>
      </c>
      <c r="D119" s="721">
        <f>C119+30000</f>
        <v>30000</v>
      </c>
      <c r="E119" s="721">
        <f t="shared" ref="E119:H119" si="27">D119+30000</f>
        <v>60000</v>
      </c>
      <c r="F119" s="721">
        <f t="shared" si="27"/>
        <v>90000</v>
      </c>
      <c r="G119" s="721">
        <f t="shared" si="27"/>
        <v>120000</v>
      </c>
      <c r="H119" s="721">
        <f t="shared" si="27"/>
        <v>150000</v>
      </c>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v>100</v>
      </c>
      <c r="D120" s="717">
        <f>C120+1</f>
        <v>101</v>
      </c>
      <c r="E120" s="717">
        <f t="shared" ref="E120:H120" si="28">D120+1</f>
        <v>102</v>
      </c>
      <c r="F120" s="717">
        <f t="shared" si="28"/>
        <v>103</v>
      </c>
      <c r="G120" s="717">
        <f t="shared" si="28"/>
        <v>104</v>
      </c>
      <c r="H120" s="717">
        <f t="shared" si="28"/>
        <v>105</v>
      </c>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587</v>
      </c>
      <c r="C121" s="3302" t="s">
        <v>3531</v>
      </c>
      <c r="D121" s="3302" t="s">
        <v>3533</v>
      </c>
      <c r="E121" s="3302" t="s">
        <v>3534</v>
      </c>
      <c r="F121" s="3302" t="s">
        <v>3535</v>
      </c>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9">C122-$K41</f>
        <v>99</v>
      </c>
      <c r="E122" s="670">
        <f t="shared" si="29"/>
        <v>98</v>
      </c>
      <c r="F122" s="670">
        <f t="shared" si="29"/>
        <v>97</v>
      </c>
      <c r="G122" s="670">
        <f t="shared" si="29"/>
        <v>96</v>
      </c>
      <c r="H122" s="670">
        <f t="shared" si="29"/>
        <v>95</v>
      </c>
      <c r="I122" s="670">
        <f t="shared" si="29"/>
        <v>94</v>
      </c>
      <c r="J122" s="670">
        <f t="shared" si="29"/>
        <v>93</v>
      </c>
      <c r="K122" s="670">
        <f t="shared" si="29"/>
        <v>92</v>
      </c>
      <c r="L122" s="670">
        <f t="shared" si="29"/>
        <v>91</v>
      </c>
      <c r="M122" s="671">
        <f t="shared" si="29"/>
        <v>90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588</v>
      </c>
      <c r="C123" s="679" t="s">
        <v>3521</v>
      </c>
      <c r="D123" s="679" t="s">
        <v>3522</v>
      </c>
      <c r="E123" s="679" t="s">
        <v>3523</v>
      </c>
      <c r="F123" s="709" t="s">
        <v>3524</v>
      </c>
      <c r="G123" s="709" t="s">
        <v>3525</v>
      </c>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C124-$K42</f>
        <v>99</v>
      </c>
      <c r="E124" s="670">
        <f t="shared" si="30"/>
        <v>98</v>
      </c>
      <c r="F124" s="670">
        <f t="shared" si="30"/>
        <v>97</v>
      </c>
      <c r="G124" s="670">
        <f t="shared" si="30"/>
        <v>96</v>
      </c>
      <c r="H124" s="670">
        <f t="shared" si="30"/>
        <v>95</v>
      </c>
      <c r="I124" s="670">
        <f t="shared" si="30"/>
        <v>94</v>
      </c>
      <c r="J124" s="670">
        <f t="shared" si="30"/>
        <v>93</v>
      </c>
      <c r="K124" s="670">
        <f t="shared" si="30"/>
        <v>92</v>
      </c>
      <c r="L124" s="670">
        <f t="shared" si="30"/>
        <v>91</v>
      </c>
      <c r="M124" s="671">
        <f t="shared" si="30"/>
        <v>90</v>
      </c>
      <c r="N124" s="2045"/>
      <c r="O124" s="2045"/>
      <c r="P124" s="2044"/>
      <c r="Q124" s="2037"/>
      <c r="R124" s="2025"/>
      <c r="S124" s="2025"/>
      <c r="T124" s="2025"/>
      <c r="U124" s="2025"/>
      <c r="V124" s="2025"/>
      <c r="W124" s="2025"/>
      <c r="X124" s="2025"/>
      <c r="Y124" s="2025"/>
      <c r="Z124" s="2025"/>
      <c r="AA124" s="2025"/>
      <c r="AB124" s="2025"/>
      <c r="AC124" s="2025"/>
    </row>
    <row r="125" spans="1:29" s="1292" customFormat="1" ht="15" thickTop="1">
      <c r="A125" s="719"/>
      <c r="B125" s="1808" t="s">
        <v>2409</v>
      </c>
      <c r="C125" s="1325" t="s">
        <v>3526</v>
      </c>
      <c r="D125" s="1325" t="s">
        <v>3527</v>
      </c>
      <c r="E125" s="1325" t="s">
        <v>3528</v>
      </c>
      <c r="F125" s="1325" t="s">
        <v>3529</v>
      </c>
      <c r="G125" s="1325" t="s">
        <v>3530</v>
      </c>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2" customFormat="1" ht="15.75" thickBot="1">
      <c r="A126" s="678"/>
      <c r="B126" s="669"/>
      <c r="C126" s="670">
        <v>100</v>
      </c>
      <c r="D126" s="670">
        <f>C126-$K43</f>
        <v>99</v>
      </c>
      <c r="E126" s="670">
        <f t="shared" ref="E126:M126" si="31">D126-$K43</f>
        <v>98</v>
      </c>
      <c r="F126" s="670">
        <f t="shared" si="31"/>
        <v>97</v>
      </c>
      <c r="G126" s="670">
        <f t="shared" si="31"/>
        <v>96</v>
      </c>
      <c r="H126" s="670">
        <f t="shared" si="31"/>
        <v>95</v>
      </c>
      <c r="I126" s="670">
        <f t="shared" si="31"/>
        <v>94</v>
      </c>
      <c r="J126" s="670">
        <f t="shared" si="31"/>
        <v>93</v>
      </c>
      <c r="K126" s="670">
        <f t="shared" si="31"/>
        <v>92</v>
      </c>
      <c r="L126" s="670">
        <f t="shared" si="31"/>
        <v>91</v>
      </c>
      <c r="M126" s="671">
        <f t="shared" si="31"/>
        <v>90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589</v>
      </c>
      <c r="C127" s="679" t="s">
        <v>3521</v>
      </c>
      <c r="D127" s="679" t="s">
        <v>3522</v>
      </c>
      <c r="E127" s="709" t="s">
        <v>3523</v>
      </c>
      <c r="F127" s="709" t="s">
        <v>3524</v>
      </c>
      <c r="G127" s="709" t="s">
        <v>3525</v>
      </c>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32">C128-$K44</f>
        <v>99</v>
      </c>
      <c r="E128" s="670">
        <f t="shared" si="32"/>
        <v>98</v>
      </c>
      <c r="F128" s="670">
        <f t="shared" si="32"/>
        <v>97</v>
      </c>
      <c r="G128" s="670">
        <f t="shared" si="32"/>
        <v>96</v>
      </c>
      <c r="H128" s="670">
        <f t="shared" si="32"/>
        <v>95</v>
      </c>
      <c r="I128" s="670">
        <f t="shared" si="32"/>
        <v>94</v>
      </c>
      <c r="J128" s="670">
        <f t="shared" si="32"/>
        <v>93</v>
      </c>
      <c r="K128" s="670">
        <f t="shared" si="32"/>
        <v>92</v>
      </c>
      <c r="L128" s="670">
        <f t="shared" si="32"/>
        <v>91</v>
      </c>
      <c r="M128" s="671">
        <f t="shared" si="32"/>
        <v>90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2"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2"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A2:G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509</v>
      </c>
      <c r="B1" s="496"/>
      <c r="C1" s="497" t="s">
        <v>590</v>
      </c>
      <c r="D1" s="498" t="s">
        <v>511</v>
      </c>
      <c r="E1" s="728"/>
      <c r="F1" s="729"/>
      <c r="G1" s="728"/>
      <c r="H1" s="728"/>
      <c r="I1" s="728"/>
      <c r="J1" s="728"/>
      <c r="K1" s="730"/>
      <c r="L1" s="3204"/>
      <c r="M1" s="3205"/>
      <c r="N1" s="3205"/>
      <c r="O1" s="3205"/>
      <c r="P1" s="2012"/>
      <c r="Q1" s="2012"/>
      <c r="R1" s="2012"/>
      <c r="S1" s="2012"/>
      <c r="T1" s="2012"/>
      <c r="U1" s="2012"/>
      <c r="V1" s="2012"/>
      <c r="W1" s="2012"/>
      <c r="X1" s="2012"/>
      <c r="Y1" s="2012"/>
      <c r="Z1" s="2012"/>
      <c r="AA1" s="2012"/>
      <c r="AB1" s="2012"/>
      <c r="AC1" s="3206"/>
    </row>
    <row r="2" spans="1:29" s="1289" customFormat="1" ht="28.5" customHeight="1">
      <c r="A2" s="416" t="s">
        <v>460</v>
      </c>
      <c r="B2" s="501" t="e">
        <f>F63</f>
        <v>#DIV/0!</v>
      </c>
      <c r="C2" s="3216"/>
      <c r="D2" s="3216"/>
      <c r="E2" s="3216"/>
      <c r="F2" s="3217"/>
      <c r="G2" s="3216"/>
      <c r="H2" s="3216"/>
      <c r="I2" s="3216"/>
      <c r="J2" s="3216"/>
      <c r="K2" s="3218"/>
      <c r="L2" s="2011"/>
      <c r="M2" s="2012"/>
      <c r="N2" s="2012"/>
      <c r="O2" s="2012"/>
      <c r="P2" s="2012"/>
      <c r="Q2" s="2012"/>
      <c r="R2" s="2012"/>
      <c r="S2" s="2012"/>
      <c r="T2" s="2012"/>
      <c r="U2" s="2012"/>
      <c r="V2" s="2012"/>
      <c r="W2" s="2012"/>
      <c r="X2" s="2012"/>
      <c r="Y2" s="2012"/>
      <c r="Z2" s="2012"/>
      <c r="AA2" s="2012"/>
      <c r="AB2" s="2012"/>
      <c r="AC2" s="3206"/>
    </row>
    <row r="3" spans="1:29" s="1289" customFormat="1" ht="28.5" customHeight="1">
      <c r="A3" s="1330" t="s">
        <v>1675</v>
      </c>
      <c r="B3" s="503" t="e">
        <f>ROUND(B2*10000/'数据-汇总表'!E3,0)</f>
        <v>#DIV/0!</v>
      </c>
      <c r="C3" s="3215"/>
      <c r="D3" s="3215"/>
      <c r="E3" s="3215"/>
      <c r="F3" s="3215"/>
      <c r="G3" s="3216"/>
      <c r="H3" s="3216"/>
      <c r="I3" s="3216"/>
      <c r="J3" s="3216"/>
      <c r="K3" s="3218"/>
      <c r="L3" s="2011"/>
      <c r="M3" s="2012"/>
      <c r="N3" s="2012"/>
      <c r="O3" s="2012"/>
      <c r="P3" s="2012"/>
      <c r="Q3" s="2012"/>
      <c r="R3" s="2012"/>
      <c r="S3" s="2012"/>
      <c r="T3" s="2012"/>
      <c r="U3" s="2012"/>
      <c r="V3" s="2012"/>
      <c r="W3" s="2012"/>
      <c r="X3" s="2012"/>
      <c r="Y3" s="2012"/>
      <c r="Z3" s="2012"/>
      <c r="AA3" s="2012"/>
      <c r="AB3" s="1942"/>
      <c r="AC3" s="1942"/>
    </row>
    <row r="4" spans="1:29" s="1289" customFormat="1" ht="28.5" customHeight="1">
      <c r="A4" s="504" t="s">
        <v>513</v>
      </c>
      <c r="B4" s="420" t="e">
        <f>IF(B43="单位面积地价",C45,ROUND(B2*10000/'数据-汇总表'!D3,0))</f>
        <v>#DIV/0!</v>
      </c>
      <c r="C4" s="3215"/>
      <c r="D4" s="3215"/>
      <c r="E4" s="3215"/>
      <c r="F4" s="3215"/>
      <c r="G4" s="3216"/>
      <c r="H4" s="3216"/>
      <c r="I4" s="3216"/>
      <c r="J4" s="3216"/>
      <c r="K4" s="3218"/>
      <c r="L4" s="2011"/>
      <c r="M4" s="2012"/>
      <c r="N4" s="2012"/>
      <c r="O4" s="2012"/>
      <c r="P4" s="2012"/>
      <c r="Q4" s="2012"/>
      <c r="R4" s="2012"/>
      <c r="S4" s="2012"/>
      <c r="T4" s="2012"/>
      <c r="U4" s="2012"/>
      <c r="V4" s="2012"/>
      <c r="W4" s="2012"/>
      <c r="X4" s="2012"/>
      <c r="Y4" s="2012"/>
      <c r="Z4" s="2012"/>
      <c r="AA4" s="2012"/>
      <c r="AB4" s="2012"/>
      <c r="AC4" s="1942"/>
    </row>
    <row r="5" spans="1:29" s="1289" customFormat="1" ht="28.5" customHeight="1" thickBot="1">
      <c r="A5" s="422"/>
      <c r="B5" s="423" t="e">
        <f>ROUND(B2/('数据-汇总表'!D3/666.67),0)</f>
        <v>#DIV/0!</v>
      </c>
      <c r="C5" s="424" t="s">
        <v>462</v>
      </c>
      <c r="D5" s="3215"/>
      <c r="E5" s="3215"/>
      <c r="F5" s="3215"/>
      <c r="G5" s="3216"/>
      <c r="H5" s="3216"/>
      <c r="I5" s="3216"/>
      <c r="J5" s="3216"/>
      <c r="K5" s="3218"/>
      <c r="L5" s="2011"/>
      <c r="M5" s="2012"/>
      <c r="N5" s="2012"/>
      <c r="O5" s="2012"/>
      <c r="P5" s="2012"/>
      <c r="Q5" s="2012"/>
      <c r="R5" s="2012"/>
      <c r="S5" s="2012"/>
      <c r="T5" s="2012"/>
      <c r="U5" s="2012"/>
      <c r="V5" s="2012"/>
      <c r="W5" s="2012"/>
      <c r="X5" s="2012"/>
      <c r="Y5" s="2012"/>
      <c r="Z5" s="2012"/>
      <c r="AA5" s="2012"/>
      <c r="AB5" s="3207"/>
      <c r="AC5" s="1942"/>
    </row>
    <row r="6" spans="1:29" ht="15">
      <c r="A6" s="505" t="s">
        <v>514</v>
      </c>
      <c r="B6" s="506"/>
      <c r="C6" s="3512" t="s">
        <v>515</v>
      </c>
      <c r="D6" s="3513"/>
      <c r="E6" s="3538" t="s">
        <v>516</v>
      </c>
      <c r="F6" s="3539"/>
      <c r="G6" s="3512" t="s">
        <v>517</v>
      </c>
      <c r="H6" s="3513"/>
      <c r="I6" s="3512" t="s">
        <v>518</v>
      </c>
      <c r="J6" s="3513"/>
      <c r="K6" s="507" t="s">
        <v>519</v>
      </c>
      <c r="L6" s="2013"/>
      <c r="M6" s="2014"/>
      <c r="N6" s="2014"/>
      <c r="O6" s="2014"/>
      <c r="P6" s="3514" t="s">
        <v>520</v>
      </c>
      <c r="Q6" s="3515"/>
      <c r="R6" s="3500" t="s">
        <v>516</v>
      </c>
      <c r="S6" s="3501"/>
      <c r="T6" s="3500" t="s">
        <v>517</v>
      </c>
      <c r="U6" s="3501"/>
      <c r="V6" s="3520" t="s">
        <v>518</v>
      </c>
      <c r="W6" s="3520"/>
      <c r="X6" s="1499"/>
      <c r="Y6" s="3500" t="s">
        <v>520</v>
      </c>
      <c r="Z6" s="3501"/>
      <c r="AA6" s="3495" t="s">
        <v>516</v>
      </c>
      <c r="AB6" s="3496" t="s">
        <v>517</v>
      </c>
      <c r="AC6" s="3495" t="s">
        <v>518</v>
      </c>
    </row>
    <row r="7" spans="1:29" ht="15">
      <c r="A7" s="508"/>
      <c r="B7" s="509"/>
      <c r="C7" s="3523" t="s">
        <v>2896</v>
      </c>
      <c r="D7" s="3524"/>
      <c r="E7" s="3540" t="s">
        <v>2897</v>
      </c>
      <c r="F7" s="3541"/>
      <c r="G7" s="3523" t="s">
        <v>2898</v>
      </c>
      <c r="H7" s="3524"/>
      <c r="I7" s="3523" t="s">
        <v>2899</v>
      </c>
      <c r="J7" s="3524"/>
      <c r="K7" s="507"/>
      <c r="L7" s="2013"/>
      <c r="M7" s="2014"/>
      <c r="N7" s="2014"/>
      <c r="O7" s="2014"/>
      <c r="P7" s="3516"/>
      <c r="Q7" s="3517"/>
      <c r="R7" s="3502"/>
      <c r="S7" s="3503"/>
      <c r="T7" s="3502"/>
      <c r="U7" s="3503"/>
      <c r="V7" s="3520"/>
      <c r="W7" s="3520"/>
      <c r="X7" s="1499"/>
      <c r="Y7" s="3502"/>
      <c r="Z7" s="3503"/>
      <c r="AA7" s="3496"/>
      <c r="AB7" s="3496"/>
      <c r="AC7" s="3496"/>
    </row>
    <row r="8" spans="1:29" ht="15.75" thickBot="1">
      <c r="A8" s="510"/>
      <c r="B8" s="511"/>
      <c r="C8" s="3521" t="s">
        <v>2900</v>
      </c>
      <c r="D8" s="3522"/>
      <c r="E8" s="3542" t="s">
        <v>2900</v>
      </c>
      <c r="F8" s="3543"/>
      <c r="G8" s="3521" t="s">
        <v>2900</v>
      </c>
      <c r="H8" s="3522"/>
      <c r="I8" s="3521" t="s">
        <v>2900</v>
      </c>
      <c r="J8" s="3522"/>
      <c r="K8" s="507" t="s">
        <v>521</v>
      </c>
      <c r="L8" s="2013"/>
      <c r="M8" s="2014"/>
      <c r="N8" s="2014"/>
      <c r="O8" s="2014"/>
      <c r="P8" s="3518"/>
      <c r="Q8" s="3519"/>
      <c r="R8" s="3502"/>
      <c r="S8" s="3503"/>
      <c r="T8" s="3504"/>
      <c r="U8" s="3505"/>
      <c r="V8" s="3520"/>
      <c r="W8" s="3520"/>
      <c r="X8" s="1499"/>
      <c r="Y8" s="3504"/>
      <c r="Z8" s="3505"/>
      <c r="AA8" s="3497"/>
      <c r="AB8" s="3497"/>
      <c r="AC8" s="3497"/>
    </row>
    <row r="9" spans="1:29" s="1202" customFormat="1" ht="15.75" thickBot="1">
      <c r="A9" s="2627"/>
      <c r="B9" s="2634" t="s">
        <v>522</v>
      </c>
      <c r="C9" s="512">
        <f>'数据-取费表'!B2</f>
        <v>44254</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498" t="s">
        <v>523</v>
      </c>
      <c r="Q9" s="3507"/>
      <c r="R9" s="1500" t="s">
        <v>8</v>
      </c>
      <c r="S9" s="1501">
        <f t="shared" ref="S9:S17" si="0">F9</f>
        <v>0</v>
      </c>
      <c r="T9" s="1500" t="s">
        <v>8</v>
      </c>
      <c r="U9" s="1501">
        <f t="shared" ref="U9:U17" si="1">H9</f>
        <v>0</v>
      </c>
      <c r="V9" s="1500" t="s">
        <v>8</v>
      </c>
      <c r="W9" s="1501">
        <f t="shared" ref="W9:W17" si="2">J9</f>
        <v>0</v>
      </c>
      <c r="X9" s="1502"/>
      <c r="Y9" s="3498" t="s">
        <v>523</v>
      </c>
      <c r="Z9" s="3499"/>
      <c r="AA9" s="1503" t="e">
        <f>D9/F9</f>
        <v>#DIV/0!</v>
      </c>
      <c r="AB9" s="1503" t="e">
        <f>D9/H9</f>
        <v>#DIV/0!</v>
      </c>
      <c r="AC9" s="1503" t="e">
        <f>D9/J9</f>
        <v>#DIV/0!</v>
      </c>
    </row>
    <row r="10" spans="1:29" s="1202" customFormat="1" ht="15.75" thickBot="1">
      <c r="A10" s="2628"/>
      <c r="B10" s="2635" t="s">
        <v>524</v>
      </c>
      <c r="C10" s="518" t="s">
        <v>525</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498" t="s">
        <v>526</v>
      </c>
      <c r="Q10" s="3499"/>
      <c r="R10" s="1500" t="s">
        <v>8</v>
      </c>
      <c r="S10" s="1501">
        <f t="shared" si="0"/>
        <v>0</v>
      </c>
      <c r="T10" s="1500" t="s">
        <v>8</v>
      </c>
      <c r="U10" s="1501">
        <f t="shared" si="1"/>
        <v>0</v>
      </c>
      <c r="V10" s="1500" t="s">
        <v>8</v>
      </c>
      <c r="W10" s="1501">
        <f t="shared" si="2"/>
        <v>0</v>
      </c>
      <c r="X10" s="1502"/>
      <c r="Y10" s="3498" t="s">
        <v>526</v>
      </c>
      <c r="Z10" s="3499"/>
      <c r="AA10" s="1503" t="e">
        <f t="shared" ref="AA10:AA42" si="3">D10/F10</f>
        <v>#DIV/0!</v>
      </c>
      <c r="AB10" s="1503" t="e">
        <f t="shared" ref="AB10:AB42" si="4">D10/H10</f>
        <v>#DIV/0!</v>
      </c>
      <c r="AC10" s="1503" t="e">
        <f t="shared" ref="AC10:AC42" si="5">D10/J10</f>
        <v>#DIV/0!</v>
      </c>
    </row>
    <row r="11" spans="1:29" s="1202" customFormat="1" ht="15">
      <c r="A11" s="2629"/>
      <c r="B11" s="2636" t="s">
        <v>2736</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506" t="s">
        <v>528</v>
      </c>
      <c r="Q11" s="1133" t="str">
        <f t="shared" ref="Q11:Q17" si="6">B11</f>
        <v>用途</v>
      </c>
      <c r="R11" s="1500" t="s">
        <v>8</v>
      </c>
      <c r="S11" s="1501">
        <f t="shared" si="0"/>
        <v>100</v>
      </c>
      <c r="T11" s="1500" t="s">
        <v>8</v>
      </c>
      <c r="U11" s="1501">
        <f t="shared" si="1"/>
        <v>100</v>
      </c>
      <c r="V11" s="1500" t="s">
        <v>8</v>
      </c>
      <c r="W11" s="1501">
        <f t="shared" si="2"/>
        <v>100</v>
      </c>
      <c r="X11" s="1502"/>
      <c r="Y11" s="3457" t="s">
        <v>529</v>
      </c>
      <c r="Z11" s="1132" t="str">
        <f t="shared" ref="Z11:Z17" si="7">Q11</f>
        <v>用途</v>
      </c>
      <c r="AA11" s="1503">
        <f t="shared" si="3"/>
        <v>1</v>
      </c>
      <c r="AB11" s="1503">
        <f t="shared" si="4"/>
        <v>1</v>
      </c>
      <c r="AC11" s="1503">
        <f t="shared" si="5"/>
        <v>1</v>
      </c>
    </row>
    <row r="12" spans="1:29" s="1291" customFormat="1" ht="27">
      <c r="A12" s="2630"/>
      <c r="B12" s="2635" t="s">
        <v>2737</v>
      </c>
      <c r="C12" s="521"/>
      <c r="D12" s="252">
        <v>100</v>
      </c>
      <c r="E12" s="521"/>
      <c r="F12" s="252">
        <f>ROUND(100/'数据-取费表'!G16,0)</f>
        <v>101</v>
      </c>
      <c r="G12" s="521"/>
      <c r="H12" s="252">
        <f>ROUND(100/'数据-取费表'!G16,0)</f>
        <v>101</v>
      </c>
      <c r="I12" s="521"/>
      <c r="J12" s="252">
        <f>ROUND(100/'数据-取费表'!G16,0)</f>
        <v>101</v>
      </c>
      <c r="K12" s="524"/>
      <c r="L12" s="2018"/>
      <c r="M12" s="2057"/>
      <c r="N12" s="2057"/>
      <c r="O12" s="2019"/>
      <c r="P12" s="3506"/>
      <c r="Q12" s="1133" t="str">
        <f t="shared" si="6"/>
        <v>土地使用年限（年）</v>
      </c>
      <c r="R12" s="1500" t="s">
        <v>8</v>
      </c>
      <c r="S12" s="1501">
        <f t="shared" si="0"/>
        <v>101</v>
      </c>
      <c r="T12" s="1500" t="s">
        <v>8</v>
      </c>
      <c r="U12" s="1501">
        <f t="shared" si="1"/>
        <v>101</v>
      </c>
      <c r="V12" s="1500" t="s">
        <v>8</v>
      </c>
      <c r="W12" s="1501">
        <f t="shared" si="2"/>
        <v>101</v>
      </c>
      <c r="X12" s="1502"/>
      <c r="Y12" s="3457"/>
      <c r="Z12" s="1132" t="str">
        <f t="shared" si="7"/>
        <v>土地使用年限（年）</v>
      </c>
      <c r="AA12" s="1503">
        <f t="shared" si="3"/>
        <v>0.99009900990099009</v>
      </c>
      <c r="AB12" s="1503">
        <f t="shared" si="4"/>
        <v>0.99009900990099009</v>
      </c>
      <c r="AC12" s="1503">
        <f t="shared" si="5"/>
        <v>0.99009900990099009</v>
      </c>
    </row>
    <row r="13" spans="1:29" ht="15">
      <c r="A13" s="2631"/>
      <c r="B13" s="2635"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506"/>
      <c r="Q13" s="1133" t="str">
        <f t="shared" si="6"/>
        <v>容积率</v>
      </c>
      <c r="R13" s="1500" t="s">
        <v>8</v>
      </c>
      <c r="S13" s="1501" t="e">
        <f t="shared" si="0"/>
        <v>#N/A</v>
      </c>
      <c r="T13" s="1500" t="s">
        <v>8</v>
      </c>
      <c r="U13" s="1501" t="e">
        <f t="shared" si="1"/>
        <v>#N/A</v>
      </c>
      <c r="V13" s="1500" t="s">
        <v>8</v>
      </c>
      <c r="W13" s="1501" t="e">
        <f t="shared" si="2"/>
        <v>#N/A</v>
      </c>
      <c r="X13" s="1502"/>
      <c r="Y13" s="3457"/>
      <c r="Z13" s="1132" t="str">
        <f t="shared" si="7"/>
        <v>容积率</v>
      </c>
      <c r="AA13" s="1503" t="e">
        <f t="shared" si="3"/>
        <v>#N/A</v>
      </c>
      <c r="AB13" s="1503" t="e">
        <f t="shared" si="4"/>
        <v>#N/A</v>
      </c>
      <c r="AC13" s="1503" t="e">
        <f t="shared" si="5"/>
        <v>#N/A</v>
      </c>
    </row>
    <row r="14" spans="1:29" s="1202"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506"/>
      <c r="Q14" s="1133">
        <f t="shared" si="6"/>
        <v>111</v>
      </c>
      <c r="R14" s="1500" t="s">
        <v>8</v>
      </c>
      <c r="S14" s="1501">
        <f t="shared" si="0"/>
        <v>100</v>
      </c>
      <c r="T14" s="1500" t="s">
        <v>8</v>
      </c>
      <c r="U14" s="1501">
        <f t="shared" si="1"/>
        <v>100</v>
      </c>
      <c r="V14" s="1500" t="s">
        <v>8</v>
      </c>
      <c r="W14" s="1501">
        <f t="shared" si="2"/>
        <v>100</v>
      </c>
      <c r="X14" s="1502"/>
      <c r="Y14" s="3457"/>
      <c r="Z14" s="1132">
        <f t="shared" si="7"/>
        <v>111</v>
      </c>
      <c r="AA14" s="1503">
        <f>D14/F14</f>
        <v>1</v>
      </c>
      <c r="AB14" s="1503">
        <f>D14/H14</f>
        <v>1</v>
      </c>
      <c r="AC14" s="1503">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506"/>
      <c r="Q15" s="1133">
        <f t="shared" si="6"/>
        <v>111</v>
      </c>
      <c r="R15" s="1500" t="s">
        <v>8</v>
      </c>
      <c r="S15" s="1501">
        <f t="shared" si="0"/>
        <v>100</v>
      </c>
      <c r="T15" s="1500" t="s">
        <v>8</v>
      </c>
      <c r="U15" s="1501">
        <f t="shared" si="1"/>
        <v>100</v>
      </c>
      <c r="V15" s="1500" t="s">
        <v>8</v>
      </c>
      <c r="W15" s="1501">
        <f t="shared" si="2"/>
        <v>100</v>
      </c>
      <c r="X15" s="1502"/>
      <c r="Y15" s="3457"/>
      <c r="Z15" s="1132">
        <f t="shared" si="7"/>
        <v>111</v>
      </c>
      <c r="AA15" s="1503">
        <f t="shared" si="3"/>
        <v>1</v>
      </c>
      <c r="AB15" s="1503">
        <f t="shared" si="4"/>
        <v>1</v>
      </c>
      <c r="AC15" s="1503">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506"/>
      <c r="Q16" s="1133">
        <f t="shared" si="6"/>
        <v>111</v>
      </c>
      <c r="R16" s="1500" t="s">
        <v>8</v>
      </c>
      <c r="S16" s="1501">
        <f t="shared" si="0"/>
        <v>100</v>
      </c>
      <c r="T16" s="1500" t="s">
        <v>8</v>
      </c>
      <c r="U16" s="1501">
        <f t="shared" si="1"/>
        <v>100</v>
      </c>
      <c r="V16" s="1500" t="s">
        <v>8</v>
      </c>
      <c r="W16" s="1501">
        <f t="shared" si="2"/>
        <v>100</v>
      </c>
      <c r="X16" s="1502"/>
      <c r="Y16" s="3457"/>
      <c r="Z16" s="1132">
        <f t="shared" si="7"/>
        <v>111</v>
      </c>
      <c r="AA16" s="1503">
        <f t="shared" si="3"/>
        <v>1</v>
      </c>
      <c r="AB16" s="1503">
        <f t="shared" si="4"/>
        <v>1</v>
      </c>
      <c r="AC16" s="1503">
        <f t="shared" si="5"/>
        <v>1</v>
      </c>
    </row>
    <row r="17" spans="1:29" ht="57">
      <c r="A17" s="2625" t="s">
        <v>2734</v>
      </c>
      <c r="B17" s="164" t="s">
        <v>591</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508" t="s">
        <v>533</v>
      </c>
      <c r="Q17" s="1504" t="str">
        <f t="shared" si="6"/>
        <v>产业集聚程度</v>
      </c>
      <c r="R17" s="1505" t="s">
        <v>8</v>
      </c>
      <c r="S17" s="1506">
        <f t="shared" si="0"/>
        <v>100</v>
      </c>
      <c r="T17" s="1505" t="s">
        <v>8</v>
      </c>
      <c r="U17" s="1506">
        <f t="shared" si="1"/>
        <v>100</v>
      </c>
      <c r="V17" s="1505" t="s">
        <v>8</v>
      </c>
      <c r="W17" s="1506">
        <f t="shared" si="2"/>
        <v>100</v>
      </c>
      <c r="X17" s="1499"/>
      <c r="Y17" s="3508" t="s">
        <v>533</v>
      </c>
      <c r="Z17" s="1507" t="str">
        <f t="shared" si="7"/>
        <v>产业集聚程度</v>
      </c>
      <c r="AA17" s="1508">
        <f t="shared" si="3"/>
        <v>1</v>
      </c>
      <c r="AB17" s="1508">
        <f t="shared" si="4"/>
        <v>1</v>
      </c>
      <c r="AC17" s="1508">
        <f t="shared" si="5"/>
        <v>1</v>
      </c>
    </row>
    <row r="18" spans="1:29" ht="15">
      <c r="A18" s="525"/>
      <c r="B18" s="857"/>
      <c r="C18" s="569"/>
      <c r="D18" s="548"/>
      <c r="E18" s="547"/>
      <c r="F18" s="548"/>
      <c r="G18" s="547"/>
      <c r="H18" s="552"/>
      <c r="I18" s="547"/>
      <c r="J18" s="548"/>
      <c r="K18" s="524"/>
      <c r="L18" s="2022"/>
      <c r="M18" s="2014"/>
      <c r="N18" s="2014"/>
      <c r="O18" s="2021"/>
      <c r="P18" s="3509"/>
      <c r="Q18" s="1504"/>
      <c r="R18" s="1505"/>
      <c r="S18" s="1506"/>
      <c r="T18" s="1505"/>
      <c r="U18" s="1506"/>
      <c r="V18" s="1505"/>
      <c r="W18" s="1506"/>
      <c r="X18" s="1499"/>
      <c r="Y18" s="3509"/>
      <c r="Z18" s="1507"/>
      <c r="AA18" s="1508">
        <v>1</v>
      </c>
      <c r="AB18" s="1508">
        <v>1</v>
      </c>
      <c r="AC18" s="1508">
        <v>1</v>
      </c>
    </row>
    <row r="19" spans="1:29" ht="85.5">
      <c r="A19" s="525"/>
      <c r="B19" s="859" t="s">
        <v>536</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509"/>
      <c r="Q19" s="1504" t="str">
        <f>B19</f>
        <v>交通便捷度</v>
      </c>
      <c r="R19" s="1505" t="s">
        <v>8</v>
      </c>
      <c r="S19" s="1506">
        <f>F19</f>
        <v>100</v>
      </c>
      <c r="T19" s="1505" t="s">
        <v>8</v>
      </c>
      <c r="U19" s="1506">
        <f>H19</f>
        <v>100</v>
      </c>
      <c r="V19" s="1505" t="s">
        <v>8</v>
      </c>
      <c r="W19" s="1506">
        <f>J19</f>
        <v>100</v>
      </c>
      <c r="X19" s="1499"/>
      <c r="Y19" s="3509"/>
      <c r="Z19" s="1507" t="str">
        <f>Q19</f>
        <v>交通便捷度</v>
      </c>
      <c r="AA19" s="1508">
        <f t="shared" si="3"/>
        <v>1</v>
      </c>
      <c r="AB19" s="1508">
        <f t="shared" si="4"/>
        <v>1</v>
      </c>
      <c r="AC19" s="1508">
        <f t="shared" si="5"/>
        <v>1</v>
      </c>
    </row>
    <row r="20" spans="1:29" ht="15">
      <c r="A20" s="525"/>
      <c r="B20" s="910"/>
      <c r="C20" s="569"/>
      <c r="D20" s="548"/>
      <c r="E20" s="549"/>
      <c r="F20" s="548"/>
      <c r="G20" s="549"/>
      <c r="H20" s="548"/>
      <c r="I20" s="551"/>
      <c r="J20" s="548"/>
      <c r="K20" s="524"/>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7">
      <c r="A21" s="508"/>
      <c r="B21" s="859" t="s">
        <v>537</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2"/>
      <c r="M21" s="2014"/>
      <c r="N21" s="2014"/>
      <c r="O21" s="2021"/>
      <c r="P21" s="3509"/>
      <c r="Q21" s="1504" t="str">
        <f t="shared" ref="Q21:Q35" si="8">B21</f>
        <v>区域土地利用方向</v>
      </c>
      <c r="R21" s="1505" t="s">
        <v>8</v>
      </c>
      <c r="S21" s="1506">
        <f>F21</f>
        <v>100</v>
      </c>
      <c r="T21" s="1505" t="s">
        <v>8</v>
      </c>
      <c r="U21" s="1506">
        <f>H21</f>
        <v>100</v>
      </c>
      <c r="V21" s="1505" t="s">
        <v>8</v>
      </c>
      <c r="W21" s="1506">
        <f>J21</f>
        <v>100</v>
      </c>
      <c r="X21" s="1499"/>
      <c r="Y21" s="3509"/>
      <c r="Z21" s="1507" t="str">
        <f>Q21</f>
        <v>区域土地利用方向</v>
      </c>
      <c r="AA21" s="1508">
        <f t="shared" si="3"/>
        <v>1</v>
      </c>
      <c r="AB21" s="1508">
        <f t="shared" si="4"/>
        <v>1</v>
      </c>
      <c r="AC21" s="1508">
        <f t="shared" si="5"/>
        <v>1</v>
      </c>
    </row>
    <row r="22" spans="1:29" ht="15">
      <c r="A22" s="508"/>
      <c r="B22" s="588"/>
      <c r="C22" s="569"/>
      <c r="D22" s="548"/>
      <c r="E22" s="549"/>
      <c r="F22" s="550"/>
      <c r="G22" s="551"/>
      <c r="H22" s="550"/>
      <c r="I22" s="551"/>
      <c r="J22" s="550"/>
      <c r="K22" s="1300"/>
      <c r="L22" s="2022"/>
      <c r="M22" s="2014"/>
      <c r="N22" s="2014"/>
      <c r="O22" s="2021"/>
      <c r="P22" s="3509"/>
      <c r="Q22" s="1504"/>
      <c r="R22" s="1505"/>
      <c r="S22" s="1506"/>
      <c r="T22" s="1505"/>
      <c r="U22" s="1506"/>
      <c r="V22" s="1505"/>
      <c r="W22" s="1506"/>
      <c r="X22" s="1499"/>
      <c r="Y22" s="3509"/>
      <c r="Z22" s="1507"/>
      <c r="AA22" s="1508"/>
      <c r="AB22" s="1508"/>
      <c r="AC22" s="1508"/>
    </row>
    <row r="23" spans="1:29" ht="71.25">
      <c r="A23" s="508"/>
      <c r="B23" s="910" t="s">
        <v>592</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509"/>
      <c r="Q23" s="1504" t="str">
        <f t="shared" si="8"/>
        <v>环境状况</v>
      </c>
      <c r="R23" s="1505" t="s">
        <v>8</v>
      </c>
      <c r="S23" s="1506">
        <f>F23</f>
        <v>100</v>
      </c>
      <c r="T23" s="1505" t="s">
        <v>8</v>
      </c>
      <c r="U23" s="1506">
        <f>H23</f>
        <v>100</v>
      </c>
      <c r="V23" s="1505" t="s">
        <v>8</v>
      </c>
      <c r="W23" s="1506">
        <f>J23</f>
        <v>100</v>
      </c>
      <c r="X23" s="1499"/>
      <c r="Y23" s="3509"/>
      <c r="Z23" s="1507" t="str">
        <f>Q23</f>
        <v>环境状况</v>
      </c>
      <c r="AA23" s="1508">
        <f t="shared" si="3"/>
        <v>1</v>
      </c>
      <c r="AB23" s="1508">
        <f t="shared" si="4"/>
        <v>1</v>
      </c>
      <c r="AC23" s="1508">
        <f t="shared" si="5"/>
        <v>1</v>
      </c>
    </row>
    <row r="24" spans="1:29" ht="15">
      <c r="A24" s="508"/>
      <c r="B24" s="588"/>
      <c r="C24" s="569"/>
      <c r="D24" s="548"/>
      <c r="E24" s="547"/>
      <c r="F24" s="548"/>
      <c r="G24" s="547"/>
      <c r="H24" s="548"/>
      <c r="I24" s="569"/>
      <c r="J24" s="548"/>
      <c r="K24" s="524"/>
      <c r="L24" s="2022"/>
      <c r="M24" s="2014"/>
      <c r="N24" s="2014"/>
      <c r="O24" s="2021"/>
      <c r="P24" s="3509"/>
      <c r="Q24" s="1504"/>
      <c r="R24" s="1505"/>
      <c r="S24" s="1506"/>
      <c r="T24" s="1505"/>
      <c r="U24" s="1506"/>
      <c r="V24" s="1505"/>
      <c r="W24" s="1506"/>
      <c r="X24" s="1499"/>
      <c r="Y24" s="3509"/>
      <c r="Z24" s="1507"/>
      <c r="AA24" s="1508">
        <v>1</v>
      </c>
      <c r="AB24" s="1508">
        <v>1</v>
      </c>
      <c r="AC24" s="1508">
        <v>1</v>
      </c>
    </row>
    <row r="25" spans="1:29" s="1202" customFormat="1" ht="42.75">
      <c r="A25" s="570"/>
      <c r="B25" s="2435"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509"/>
      <c r="Q25" s="1133" t="str">
        <f t="shared" si="8"/>
        <v>公共配套设施</v>
      </c>
      <c r="R25" s="1500" t="s">
        <v>8</v>
      </c>
      <c r="S25" s="1501">
        <f>F25</f>
        <v>100</v>
      </c>
      <c r="T25" s="1500" t="s">
        <v>8</v>
      </c>
      <c r="U25" s="1501">
        <f>H25</f>
        <v>100</v>
      </c>
      <c r="V25" s="1500" t="s">
        <v>8</v>
      </c>
      <c r="W25" s="1501">
        <f>J25</f>
        <v>100</v>
      </c>
      <c r="X25" s="1502"/>
      <c r="Y25" s="3509"/>
      <c r="Z25" s="1132" t="str">
        <f>Q25</f>
        <v>公共配套设施</v>
      </c>
      <c r="AA25" s="1508">
        <f>D25/F25</f>
        <v>1</v>
      </c>
      <c r="AB25" s="1508">
        <f>D25/H25</f>
        <v>1</v>
      </c>
      <c r="AC25" s="1508">
        <f>D25/J25</f>
        <v>1</v>
      </c>
    </row>
    <row r="26" spans="1:29" s="1202" customFormat="1" ht="15">
      <c r="A26" s="570"/>
      <c r="B26" s="588"/>
      <c r="C26" s="2434"/>
      <c r="D26" s="548"/>
      <c r="E26" s="547"/>
      <c r="F26" s="548"/>
      <c r="G26" s="547"/>
      <c r="H26" s="548"/>
      <c r="I26" s="569"/>
      <c r="J26" s="548"/>
      <c r="K26" s="524"/>
      <c r="L26" s="2015"/>
      <c r="M26" s="2016"/>
      <c r="N26" s="2016"/>
      <c r="O26" s="2017"/>
      <c r="P26" s="3509"/>
      <c r="Q26" s="1133"/>
      <c r="R26" s="1500"/>
      <c r="S26" s="1501"/>
      <c r="T26" s="1500"/>
      <c r="U26" s="1501"/>
      <c r="V26" s="1500"/>
      <c r="W26" s="1501"/>
      <c r="X26" s="1502"/>
      <c r="Y26" s="3509"/>
      <c r="Z26" s="1132"/>
      <c r="AA26" s="1503">
        <v>1</v>
      </c>
      <c r="AB26" s="1503">
        <v>1</v>
      </c>
      <c r="AC26" s="1503">
        <v>1</v>
      </c>
    </row>
    <row r="27" spans="1:29" s="1202" customFormat="1" ht="28.5">
      <c r="A27" s="570"/>
      <c r="B27" s="2435"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509"/>
      <c r="Q27" s="2426" t="str">
        <f t="shared" ref="Q27" si="9">B27</f>
        <v>基础设施水平</v>
      </c>
      <c r="R27" s="1500" t="s">
        <v>8</v>
      </c>
      <c r="S27" s="1501">
        <f>F27</f>
        <v>100</v>
      </c>
      <c r="T27" s="1500" t="s">
        <v>8</v>
      </c>
      <c r="U27" s="1501">
        <f>H27</f>
        <v>100</v>
      </c>
      <c r="V27" s="1500" t="s">
        <v>8</v>
      </c>
      <c r="W27" s="1501">
        <f>J27</f>
        <v>100</v>
      </c>
      <c r="X27" s="1502"/>
      <c r="Y27" s="3509"/>
      <c r="Z27" s="2425" t="str">
        <f>Q27</f>
        <v>基础设施水平</v>
      </c>
      <c r="AA27" s="1508">
        <f>D27/F27</f>
        <v>1</v>
      </c>
      <c r="AB27" s="1508">
        <f>D27/H27</f>
        <v>1</v>
      </c>
      <c r="AC27" s="1508">
        <f>D27/J27</f>
        <v>1</v>
      </c>
    </row>
    <row r="28" spans="1:29" s="1202" customFormat="1" ht="15">
      <c r="A28" s="570"/>
      <c r="B28" s="588"/>
      <c r="C28" s="2434"/>
      <c r="D28" s="548"/>
      <c r="E28" s="572"/>
      <c r="F28" s="548"/>
      <c r="G28" s="572"/>
      <c r="H28" s="548"/>
      <c r="I28" s="572"/>
      <c r="J28" s="548"/>
      <c r="K28" s="524"/>
      <c r="L28" s="2015"/>
      <c r="M28" s="2016"/>
      <c r="N28" s="2016"/>
      <c r="O28" s="2017"/>
      <c r="P28" s="3509"/>
      <c r="Q28" s="2426"/>
      <c r="R28" s="1500"/>
      <c r="S28" s="1501"/>
      <c r="T28" s="1500"/>
      <c r="U28" s="1501"/>
      <c r="V28" s="1500"/>
      <c r="W28" s="1501"/>
      <c r="X28" s="1502"/>
      <c r="Y28" s="3509"/>
      <c r="Z28" s="2425"/>
      <c r="AA28" s="1503">
        <v>1</v>
      </c>
      <c r="AB28" s="1503">
        <v>1</v>
      </c>
      <c r="AC28" s="1503">
        <v>1</v>
      </c>
    </row>
    <row r="29" spans="1:29" ht="15">
      <c r="A29" s="525"/>
      <c r="B29" s="588" t="s">
        <v>540</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509"/>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09"/>
      <c r="Z29" s="1507" t="str">
        <f t="shared" ref="Z29:Z42" si="13">Q29</f>
        <v>临街状况</v>
      </c>
      <c r="AA29" s="1508">
        <f t="shared" si="3"/>
        <v>1</v>
      </c>
      <c r="AB29" s="1508">
        <f t="shared" si="4"/>
        <v>1</v>
      </c>
      <c r="AC29" s="1508">
        <f t="shared" si="5"/>
        <v>1</v>
      </c>
    </row>
    <row r="30" spans="1:29" ht="27">
      <c r="A30" s="525"/>
      <c r="B30" s="910" t="s">
        <v>541</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509"/>
      <c r="Q30" s="1504" t="str">
        <f t="shared" si="8"/>
        <v>毗邻道路的类型与等级</v>
      </c>
      <c r="R30" s="1505" t="s">
        <v>8</v>
      </c>
      <c r="S30" s="1506">
        <f t="shared" si="10"/>
        <v>100</v>
      </c>
      <c r="T30" s="1505" t="s">
        <v>8</v>
      </c>
      <c r="U30" s="1506">
        <f t="shared" si="11"/>
        <v>100</v>
      </c>
      <c r="V30" s="1505" t="s">
        <v>8</v>
      </c>
      <c r="W30" s="1506">
        <f t="shared" si="12"/>
        <v>100</v>
      </c>
      <c r="X30" s="1499"/>
      <c r="Y30" s="3509"/>
      <c r="Z30" s="1507" t="str">
        <f t="shared" si="13"/>
        <v>毗邻道路的类型与等级</v>
      </c>
      <c r="AA30" s="1508">
        <f t="shared" si="3"/>
        <v>1</v>
      </c>
      <c r="AB30" s="1508">
        <f t="shared" si="4"/>
        <v>1</v>
      </c>
      <c r="AC30" s="1508">
        <f t="shared" si="5"/>
        <v>1</v>
      </c>
    </row>
    <row r="31" spans="1:29" ht="15">
      <c r="A31" s="525"/>
      <c r="B31" s="588"/>
      <c r="C31" s="569"/>
      <c r="D31" s="548"/>
      <c r="E31" s="569"/>
      <c r="F31" s="548"/>
      <c r="G31" s="569"/>
      <c r="H31" s="548"/>
      <c r="I31" s="569"/>
      <c r="J31" s="548"/>
      <c r="K31" s="574"/>
      <c r="L31" s="2022"/>
      <c r="M31" s="2014"/>
      <c r="N31" s="2014"/>
      <c r="O31" s="2021"/>
      <c r="P31" s="3509"/>
      <c r="Q31" s="1504"/>
      <c r="R31" s="1505"/>
      <c r="S31" s="1506"/>
      <c r="T31" s="1505"/>
      <c r="U31" s="1506"/>
      <c r="V31" s="1505"/>
      <c r="W31" s="1506"/>
      <c r="X31" s="1499"/>
      <c r="Y31" s="3509"/>
      <c r="Z31" s="1507"/>
      <c r="AA31" s="1508">
        <v>1</v>
      </c>
      <c r="AB31" s="1508">
        <v>1</v>
      </c>
      <c r="AC31" s="1508">
        <v>1</v>
      </c>
    </row>
    <row r="32" spans="1:29" ht="15">
      <c r="A32" s="525"/>
      <c r="B32" s="520" t="s">
        <v>542</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509"/>
      <c r="Q32" s="1504" t="str">
        <f t="shared" si="8"/>
        <v>土地级别</v>
      </c>
      <c r="R32" s="1505" t="s">
        <v>8</v>
      </c>
      <c r="S32" s="1506">
        <f t="shared" si="10"/>
        <v>100</v>
      </c>
      <c r="T32" s="1505" t="s">
        <v>8</v>
      </c>
      <c r="U32" s="1506">
        <f t="shared" si="11"/>
        <v>100</v>
      </c>
      <c r="V32" s="1505" t="s">
        <v>8</v>
      </c>
      <c r="W32" s="1506">
        <f t="shared" si="12"/>
        <v>100</v>
      </c>
      <c r="X32" s="1499"/>
      <c r="Y32" s="3509"/>
      <c r="Z32" s="1507" t="str">
        <f t="shared" si="13"/>
        <v>土地级别</v>
      </c>
      <c r="AA32" s="1508">
        <f t="shared" si="3"/>
        <v>1</v>
      </c>
      <c r="AB32" s="1508">
        <f t="shared" si="4"/>
        <v>1</v>
      </c>
      <c r="AC32" s="1508">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509"/>
      <c r="Q33" s="1504">
        <f t="shared" si="8"/>
        <v>111</v>
      </c>
      <c r="R33" s="1505" t="s">
        <v>8</v>
      </c>
      <c r="S33" s="1506">
        <f t="shared" si="10"/>
        <v>100</v>
      </c>
      <c r="T33" s="1505" t="s">
        <v>8</v>
      </c>
      <c r="U33" s="1506">
        <f t="shared" si="11"/>
        <v>100</v>
      </c>
      <c r="V33" s="1505" t="s">
        <v>8</v>
      </c>
      <c r="W33" s="1506">
        <f t="shared" si="12"/>
        <v>100</v>
      </c>
      <c r="X33" s="1499"/>
      <c r="Y33" s="3509"/>
      <c r="Z33" s="1507">
        <f t="shared" si="13"/>
        <v>111</v>
      </c>
      <c r="AA33" s="1508">
        <f t="shared" si="3"/>
        <v>1</v>
      </c>
      <c r="AB33" s="1508">
        <f t="shared" si="4"/>
        <v>1</v>
      </c>
      <c r="AC33" s="1508">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510" t="s">
        <v>543</v>
      </c>
      <c r="Q34" s="1504">
        <f t="shared" si="8"/>
        <v>111</v>
      </c>
      <c r="R34" s="1505" t="s">
        <v>8</v>
      </c>
      <c r="S34" s="1506">
        <f t="shared" si="10"/>
        <v>100</v>
      </c>
      <c r="T34" s="1505" t="s">
        <v>8</v>
      </c>
      <c r="U34" s="1506">
        <f t="shared" si="11"/>
        <v>100</v>
      </c>
      <c r="V34" s="1505" t="s">
        <v>8</v>
      </c>
      <c r="W34" s="1506">
        <f t="shared" si="12"/>
        <v>100</v>
      </c>
      <c r="X34" s="1499"/>
      <c r="Y34" s="3511" t="s">
        <v>543</v>
      </c>
      <c r="Z34" s="1507">
        <f t="shared" si="13"/>
        <v>111</v>
      </c>
      <c r="AA34" s="1508">
        <f t="shared" si="3"/>
        <v>1</v>
      </c>
      <c r="AB34" s="1508">
        <f t="shared" si="4"/>
        <v>1</v>
      </c>
      <c r="AC34" s="1508">
        <f t="shared" si="5"/>
        <v>1</v>
      </c>
    </row>
    <row r="35" spans="1:29" s="1292" customFormat="1" ht="15.75" thickBot="1">
      <c r="A35" s="582"/>
      <c r="B35" s="2436">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511"/>
      <c r="Q35" s="1504">
        <f t="shared" si="8"/>
        <v>111</v>
      </c>
      <c r="R35" s="1509" t="s">
        <v>8</v>
      </c>
      <c r="S35" s="1510">
        <f t="shared" si="10"/>
        <v>100</v>
      </c>
      <c r="T35" s="1509" t="s">
        <v>8</v>
      </c>
      <c r="U35" s="1510">
        <f t="shared" si="11"/>
        <v>100</v>
      </c>
      <c r="V35" s="1509" t="s">
        <v>8</v>
      </c>
      <c r="W35" s="1510">
        <f t="shared" si="12"/>
        <v>100</v>
      </c>
      <c r="X35" s="1511"/>
      <c r="Y35" s="3511"/>
      <c r="Z35" s="1512">
        <f t="shared" si="13"/>
        <v>111</v>
      </c>
      <c r="AA35" s="1508">
        <f t="shared" si="3"/>
        <v>1</v>
      </c>
      <c r="AB35" s="1508">
        <f t="shared" si="4"/>
        <v>1</v>
      </c>
      <c r="AC35" s="1508">
        <f t="shared" si="5"/>
        <v>1</v>
      </c>
    </row>
    <row r="36" spans="1:29" ht="15">
      <c r="A36" s="2622" t="s">
        <v>2735</v>
      </c>
      <c r="B36" s="588" t="s">
        <v>545</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511"/>
      <c r="Q36" s="1504" t="str">
        <f>B36</f>
        <v>宗地面积</v>
      </c>
      <c r="R36" s="1505" t="s">
        <v>8</v>
      </c>
      <c r="S36" s="1506" t="e">
        <f t="shared" si="10"/>
        <v>#N/A</v>
      </c>
      <c r="T36" s="1505" t="s">
        <v>8</v>
      </c>
      <c r="U36" s="1506" t="e">
        <f t="shared" si="11"/>
        <v>#N/A</v>
      </c>
      <c r="V36" s="1505" t="s">
        <v>8</v>
      </c>
      <c r="W36" s="1506" t="e">
        <f t="shared" si="12"/>
        <v>#N/A</v>
      </c>
      <c r="X36" s="1499"/>
      <c r="Y36" s="3511"/>
      <c r="Z36" s="1507" t="str">
        <f t="shared" si="13"/>
        <v>宗地面积</v>
      </c>
      <c r="AA36" s="1508" t="e">
        <f t="shared" si="3"/>
        <v>#N/A</v>
      </c>
      <c r="AB36" s="1508" t="e">
        <f t="shared" si="4"/>
        <v>#N/A</v>
      </c>
      <c r="AC36" s="1508" t="e">
        <f t="shared" si="5"/>
        <v>#N/A</v>
      </c>
    </row>
    <row r="37" spans="1:29" ht="15">
      <c r="A37" s="587"/>
      <c r="B37" s="520" t="s">
        <v>546</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511"/>
      <c r="Q37" s="1504" t="str">
        <f t="shared" ref="Q37:Q42" si="14">B37</f>
        <v>宗地形状</v>
      </c>
      <c r="R37" s="1505" t="s">
        <v>8</v>
      </c>
      <c r="S37" s="1506">
        <f t="shared" si="10"/>
        <v>100</v>
      </c>
      <c r="T37" s="1505" t="s">
        <v>8</v>
      </c>
      <c r="U37" s="1506">
        <f t="shared" si="11"/>
        <v>100</v>
      </c>
      <c r="V37" s="1505" t="s">
        <v>8</v>
      </c>
      <c r="W37" s="1506">
        <f t="shared" si="12"/>
        <v>100</v>
      </c>
      <c r="X37" s="1499"/>
      <c r="Y37" s="3511"/>
      <c r="Z37" s="1507" t="str">
        <f t="shared" si="13"/>
        <v>宗地形状</v>
      </c>
      <c r="AA37" s="1508">
        <f t="shared" si="3"/>
        <v>1</v>
      </c>
      <c r="AB37" s="1508">
        <f t="shared" si="4"/>
        <v>1</v>
      </c>
      <c r="AC37" s="1508">
        <f t="shared" si="5"/>
        <v>1</v>
      </c>
    </row>
    <row r="38" spans="1:29" s="1202" customFormat="1" ht="15">
      <c r="A38" s="593"/>
      <c r="B38" s="1807" t="s">
        <v>2408</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511"/>
      <c r="Q38" s="1504" t="str">
        <f t="shared" si="14"/>
        <v>宗地开发程度</v>
      </c>
      <c r="R38" s="1500" t="s">
        <v>8</v>
      </c>
      <c r="S38" s="1501">
        <f t="shared" si="10"/>
        <v>100</v>
      </c>
      <c r="T38" s="1500" t="s">
        <v>8</v>
      </c>
      <c r="U38" s="1501">
        <f t="shared" si="11"/>
        <v>100</v>
      </c>
      <c r="V38" s="1500" t="s">
        <v>8</v>
      </c>
      <c r="W38" s="1501">
        <f t="shared" si="12"/>
        <v>100</v>
      </c>
      <c r="X38" s="1502"/>
      <c r="Y38" s="3511"/>
      <c r="Z38" s="1132" t="str">
        <f t="shared" si="13"/>
        <v>宗地开发程度</v>
      </c>
      <c r="AA38" s="1503">
        <f t="shared" si="3"/>
        <v>1</v>
      </c>
      <c r="AB38" s="1503">
        <f t="shared" si="4"/>
        <v>1</v>
      </c>
      <c r="AC38" s="1503">
        <f t="shared" si="5"/>
        <v>1</v>
      </c>
    </row>
    <row r="39" spans="1:29" ht="15">
      <c r="A39" s="587"/>
      <c r="B39" s="520" t="s">
        <v>548</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11" t="s">
        <v>594</v>
      </c>
      <c r="Q39" s="1504" t="str">
        <f t="shared" si="14"/>
        <v>工程地质条件</v>
      </c>
      <c r="R39" s="1505" t="s">
        <v>8</v>
      </c>
      <c r="S39" s="1506">
        <f t="shared" si="10"/>
        <v>100</v>
      </c>
      <c r="T39" s="1505" t="s">
        <v>8</v>
      </c>
      <c r="U39" s="1506">
        <f t="shared" si="11"/>
        <v>100</v>
      </c>
      <c r="V39" s="1505" t="s">
        <v>8</v>
      </c>
      <c r="W39" s="1506">
        <f t="shared" si="12"/>
        <v>100</v>
      </c>
      <c r="X39" s="1499"/>
      <c r="Y39" s="3511" t="s">
        <v>594</v>
      </c>
      <c r="Z39" s="1507" t="str">
        <f t="shared" si="13"/>
        <v>工程地质条件</v>
      </c>
      <c r="AA39" s="1508">
        <f t="shared" si="3"/>
        <v>1</v>
      </c>
      <c r="AB39" s="1508">
        <f t="shared" si="4"/>
        <v>1</v>
      </c>
      <c r="AC39" s="1508">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511"/>
      <c r="Q40" s="1504">
        <f t="shared" si="14"/>
        <v>111</v>
      </c>
      <c r="R40" s="1505" t="s">
        <v>8</v>
      </c>
      <c r="S40" s="1506">
        <f t="shared" si="10"/>
        <v>100</v>
      </c>
      <c r="T40" s="1505" t="s">
        <v>8</v>
      </c>
      <c r="U40" s="1506">
        <f t="shared" si="11"/>
        <v>100</v>
      </c>
      <c r="V40" s="1505" t="s">
        <v>8</v>
      </c>
      <c r="W40" s="1506">
        <f t="shared" si="12"/>
        <v>100</v>
      </c>
      <c r="X40" s="1499"/>
      <c r="Y40" s="3511"/>
      <c r="Z40" s="1507">
        <f t="shared" si="13"/>
        <v>111</v>
      </c>
      <c r="AA40" s="1508">
        <f t="shared" si="3"/>
        <v>1</v>
      </c>
      <c r="AB40" s="1508">
        <f t="shared" si="4"/>
        <v>1</v>
      </c>
      <c r="AC40" s="1508">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511"/>
      <c r="Q41" s="1504">
        <f t="shared" si="14"/>
        <v>111</v>
      </c>
      <c r="R41" s="1505" t="s">
        <v>8</v>
      </c>
      <c r="S41" s="1506">
        <f t="shared" si="10"/>
        <v>100</v>
      </c>
      <c r="T41" s="1505" t="s">
        <v>8</v>
      </c>
      <c r="U41" s="1506">
        <f t="shared" si="11"/>
        <v>100</v>
      </c>
      <c r="V41" s="1505" t="s">
        <v>8</v>
      </c>
      <c r="W41" s="1506">
        <f t="shared" si="12"/>
        <v>100</v>
      </c>
      <c r="X41" s="1499"/>
      <c r="Y41" s="3511"/>
      <c r="Z41" s="1507">
        <f t="shared" si="13"/>
        <v>111</v>
      </c>
      <c r="AA41" s="1508">
        <f t="shared" si="3"/>
        <v>1</v>
      </c>
      <c r="AB41" s="1508">
        <f t="shared" si="4"/>
        <v>1</v>
      </c>
      <c r="AC41" s="1508">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511"/>
      <c r="Q42" s="1504">
        <f t="shared" si="14"/>
        <v>111</v>
      </c>
      <c r="R42" s="1509" t="s">
        <v>8</v>
      </c>
      <c r="S42" s="1510">
        <f t="shared" si="10"/>
        <v>100</v>
      </c>
      <c r="T42" s="1509" t="s">
        <v>8</v>
      </c>
      <c r="U42" s="1510">
        <f t="shared" si="11"/>
        <v>100</v>
      </c>
      <c r="V42" s="1509" t="s">
        <v>8</v>
      </c>
      <c r="W42" s="1510">
        <f t="shared" si="12"/>
        <v>100</v>
      </c>
      <c r="X42" s="1511"/>
      <c r="Y42" s="3511"/>
      <c r="Z42" s="1512">
        <f t="shared" si="13"/>
        <v>111</v>
      </c>
      <c r="AA42" s="1508">
        <f t="shared" si="3"/>
        <v>1</v>
      </c>
      <c r="AB42" s="1508">
        <f t="shared" si="4"/>
        <v>1</v>
      </c>
      <c r="AC42" s="1508">
        <f t="shared" si="5"/>
        <v>1</v>
      </c>
    </row>
    <row r="43" spans="1:29" ht="15">
      <c r="A43" s="600" t="s">
        <v>549</v>
      </c>
      <c r="B43" s="601" t="s">
        <v>2901</v>
      </c>
      <c r="C43" s="602" t="s">
        <v>1</v>
      </c>
      <c r="D43" s="603"/>
      <c r="E43" s="604"/>
      <c r="F43" s="605"/>
      <c r="G43" s="606"/>
      <c r="H43" s="607"/>
      <c r="I43" s="604"/>
      <c r="J43" s="607"/>
      <c r="K43" s="1293"/>
      <c r="L43" s="2024"/>
      <c r="M43" s="2014"/>
      <c r="N43" s="2014"/>
      <c r="O43" s="2025"/>
      <c r="P43" s="3506" t="str">
        <f>A43</f>
        <v>成交单价</v>
      </c>
      <c r="Q43" s="3506"/>
      <c r="R43" s="3520">
        <f>E43</f>
        <v>0</v>
      </c>
      <c r="S43" s="3520"/>
      <c r="T43" s="3520">
        <f>G43</f>
        <v>0</v>
      </c>
      <c r="U43" s="3520"/>
      <c r="V43" s="3520">
        <f>I43</f>
        <v>0</v>
      </c>
      <c r="W43" s="3520"/>
      <c r="X43" s="1494"/>
      <c r="Y43" s="1513"/>
      <c r="Z43" s="1494"/>
      <c r="AA43" s="1494"/>
      <c r="AB43" s="1494"/>
      <c r="AC43" s="1494"/>
    </row>
    <row r="44" spans="1:29" ht="15.75" thickBot="1">
      <c r="A44" s="608" t="s">
        <v>2673</v>
      </c>
      <c r="B44" s="609"/>
      <c r="C44" s="610" t="e">
        <f>R45</f>
        <v>#DIV/0!</v>
      </c>
      <c r="D44" s="3008" t="s">
        <v>2970</v>
      </c>
      <c r="E44" s="610" t="e">
        <f>R44</f>
        <v>#DIV/0!</v>
      </c>
      <c r="F44" s="3009"/>
      <c r="G44" s="611" t="e">
        <f>T44</f>
        <v>#DIV/0!</v>
      </c>
      <c r="H44" s="3009"/>
      <c r="I44" s="610" t="e">
        <f>V44</f>
        <v>#DIV/0!</v>
      </c>
      <c r="J44" s="3009"/>
      <c r="K44" s="3010">
        <f>F44+H44+J44</f>
        <v>0</v>
      </c>
      <c r="L44" s="2024"/>
      <c r="M44" s="2014"/>
      <c r="N44" s="2014"/>
      <c r="O44" s="2025"/>
      <c r="P44" s="3506" t="str">
        <f>A44</f>
        <v>比较价格（元/平方米）</v>
      </c>
      <c r="Q44" s="3506"/>
      <c r="R44" s="3531" t="e">
        <f>ROUND(PRODUCT(R43,AA9:AA42),0)</f>
        <v>#DIV/0!</v>
      </c>
      <c r="S44" s="3531"/>
      <c r="T44" s="3531" t="e">
        <f>ROUND(PRODUCT(T43,AB9:AB42),0)</f>
        <v>#DIV/0!</v>
      </c>
      <c r="U44" s="3531"/>
      <c r="V44" s="3531" t="e">
        <f>ROUND(PRODUCT(V43,AC9:AC42),0)</f>
        <v>#DIV/0!</v>
      </c>
      <c r="W44" s="3531"/>
      <c r="X44" s="1494"/>
      <c r="Y44" s="1494"/>
      <c r="Z44" s="1494"/>
      <c r="AA44" s="1494"/>
      <c r="AB44" s="1494"/>
      <c r="AC44" s="1494"/>
    </row>
    <row r="45" spans="1:29" ht="15.75" thickBot="1">
      <c r="A45" s="612" t="s">
        <v>2902</v>
      </c>
      <c r="B45" s="613"/>
      <c r="C45" s="614" t="e">
        <f>R45</f>
        <v>#DIV/0!</v>
      </c>
      <c r="D45" s="614"/>
      <c r="E45" s="614"/>
      <c r="F45" s="614"/>
      <c r="G45" s="614"/>
      <c r="H45" s="614"/>
      <c r="I45" s="614"/>
      <c r="J45" s="614"/>
      <c r="K45" s="1294"/>
      <c r="L45" s="2024"/>
      <c r="M45" s="2014"/>
      <c r="N45" s="2014"/>
      <c r="O45" s="2025"/>
      <c r="P45" s="3528" t="str">
        <f>A45</f>
        <v>估价对象XX用房的比较价格（楼面单价，元/平方米）</v>
      </c>
      <c r="Q45" s="3529"/>
      <c r="R45" s="3537" t="e">
        <f>ROUND(IF(D44="简单平均",AVERAGE(R44:W44),R44*F44+T44*H44+V44*J44),0)</f>
        <v>#DIV/0!</v>
      </c>
      <c r="S45" s="3537"/>
      <c r="T45" s="3537"/>
      <c r="U45" s="3537"/>
      <c r="V45" s="3537"/>
      <c r="W45" s="3537"/>
      <c r="X45" s="1494"/>
      <c r="Y45" s="1494"/>
      <c r="Z45" s="1494"/>
      <c r="AA45" s="1494"/>
      <c r="AB45" s="1494"/>
      <c r="AC45" s="1494"/>
    </row>
    <row r="46" spans="1:29">
      <c r="A46" s="3208"/>
      <c r="B46" s="3208"/>
      <c r="C46" s="3208"/>
      <c r="D46" s="3208"/>
      <c r="E46" s="3208"/>
      <c r="F46" s="3208"/>
      <c r="G46" s="3210"/>
      <c r="H46" s="3208"/>
      <c r="I46" s="3208"/>
      <c r="J46" s="3208"/>
      <c r="K46" s="3211"/>
      <c r="L46" s="2029"/>
      <c r="M46" s="2014"/>
      <c r="N46" s="2014"/>
      <c r="O46" s="2025"/>
      <c r="P46" s="2025"/>
      <c r="Q46" s="2025"/>
      <c r="R46" s="2025"/>
      <c r="S46" s="2025"/>
      <c r="T46" s="2025"/>
      <c r="U46" s="2025"/>
      <c r="V46" s="2025"/>
      <c r="W46" s="2025"/>
      <c r="X46" s="2025"/>
      <c r="Y46" s="2025"/>
      <c r="Z46" s="2025"/>
      <c r="AA46" s="2025"/>
      <c r="AB46" s="2025"/>
      <c r="AC46" s="2025"/>
    </row>
    <row r="47" spans="1:29">
      <c r="A47" s="3208"/>
      <c r="B47" s="3208"/>
      <c r="C47" s="3208"/>
      <c r="D47" s="3208"/>
      <c r="E47" s="3208"/>
      <c r="F47" s="3208"/>
      <c r="G47" s="3208"/>
      <c r="H47" s="3208"/>
      <c r="I47" s="3208"/>
      <c r="J47" s="3208"/>
      <c r="K47" s="3211"/>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8"/>
      <c r="B48" s="3208"/>
      <c r="C48" s="615" t="s">
        <v>550</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1"/>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8"/>
      <c r="B49" s="3208"/>
      <c r="C49" s="615" t="s">
        <v>551</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1"/>
      <c r="L49" s="2029"/>
      <c r="M49" s="2025"/>
      <c r="N49" s="2025"/>
      <c r="O49" s="2025"/>
      <c r="P49" s="2025"/>
      <c r="Q49" s="2025"/>
      <c r="R49" s="2025"/>
      <c r="S49" s="2025"/>
      <c r="T49" s="2025"/>
      <c r="U49" s="2025"/>
      <c r="V49" s="2025"/>
      <c r="W49" s="2025"/>
      <c r="X49" s="2025"/>
      <c r="Y49" s="2025"/>
      <c r="Z49" s="2025"/>
      <c r="AA49" s="2025"/>
      <c r="AB49" s="2025"/>
      <c r="AC49" s="2025"/>
    </row>
    <row r="50" spans="1:29" s="1297" customFormat="1" ht="13.5" customHeight="1">
      <c r="A50" s="3209"/>
      <c r="B50" s="3209"/>
      <c r="C50" s="615" t="s">
        <v>552</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2"/>
      <c r="L50" s="2032"/>
      <c r="M50" s="2026"/>
      <c r="N50" s="2026"/>
      <c r="O50" s="2026"/>
      <c r="P50" s="2026"/>
      <c r="Q50" s="2026"/>
      <c r="R50" s="2026"/>
      <c r="S50" s="2026"/>
      <c r="T50" s="2026"/>
      <c r="U50" s="2026"/>
      <c r="V50" s="2026"/>
      <c r="W50" s="2026"/>
      <c r="X50" s="2026"/>
      <c r="Y50" s="2026"/>
      <c r="Z50" s="2026"/>
      <c r="AA50" s="2026"/>
      <c r="AB50" s="2026"/>
      <c r="AC50" s="2026"/>
    </row>
    <row r="51" spans="1:29" s="1297" customFormat="1" ht="15" thickBot="1">
      <c r="A51" s="3209"/>
      <c r="B51" s="3220"/>
      <c r="C51" s="2030"/>
      <c r="D51" s="2026"/>
      <c r="E51" s="2026"/>
      <c r="F51" s="2026"/>
      <c r="G51" s="2026"/>
      <c r="H51" s="2026"/>
      <c r="I51" s="2026"/>
      <c r="J51" s="2026"/>
      <c r="K51" s="3212"/>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553</v>
      </c>
      <c r="B52" s="621" t="s">
        <v>554</v>
      </c>
      <c r="C52" s="1495" t="s">
        <v>1714</v>
      </c>
      <c r="D52" s="2105" t="s">
        <v>2280</v>
      </c>
      <c r="E52" s="622" t="s">
        <v>555</v>
      </c>
      <c r="F52" s="1863" t="s">
        <v>556</v>
      </c>
      <c r="G52" s="3532" t="s">
        <v>2271</v>
      </c>
      <c r="H52" s="3533"/>
      <c r="I52" s="1864" t="s">
        <v>1933</v>
      </c>
      <c r="J52" s="1491" t="str">
        <f>项目基本情况!F41</f>
        <v>四川省内江市</v>
      </c>
      <c r="K52" s="2033" t="s">
        <v>1713</v>
      </c>
      <c r="L52" s="2029"/>
      <c r="M52" s="2025"/>
      <c r="N52" s="2025"/>
      <c r="O52" s="2025"/>
      <c r="P52" s="2025"/>
      <c r="Q52" s="2025"/>
      <c r="R52" s="2025"/>
      <c r="S52" s="2025"/>
      <c r="T52" s="2025"/>
      <c r="U52" s="2025"/>
      <c r="V52" s="2025"/>
      <c r="W52" s="2025"/>
      <c r="X52" s="2025"/>
      <c r="Y52" s="2025"/>
      <c r="Z52" s="2025"/>
      <c r="AA52" s="2025"/>
      <c r="AB52" s="2025"/>
      <c r="AC52" s="2025"/>
    </row>
    <row r="53" spans="1:29" s="1298" customFormat="1" ht="12.75">
      <c r="A53" s="624" t="s">
        <v>557</v>
      </c>
      <c r="B53" s="625" t="e">
        <f>C45</f>
        <v>#DIV/0!</v>
      </c>
      <c r="C53" s="626">
        <v>1</v>
      </c>
      <c r="D53" s="2106">
        <v>1</v>
      </c>
      <c r="E53" s="626">
        <f>'数据-汇总表'!E8+'数据-汇总表'!E9</f>
        <v>129253.17999999998</v>
      </c>
      <c r="F53" s="1862" t="e">
        <f t="shared" ref="F53:F62" si="15">ROUND(B53*E53/10000,0)</f>
        <v>#DIV/0!</v>
      </c>
      <c r="G53" s="3534"/>
      <c r="H53" s="3535"/>
      <c r="I53" s="1865">
        <v>1</v>
      </c>
      <c r="J53" s="1492">
        <v>1</v>
      </c>
      <c r="K53" s="3213"/>
      <c r="L53" s="2034"/>
      <c r="M53" s="2034"/>
      <c r="N53" s="2034"/>
      <c r="O53" s="2034"/>
      <c r="P53" s="2034"/>
      <c r="Q53" s="2034"/>
      <c r="R53" s="2034"/>
      <c r="S53" s="2034"/>
      <c r="T53" s="2034"/>
      <c r="U53" s="2034"/>
      <c r="V53" s="2034"/>
      <c r="W53" s="2034"/>
      <c r="X53" s="2034"/>
      <c r="Y53" s="2034"/>
      <c r="Z53" s="2034"/>
      <c r="AA53" s="2034"/>
      <c r="AB53" s="2034"/>
      <c r="AC53" s="2034"/>
    </row>
    <row r="54" spans="1:29" s="1298" customFormat="1" ht="12.75">
      <c r="A54" s="628" t="s">
        <v>558</v>
      </c>
      <c r="B54" s="629" t="e">
        <f>ROUND($C$45*C54*D54,0)</f>
        <v>#DIV/0!</v>
      </c>
      <c r="C54" s="371">
        <f t="shared" ref="C54:C62" si="16">IF($C$52="北京市系数",I54,J54)</f>
        <v>0</v>
      </c>
      <c r="D54" s="2107">
        <v>0.25</v>
      </c>
      <c r="E54" s="630"/>
      <c r="F54" s="1862" t="e">
        <f t="shared" si="15"/>
        <v>#DIV/0!</v>
      </c>
      <c r="G54" s="3536" t="s">
        <v>2272</v>
      </c>
      <c r="H54" s="1866">
        <f>项目基本情况!B43</f>
        <v>0</v>
      </c>
      <c r="I54" s="1865">
        <f>SUMIF(修正!$A$45:$A$56,H54,修正!B45:B56)</f>
        <v>0</v>
      </c>
      <c r="J54" s="1493"/>
      <c r="K54" s="3213"/>
      <c r="L54" s="2034"/>
      <c r="M54" s="2034"/>
      <c r="N54" s="2034"/>
      <c r="O54" s="2034"/>
      <c r="P54" s="2034"/>
      <c r="Q54" s="2034"/>
      <c r="R54" s="2034"/>
      <c r="S54" s="2034"/>
      <c r="T54" s="2034"/>
      <c r="U54" s="2034"/>
      <c r="V54" s="2034"/>
      <c r="W54" s="2034"/>
      <c r="X54" s="2034"/>
      <c r="Y54" s="2034"/>
      <c r="Z54" s="2034"/>
      <c r="AA54" s="2034"/>
      <c r="AB54" s="2034"/>
      <c r="AC54" s="2034"/>
    </row>
    <row r="55" spans="1:29" s="1298" customFormat="1" ht="12.75">
      <c r="A55" s="628" t="s">
        <v>559</v>
      </c>
      <c r="B55" s="629" t="e">
        <f t="shared" ref="B55:B62" si="17">ROUND($C$45*C55*D55,0)</f>
        <v>#DIV/0!</v>
      </c>
      <c r="C55" s="371">
        <f t="shared" si="16"/>
        <v>0</v>
      </c>
      <c r="D55" s="2107">
        <v>0.25</v>
      </c>
      <c r="E55" s="630"/>
      <c r="F55" s="1862" t="e">
        <f t="shared" si="15"/>
        <v>#DIV/0!</v>
      </c>
      <c r="G55" s="3536"/>
      <c r="H55" s="1867">
        <f>项目基本情况!B43</f>
        <v>0</v>
      </c>
      <c r="I55" s="1865">
        <f>SUMIF(修正!$A$45:$A$56,H55,修正!C45:C56)</f>
        <v>0</v>
      </c>
      <c r="J55" s="1493"/>
      <c r="K55" s="3213"/>
      <c r="L55" s="2034"/>
      <c r="M55" s="2034"/>
      <c r="N55" s="2034"/>
      <c r="O55" s="2034"/>
      <c r="P55" s="2034"/>
      <c r="Q55" s="2034"/>
      <c r="R55" s="2034"/>
      <c r="S55" s="2034"/>
      <c r="T55" s="2034"/>
      <c r="U55" s="2034"/>
      <c r="V55" s="2034"/>
      <c r="W55" s="2034"/>
      <c r="X55" s="2034"/>
      <c r="Y55" s="2034"/>
      <c r="Z55" s="2034"/>
      <c r="AA55" s="2034"/>
      <c r="AB55" s="2034"/>
      <c r="AC55" s="2034"/>
    </row>
    <row r="56" spans="1:29" s="1298" customFormat="1" ht="12.75">
      <c r="A56" s="628" t="s">
        <v>560</v>
      </c>
      <c r="B56" s="629" t="e">
        <f t="shared" si="17"/>
        <v>#DIV/0!</v>
      </c>
      <c r="C56" s="371">
        <f t="shared" si="16"/>
        <v>0</v>
      </c>
      <c r="D56" s="2107">
        <v>0.25</v>
      </c>
      <c r="E56" s="630"/>
      <c r="F56" s="1862" t="e">
        <f t="shared" si="15"/>
        <v>#DIV/0!</v>
      </c>
      <c r="G56" s="3536"/>
      <c r="H56" s="1867">
        <f>项目基本情况!B43</f>
        <v>0</v>
      </c>
      <c r="I56" s="1865">
        <f>SUMIF(修正!$A$45:$A$56,H56,修正!D45:D56)</f>
        <v>0</v>
      </c>
      <c r="J56" s="1493"/>
      <c r="K56" s="3213"/>
      <c r="L56" s="2034"/>
      <c r="M56" s="2034"/>
      <c r="N56" s="2034"/>
      <c r="O56" s="2034"/>
      <c r="P56" s="2034"/>
      <c r="Q56" s="2034"/>
      <c r="R56" s="2034"/>
      <c r="S56" s="2034"/>
      <c r="T56" s="2034"/>
      <c r="U56" s="2034"/>
      <c r="V56" s="2034"/>
      <c r="W56" s="2034"/>
      <c r="X56" s="2034"/>
      <c r="Y56" s="2034"/>
      <c r="Z56" s="2034"/>
      <c r="AA56" s="2034"/>
      <c r="AB56" s="2034"/>
      <c r="AC56" s="2034"/>
    </row>
    <row r="57" spans="1:29" s="1298" customFormat="1" ht="12.75">
      <c r="A57" s="628" t="s">
        <v>561</v>
      </c>
      <c r="B57" s="629" t="e">
        <f t="shared" si="17"/>
        <v>#DIV/0!</v>
      </c>
      <c r="C57" s="371">
        <f t="shared" si="16"/>
        <v>0</v>
      </c>
      <c r="D57" s="2107">
        <v>0.25</v>
      </c>
      <c r="E57" s="630"/>
      <c r="F57" s="1862" t="e">
        <f t="shared" si="15"/>
        <v>#DIV/0!</v>
      </c>
      <c r="G57" s="3536"/>
      <c r="H57" s="1867">
        <f>项目基本情况!B43</f>
        <v>0</v>
      </c>
      <c r="I57" s="1865">
        <f>SUMIF(修正!$A$45:$A$56,H57,修正!E45:E56)</f>
        <v>0</v>
      </c>
      <c r="J57" s="1493"/>
      <c r="K57" s="3213"/>
      <c r="L57" s="2034"/>
      <c r="M57" s="2034"/>
      <c r="N57" s="2034"/>
      <c r="O57" s="2034"/>
      <c r="P57" s="2034"/>
      <c r="Q57" s="2034"/>
      <c r="R57" s="2034"/>
      <c r="S57" s="2034"/>
      <c r="T57" s="2034"/>
      <c r="U57" s="2034"/>
      <c r="V57" s="2034"/>
      <c r="W57" s="2034"/>
      <c r="X57" s="2034"/>
      <c r="Y57" s="2034"/>
      <c r="Z57" s="2034"/>
      <c r="AA57" s="2034"/>
      <c r="AB57" s="2034"/>
      <c r="AC57" s="2034"/>
    </row>
    <row r="58" spans="1:29" s="1298" customFormat="1" ht="12.75">
      <c r="A58" s="2209" t="s">
        <v>2315</v>
      </c>
      <c r="B58" s="629" t="e">
        <f t="shared" si="17"/>
        <v>#DIV/0!</v>
      </c>
      <c r="C58" s="371">
        <f t="shared" si="16"/>
        <v>0</v>
      </c>
      <c r="D58" s="2107">
        <v>0.25</v>
      </c>
      <c r="E58" s="632">
        <f>'数据-汇总表'!E11</f>
        <v>203.63</v>
      </c>
      <c r="F58" s="1862" t="e">
        <f t="shared" si="15"/>
        <v>#DIV/0!</v>
      </c>
      <c r="G58" s="1868" t="s">
        <v>2273</v>
      </c>
      <c r="H58" s="1867">
        <f>项目基本情况!C43</f>
        <v>0</v>
      </c>
      <c r="I58" s="1865">
        <f>SUMIF(修正!$A$45:$A$56,H58,修正!F45:F56)</f>
        <v>0</v>
      </c>
      <c r="J58" s="1493"/>
      <c r="K58" s="3213"/>
      <c r="L58" s="2034"/>
      <c r="M58" s="2034"/>
      <c r="N58" s="2034"/>
      <c r="O58" s="2034"/>
      <c r="P58" s="2034"/>
      <c r="Q58" s="2034"/>
      <c r="R58" s="2034"/>
      <c r="S58" s="2034"/>
      <c r="T58" s="2034"/>
      <c r="U58" s="2034"/>
      <c r="V58" s="2034"/>
      <c r="W58" s="2034"/>
      <c r="X58" s="2034"/>
      <c r="Y58" s="2034"/>
      <c r="Z58" s="2034"/>
      <c r="AA58" s="2034"/>
      <c r="AB58" s="2034"/>
      <c r="AC58" s="2034"/>
    </row>
    <row r="59" spans="1:29" s="1298" customFormat="1" ht="12.75">
      <c r="A59" s="628" t="s">
        <v>562</v>
      </c>
      <c r="B59" s="629" t="e">
        <f t="shared" si="17"/>
        <v>#DIV/0!</v>
      </c>
      <c r="C59" s="371">
        <f t="shared" si="16"/>
        <v>0</v>
      </c>
      <c r="D59" s="2107">
        <v>0.25</v>
      </c>
      <c r="E59" s="632">
        <f>'数据-汇总表'!E12</f>
        <v>0</v>
      </c>
      <c r="F59" s="1862" t="e">
        <f t="shared" si="15"/>
        <v>#DIV/0!</v>
      </c>
      <c r="G59" s="1858" t="s">
        <v>1667</v>
      </c>
      <c r="H59" s="1866">
        <f>IF(G59="商业",项目基本情况!B43,IF(G59="办公",项目基本情况!C43,IF(G59="住宅",项目基本情况!D43,项目基本情况!E43)))</f>
        <v>0</v>
      </c>
      <c r="I59" s="1865">
        <f>SUMIF(修正!$A$45:$A$56,H59,修正!G45:G56)</f>
        <v>0</v>
      </c>
      <c r="J59" s="1493"/>
      <c r="K59" s="3213"/>
      <c r="L59" s="2034"/>
      <c r="M59" s="2034"/>
      <c r="N59" s="2034"/>
      <c r="O59" s="2034"/>
      <c r="P59" s="2034"/>
      <c r="Q59" s="2034"/>
      <c r="R59" s="2034"/>
      <c r="S59" s="2034"/>
      <c r="T59" s="2034"/>
      <c r="U59" s="2034"/>
      <c r="V59" s="2034"/>
      <c r="W59" s="2034"/>
      <c r="X59" s="2034"/>
      <c r="Y59" s="2034"/>
      <c r="Z59" s="2034"/>
      <c r="AA59" s="2034"/>
      <c r="AB59" s="2034"/>
      <c r="AC59" s="2034"/>
    </row>
    <row r="60" spans="1:29" s="1298" customFormat="1" ht="12.75">
      <c r="A60" s="628" t="s">
        <v>563</v>
      </c>
      <c r="B60" s="629" t="e">
        <f t="shared" si="17"/>
        <v>#DIV/0!</v>
      </c>
      <c r="C60" s="371">
        <f t="shared" si="16"/>
        <v>0</v>
      </c>
      <c r="D60" s="2107">
        <v>0.25</v>
      </c>
      <c r="E60" s="632">
        <f>'数据-汇总表'!E13</f>
        <v>38058.699999999997</v>
      </c>
      <c r="F60" s="1862" t="e">
        <f t="shared" si="15"/>
        <v>#DIV/0!</v>
      </c>
      <c r="G60" s="1858" t="s">
        <v>913</v>
      </c>
      <c r="H60" s="1866">
        <f>IF(G60="商业",项目基本情况!B43,IF(G60="办公",项目基本情况!C43,IF(G60="住宅",项目基本情况!D43,项目基本情况!E43)))</f>
        <v>0</v>
      </c>
      <c r="I60" s="1865">
        <f>SUMIF(修正!$A$45:$A$56,H60,修正!H45:H56)</f>
        <v>0</v>
      </c>
      <c r="J60" s="1493"/>
      <c r="K60" s="3213"/>
      <c r="L60" s="2034"/>
      <c r="M60" s="2034"/>
      <c r="N60" s="2034"/>
      <c r="O60" s="2034"/>
      <c r="P60" s="2034"/>
      <c r="Q60" s="2034"/>
      <c r="R60" s="2034"/>
      <c r="S60" s="2034"/>
      <c r="T60" s="2034"/>
      <c r="U60" s="2034"/>
      <c r="V60" s="2034"/>
      <c r="W60" s="2034"/>
      <c r="X60" s="2034"/>
      <c r="Y60" s="2034"/>
      <c r="Z60" s="2034"/>
      <c r="AA60" s="2034"/>
      <c r="AB60" s="2034"/>
      <c r="AC60" s="2034"/>
    </row>
    <row r="61" spans="1:29" s="1298" customFormat="1" ht="12.75">
      <c r="A61" s="628" t="s">
        <v>564</v>
      </c>
      <c r="B61" s="629" t="e">
        <f t="shared" si="17"/>
        <v>#DIV/0!</v>
      </c>
      <c r="C61" s="371">
        <f t="shared" si="16"/>
        <v>0</v>
      </c>
      <c r="D61" s="2107">
        <v>0.25</v>
      </c>
      <c r="E61" s="632">
        <f>'数据-汇总表'!E14</f>
        <v>0</v>
      </c>
      <c r="F61" s="1862" t="e">
        <f t="shared" si="15"/>
        <v>#DIV/0!</v>
      </c>
      <c r="G61" s="1868" t="s">
        <v>2272</v>
      </c>
      <c r="H61" s="1867">
        <f>项目基本情况!B43</f>
        <v>0</v>
      </c>
      <c r="I61" s="1865">
        <f>SUMIF(修正!$A$45:$A$56,H61,修正!H45:H56)</f>
        <v>0</v>
      </c>
      <c r="J61" s="1493"/>
      <c r="K61" s="3213"/>
      <c r="L61" s="2034"/>
      <c r="M61" s="2034"/>
      <c r="N61" s="2034"/>
      <c r="O61" s="2034"/>
      <c r="P61" s="2034"/>
      <c r="Q61" s="2034"/>
      <c r="R61" s="2034"/>
      <c r="S61" s="2034"/>
      <c r="T61" s="2034"/>
      <c r="U61" s="2034"/>
      <c r="V61" s="2034"/>
      <c r="W61" s="2034"/>
      <c r="X61" s="2034"/>
      <c r="Y61" s="2034"/>
      <c r="Z61" s="2034"/>
      <c r="AA61" s="2034"/>
      <c r="AB61" s="2034"/>
      <c r="AC61" s="2034"/>
    </row>
    <row r="62" spans="1:29" s="1298" customFormat="1" ht="13.5" thickBot="1">
      <c r="A62" s="628" t="s">
        <v>565</v>
      </c>
      <c r="B62" s="629" t="e">
        <f t="shared" si="17"/>
        <v>#DIV/0!</v>
      </c>
      <c r="C62" s="371">
        <f t="shared" si="16"/>
        <v>0</v>
      </c>
      <c r="D62" s="2107">
        <v>0.25</v>
      </c>
      <c r="E62" s="632">
        <f>'数据-汇总表'!E15</f>
        <v>0</v>
      </c>
      <c r="F62" s="1862" t="e">
        <f t="shared" si="15"/>
        <v>#DIV/0!</v>
      </c>
      <c r="G62" s="1869" t="s">
        <v>2273</v>
      </c>
      <c r="H62" s="1870">
        <f>项目基本情况!C43</f>
        <v>0</v>
      </c>
      <c r="I62" s="1865">
        <f>SUMIF(修正!$A$45:$A$56,H62,修正!H45:H56)</f>
        <v>0</v>
      </c>
      <c r="J62" s="1493"/>
      <c r="K62" s="3213"/>
      <c r="L62" s="2034"/>
      <c r="M62" s="2034"/>
      <c r="N62" s="2034"/>
      <c r="O62" s="2034"/>
      <c r="P62" s="2034"/>
      <c r="Q62" s="2034"/>
      <c r="R62" s="2034"/>
      <c r="S62" s="2034"/>
      <c r="T62" s="2034"/>
      <c r="U62" s="2034"/>
      <c r="V62" s="2034"/>
      <c r="W62" s="2034"/>
      <c r="X62" s="2034"/>
      <c r="Y62" s="2034"/>
      <c r="Z62" s="2034"/>
      <c r="AA62" s="2034"/>
      <c r="AB62" s="2034"/>
      <c r="AC62" s="2034"/>
    </row>
    <row r="63" spans="1:29" s="1298" customFormat="1" ht="13.5" thickBot="1">
      <c r="A63" s="633" t="s">
        <v>566</v>
      </c>
      <c r="B63" s="634" t="s">
        <v>17</v>
      </c>
      <c r="C63" s="634" t="s">
        <v>18</v>
      </c>
      <c r="D63" s="634" t="s">
        <v>2281</v>
      </c>
      <c r="E63" s="634">
        <f>IF(B43="楼面地价",SUM(E53:E62),'数据-汇总表'!D3)</f>
        <v>59775.26</v>
      </c>
      <c r="F63" s="635" t="e">
        <f>IF(B43="楼面地价",SUM(F53:F62),ROUND(C45*E63/10000,0))</f>
        <v>#DIV/0!</v>
      </c>
      <c r="G63" s="2035"/>
      <c r="H63" s="2035"/>
      <c r="I63" s="2035"/>
      <c r="J63" s="2035"/>
      <c r="K63" s="3221"/>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2021-2-1</v>
      </c>
      <c r="D65" s="2514">
        <f>EDATE(C65,-3)</f>
        <v>44136</v>
      </c>
      <c r="E65" s="2514">
        <f t="shared" ref="E65:N65" si="18">EDATE(D65,-3)</f>
        <v>44044</v>
      </c>
      <c r="F65" s="2514">
        <f t="shared" si="18"/>
        <v>43952</v>
      </c>
      <c r="G65" s="2514">
        <f t="shared" si="18"/>
        <v>43862</v>
      </c>
      <c r="H65" s="2514">
        <f t="shared" si="18"/>
        <v>43770</v>
      </c>
      <c r="I65" s="2514">
        <f t="shared" si="18"/>
        <v>43678</v>
      </c>
      <c r="J65" s="2514">
        <f t="shared" si="18"/>
        <v>43586</v>
      </c>
      <c r="K65" s="2514">
        <f t="shared" si="18"/>
        <v>43497</v>
      </c>
      <c r="L65" s="2514">
        <f t="shared" si="18"/>
        <v>43405</v>
      </c>
      <c r="M65" s="2514">
        <f t="shared" si="18"/>
        <v>43313</v>
      </c>
      <c r="N65" s="2514">
        <f t="shared" si="18"/>
        <v>43221</v>
      </c>
      <c r="O65" s="2025"/>
      <c r="P65" s="2025"/>
      <c r="Q65" s="2025"/>
      <c r="R65" s="2025"/>
      <c r="S65" s="2025"/>
      <c r="T65" s="2025"/>
      <c r="U65" s="2025"/>
      <c r="V65" s="2025"/>
      <c r="W65" s="2025"/>
      <c r="X65" s="2025"/>
      <c r="Y65" s="2025"/>
      <c r="Z65" s="2025"/>
      <c r="AA65" s="2025"/>
      <c r="AB65" s="2025"/>
      <c r="AC65" s="2025"/>
    </row>
    <row r="66" spans="1:29" ht="21.75" thickBot="1">
      <c r="A66" s="1516" t="s">
        <v>567</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9" customFormat="1" ht="15">
      <c r="A67" s="2419" t="s">
        <v>2514</v>
      </c>
      <c r="B67" s="637"/>
      <c r="C67" s="2511" t="str">
        <f>YEAR(C65)&amp;"-"&amp;ROUNDUP(MONTH(C65)/3,0)</f>
        <v>2021-1</v>
      </c>
      <c r="D67" s="2516" t="str">
        <f t="shared" ref="D67:N67" si="19">YEAR(D65)&amp;"-"&amp;ROUNDUP(MONTH(D65)/3,0)</f>
        <v>2020-4</v>
      </c>
      <c r="E67" s="2516" t="str">
        <f t="shared" si="19"/>
        <v>2020-3</v>
      </c>
      <c r="F67" s="2516" t="str">
        <f t="shared" si="19"/>
        <v>2020-2</v>
      </c>
      <c r="G67" s="2516" t="str">
        <f t="shared" si="19"/>
        <v>2020-1</v>
      </c>
      <c r="H67" s="2516" t="str">
        <f t="shared" si="19"/>
        <v>2019-4</v>
      </c>
      <c r="I67" s="2516" t="str">
        <f t="shared" si="19"/>
        <v>2019-3</v>
      </c>
      <c r="J67" s="2516" t="str">
        <f t="shared" si="19"/>
        <v>2019-2</v>
      </c>
      <c r="K67" s="2516" t="str">
        <f t="shared" si="19"/>
        <v>2019-1</v>
      </c>
      <c r="L67" s="2516" t="str">
        <f t="shared" si="19"/>
        <v>2018-4</v>
      </c>
      <c r="M67" s="2516" t="str">
        <f t="shared" si="19"/>
        <v>2018-3</v>
      </c>
      <c r="N67" s="2516" t="str">
        <f t="shared" si="19"/>
        <v>2018-2</v>
      </c>
      <c r="O67" s="2038"/>
      <c r="P67" s="2039"/>
      <c r="Q67" s="2040"/>
      <c r="R67" s="2040"/>
      <c r="S67" s="2040"/>
      <c r="T67" s="2040"/>
      <c r="U67" s="2040"/>
      <c r="V67" s="2040"/>
      <c r="W67" s="2040"/>
      <c r="X67" s="2040"/>
      <c r="Y67" s="2040"/>
      <c r="Z67" s="2040"/>
      <c r="AA67" s="2040"/>
      <c r="AB67" s="2040"/>
      <c r="AC67" s="2040"/>
    </row>
    <row r="68" spans="1:29" s="1202" customFormat="1" ht="27.75" customHeight="1">
      <c r="A68" s="2513" t="s">
        <v>2629</v>
      </c>
      <c r="B68" s="472" t="str">
        <f>"北京市平均增长率"&amp;TEXT(基准地价!P24,"0.00%")</f>
        <v>北京市平均增长率0.00%</v>
      </c>
      <c r="C68" s="882">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2" customFormat="1" ht="15.75" thickBot="1">
      <c r="A69" s="644" t="s">
        <v>568</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2" customFormat="1" ht="15">
      <c r="A70" s="650" t="s">
        <v>524</v>
      </c>
      <c r="B70" s="639"/>
      <c r="C70" s="651" t="s">
        <v>569</v>
      </c>
      <c r="D70" s="652"/>
      <c r="E70" s="652"/>
      <c r="F70" s="652"/>
      <c r="G70" s="652"/>
      <c r="H70" s="652"/>
      <c r="I70" s="652"/>
      <c r="J70" s="652"/>
      <c r="K70" s="652"/>
      <c r="L70" s="653"/>
      <c r="M70" s="654"/>
      <c r="N70" s="3222"/>
      <c r="O70" s="2041"/>
      <c r="P70" s="2042"/>
      <c r="Q70" s="2037"/>
      <c r="R70" s="1903"/>
      <c r="S70" s="1903"/>
      <c r="T70" s="1903"/>
      <c r="U70" s="1903"/>
      <c r="V70" s="1903"/>
      <c r="W70" s="1903"/>
      <c r="X70" s="1903"/>
      <c r="Y70" s="1903"/>
      <c r="Z70" s="1903"/>
      <c r="AA70" s="1903"/>
      <c r="AB70" s="1903"/>
      <c r="AC70" s="1903"/>
    </row>
    <row r="71" spans="1:29" s="1202" customFormat="1" ht="15.75" thickBot="1">
      <c r="A71" s="650"/>
      <c r="B71" s="639"/>
      <c r="C71" s="640">
        <v>100</v>
      </c>
      <c r="D71" s="641"/>
      <c r="E71" s="641"/>
      <c r="F71" s="641"/>
      <c r="G71" s="641"/>
      <c r="H71" s="641"/>
      <c r="I71" s="641"/>
      <c r="J71" s="641"/>
      <c r="K71" s="641"/>
      <c r="L71" s="641"/>
      <c r="M71" s="643"/>
      <c r="N71" s="3222"/>
      <c r="O71" s="2041"/>
      <c r="P71" s="2037"/>
      <c r="Q71" s="2037"/>
      <c r="R71" s="1903"/>
      <c r="S71" s="1903"/>
      <c r="T71" s="1903"/>
      <c r="U71" s="1903"/>
      <c r="V71" s="1903"/>
      <c r="W71" s="1903"/>
      <c r="X71" s="1903"/>
      <c r="Y71" s="1903"/>
      <c r="Z71" s="1903"/>
      <c r="AA71" s="1903"/>
      <c r="AB71" s="1903"/>
      <c r="AC71" s="1903"/>
    </row>
    <row r="72" spans="1:29">
      <c r="A72" s="655" t="s">
        <v>570</v>
      </c>
      <c r="B72" s="656" t="s">
        <v>527</v>
      </c>
      <c r="C72" s="591"/>
      <c r="D72" s="591"/>
      <c r="E72" s="591"/>
      <c r="F72" s="591"/>
      <c r="G72" s="591"/>
      <c r="H72" s="591"/>
      <c r="I72" s="591"/>
      <c r="J72" s="591"/>
      <c r="K72" s="657"/>
      <c r="L72" s="658"/>
      <c r="M72" s="659"/>
      <c r="N72" s="3223"/>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4"/>
      <c r="O73" s="2045"/>
      <c r="P73" s="2044"/>
      <c r="Q73" s="2037"/>
      <c r="R73" s="2025"/>
      <c r="S73" s="2025"/>
      <c r="T73" s="2025"/>
      <c r="U73" s="2025"/>
      <c r="V73" s="2025"/>
      <c r="W73" s="2025"/>
      <c r="X73" s="2025"/>
      <c r="Y73" s="2025"/>
      <c r="Z73" s="2025"/>
      <c r="AA73" s="2025"/>
      <c r="AB73" s="2025"/>
      <c r="AC73" s="2025"/>
    </row>
    <row r="74" spans="1:29" ht="27.75" thickTop="1">
      <c r="A74" s="660"/>
      <c r="B74" s="664" t="s">
        <v>530</v>
      </c>
      <c r="C74" s="665"/>
      <c r="D74" s="665"/>
      <c r="E74" s="665"/>
      <c r="F74" s="665"/>
      <c r="G74" s="665"/>
      <c r="H74" s="665"/>
      <c r="I74" s="665"/>
      <c r="J74" s="665"/>
      <c r="K74" s="666"/>
      <c r="L74" s="667"/>
      <c r="M74" s="668"/>
      <c r="N74" s="3223"/>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4"/>
      <c r="O75" s="2045"/>
      <c r="P75" s="2044"/>
      <c r="Q75" s="2037"/>
      <c r="R75" s="2025"/>
      <c r="S75" s="2025"/>
      <c r="T75" s="2025"/>
      <c r="U75" s="2025"/>
      <c r="V75" s="2025"/>
      <c r="W75" s="2025"/>
      <c r="X75" s="2025"/>
      <c r="Y75" s="2025"/>
      <c r="Z75" s="2025"/>
      <c r="AA75" s="2025"/>
      <c r="AB75" s="2025"/>
      <c r="AC75" s="2025"/>
    </row>
    <row r="76" spans="1:29" ht="15.75" thickTop="1">
      <c r="A76" s="660"/>
      <c r="B76" s="672" t="s">
        <v>531</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4"/>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3"/>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4"/>
      <c r="O78" s="2045"/>
      <c r="P78" s="2044"/>
      <c r="Q78" s="2037"/>
      <c r="R78" s="2025"/>
      <c r="S78" s="2025"/>
      <c r="T78" s="2025"/>
      <c r="U78" s="2025"/>
      <c r="V78" s="2025"/>
      <c r="W78" s="2025"/>
      <c r="X78" s="2025"/>
      <c r="Y78" s="2025"/>
      <c r="Z78" s="2025"/>
      <c r="AA78" s="2025"/>
      <c r="AB78" s="2025"/>
      <c r="AC78" s="2025"/>
    </row>
    <row r="79" spans="1:29" s="1292" customFormat="1" ht="15.75" thickTop="1">
      <c r="A79" s="678"/>
      <c r="B79" s="664">
        <f>B14</f>
        <v>111</v>
      </c>
      <c r="C79" s="679"/>
      <c r="D79" s="679"/>
      <c r="E79" s="679"/>
      <c r="F79" s="679"/>
      <c r="G79" s="679"/>
      <c r="H79" s="680"/>
      <c r="I79" s="680"/>
      <c r="J79" s="680"/>
      <c r="K79" s="680"/>
      <c r="L79" s="681"/>
      <c r="M79" s="682"/>
      <c r="N79" s="3225"/>
      <c r="O79" s="2046"/>
      <c r="P79" s="2047"/>
      <c r="Q79" s="2048"/>
      <c r="R79" s="2049"/>
      <c r="S79" s="2049"/>
      <c r="T79" s="2049"/>
      <c r="U79" s="2049"/>
      <c r="V79" s="2049"/>
      <c r="W79" s="2049"/>
      <c r="X79" s="2049"/>
      <c r="Y79" s="2049"/>
      <c r="Z79" s="2049"/>
      <c r="AA79" s="2049"/>
      <c r="AB79" s="2049"/>
      <c r="AC79" s="2049"/>
    </row>
    <row r="80" spans="1:29" s="1292" customFormat="1" ht="15.75" thickBot="1">
      <c r="A80" s="678"/>
      <c r="B80" s="669"/>
      <c r="C80" s="683"/>
      <c r="D80" s="662"/>
      <c r="E80" s="662"/>
      <c r="F80" s="662"/>
      <c r="G80" s="662"/>
      <c r="H80" s="662"/>
      <c r="I80" s="662"/>
      <c r="J80" s="662"/>
      <c r="K80" s="662"/>
      <c r="L80" s="662"/>
      <c r="M80" s="663"/>
      <c r="N80" s="3224"/>
      <c r="O80" s="2045"/>
      <c r="P80" s="2047"/>
      <c r="Q80" s="2048"/>
      <c r="R80" s="2049"/>
      <c r="S80" s="2049"/>
      <c r="T80" s="2049"/>
      <c r="U80" s="2049"/>
      <c r="V80" s="2049"/>
      <c r="W80" s="2049"/>
      <c r="X80" s="2049"/>
      <c r="Y80" s="2049"/>
      <c r="Z80" s="2049"/>
      <c r="AA80" s="2049"/>
      <c r="AB80" s="2049"/>
      <c r="AC80" s="2049"/>
    </row>
    <row r="81" spans="1:29" s="1292" customFormat="1" ht="15.75" thickTop="1">
      <c r="A81" s="678"/>
      <c r="B81" s="664">
        <f>B15</f>
        <v>111</v>
      </c>
      <c r="C81" s="679"/>
      <c r="D81" s="679"/>
      <c r="E81" s="679"/>
      <c r="F81" s="679"/>
      <c r="G81" s="679"/>
      <c r="H81" s="680"/>
      <c r="I81" s="680"/>
      <c r="J81" s="680"/>
      <c r="K81" s="680"/>
      <c r="L81" s="681"/>
      <c r="M81" s="682"/>
      <c r="N81" s="3225"/>
      <c r="O81" s="2046"/>
      <c r="P81" s="2050"/>
      <c r="Q81" s="2051"/>
      <c r="R81" s="2049"/>
      <c r="S81" s="2049"/>
      <c r="T81" s="2049"/>
      <c r="U81" s="2049"/>
      <c r="V81" s="2049"/>
      <c r="W81" s="2049"/>
      <c r="X81" s="2049"/>
      <c r="Y81" s="2049"/>
      <c r="Z81" s="2049"/>
      <c r="AA81" s="2049"/>
      <c r="AB81" s="2049"/>
      <c r="AC81" s="2049"/>
    </row>
    <row r="82" spans="1:29" s="1292" customFormat="1" ht="15.75" thickBot="1">
      <c r="A82" s="678"/>
      <c r="B82" s="669"/>
      <c r="C82" s="683"/>
      <c r="D82" s="683"/>
      <c r="E82" s="683"/>
      <c r="F82" s="683"/>
      <c r="G82" s="683"/>
      <c r="H82" s="684"/>
      <c r="I82" s="684"/>
      <c r="J82" s="684"/>
      <c r="K82" s="684"/>
      <c r="L82" s="684"/>
      <c r="M82" s="685"/>
      <c r="N82" s="3225"/>
      <c r="O82" s="2046"/>
      <c r="P82" s="2047"/>
      <c r="Q82" s="2048"/>
      <c r="R82" s="2049"/>
      <c r="S82" s="2049"/>
      <c r="T82" s="2049"/>
      <c r="U82" s="2049"/>
      <c r="V82" s="2049"/>
      <c r="W82" s="2049"/>
      <c r="X82" s="2049"/>
      <c r="Y82" s="2049"/>
      <c r="Z82" s="2049"/>
      <c r="AA82" s="2049"/>
      <c r="AB82" s="2049"/>
      <c r="AC82" s="2049"/>
    </row>
    <row r="83" spans="1:29" s="1292" customFormat="1" ht="15.75" thickTop="1">
      <c r="A83" s="678"/>
      <c r="B83" s="672">
        <f>B16</f>
        <v>111</v>
      </c>
      <c r="C83" s="652"/>
      <c r="D83" s="652"/>
      <c r="E83" s="652"/>
      <c r="F83" s="652"/>
      <c r="G83" s="652"/>
      <c r="H83" s="686"/>
      <c r="I83" s="686"/>
      <c r="J83" s="686"/>
      <c r="K83" s="686"/>
      <c r="L83" s="687"/>
      <c r="M83" s="688"/>
      <c r="N83" s="3225"/>
      <c r="O83" s="2046"/>
      <c r="P83" s="2052"/>
      <c r="Q83" s="2048"/>
      <c r="R83" s="2049"/>
      <c r="S83" s="2049"/>
      <c r="T83" s="2049"/>
      <c r="U83" s="2049"/>
      <c r="V83" s="2049"/>
      <c r="W83" s="2049"/>
      <c r="X83" s="2049"/>
      <c r="Y83" s="2049"/>
      <c r="Z83" s="2049"/>
      <c r="AA83" s="2049"/>
      <c r="AB83" s="2049"/>
      <c r="AC83" s="2049"/>
    </row>
    <row r="84" spans="1:29" s="1292" customFormat="1" ht="15.75" thickBot="1">
      <c r="A84" s="689"/>
      <c r="B84" s="690"/>
      <c r="C84" s="691"/>
      <c r="D84" s="691"/>
      <c r="E84" s="691"/>
      <c r="F84" s="691"/>
      <c r="G84" s="691"/>
      <c r="H84" s="692"/>
      <c r="I84" s="692"/>
      <c r="J84" s="692"/>
      <c r="K84" s="692"/>
      <c r="L84" s="692"/>
      <c r="M84" s="693"/>
      <c r="N84" s="3225"/>
      <c r="O84" s="2046"/>
      <c r="P84" s="2047"/>
      <c r="Q84" s="2048"/>
      <c r="R84" s="2049"/>
      <c r="S84" s="2049"/>
      <c r="T84" s="2049"/>
      <c r="U84" s="2049"/>
      <c r="V84" s="2049"/>
      <c r="W84" s="2049"/>
      <c r="X84" s="2049"/>
      <c r="Y84" s="2049"/>
      <c r="Z84" s="2049"/>
      <c r="AA84" s="2049"/>
      <c r="AB84" s="2049"/>
      <c r="AC84" s="2049"/>
    </row>
    <row r="85" spans="1:29">
      <c r="A85" s="655" t="s">
        <v>532</v>
      </c>
      <c r="B85" s="656" t="s">
        <v>595</v>
      </c>
      <c r="C85" s="694" t="s">
        <v>572</v>
      </c>
      <c r="D85" s="694" t="s">
        <v>573</v>
      </c>
      <c r="E85" s="694" t="s">
        <v>574</v>
      </c>
      <c r="F85" s="694" t="s">
        <v>575</v>
      </c>
      <c r="G85" s="694" t="s">
        <v>576</v>
      </c>
      <c r="H85" s="695"/>
      <c r="I85" s="695"/>
      <c r="J85" s="695"/>
      <c r="K85" s="696"/>
      <c r="L85" s="697"/>
      <c r="M85" s="698"/>
      <c r="N85" s="3223"/>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4"/>
      <c r="O86" s="2045"/>
      <c r="P86" s="2044"/>
      <c r="Q86" s="2037"/>
      <c r="R86" s="2025"/>
      <c r="S86" s="2025"/>
      <c r="T86" s="2025"/>
      <c r="U86" s="2025"/>
      <c r="V86" s="2025"/>
      <c r="W86" s="2025"/>
      <c r="X86" s="2025"/>
      <c r="Y86" s="2025"/>
      <c r="Z86" s="2025"/>
      <c r="AA86" s="2025"/>
      <c r="AB86" s="2025"/>
      <c r="AC86" s="2025"/>
    </row>
    <row r="87" spans="1:29" ht="15.75" thickTop="1">
      <c r="A87" s="660"/>
      <c r="B87" s="664" t="s">
        <v>579</v>
      </c>
      <c r="C87" s="699" t="s">
        <v>572</v>
      </c>
      <c r="D87" s="699" t="s">
        <v>573</v>
      </c>
      <c r="E87" s="699" t="s">
        <v>574</v>
      </c>
      <c r="F87" s="699" t="s">
        <v>575</v>
      </c>
      <c r="G87" s="699" t="s">
        <v>576</v>
      </c>
      <c r="H87" s="665"/>
      <c r="I87" s="665"/>
      <c r="J87" s="665"/>
      <c r="K87" s="666"/>
      <c r="L87" s="667"/>
      <c r="M87" s="668"/>
      <c r="N87" s="3223"/>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4"/>
      <c r="O88" s="2045"/>
      <c r="P88" s="2044"/>
      <c r="Q88" s="2037"/>
      <c r="R88" s="2025"/>
      <c r="S88" s="2025"/>
      <c r="T88" s="2025"/>
      <c r="U88" s="2025"/>
      <c r="V88" s="2025"/>
      <c r="W88" s="2025"/>
      <c r="X88" s="2025"/>
      <c r="Y88" s="2025"/>
      <c r="Z88" s="2025"/>
      <c r="AA88" s="2025"/>
      <c r="AB88" s="2025"/>
      <c r="AC88" s="2025"/>
    </row>
    <row r="89" spans="1:29" s="1202" customFormat="1" ht="27.75" thickTop="1">
      <c r="A89" s="700"/>
      <c r="B89" s="664" t="s">
        <v>580</v>
      </c>
      <c r="C89" s="699" t="s">
        <v>572</v>
      </c>
      <c r="D89" s="699" t="s">
        <v>573</v>
      </c>
      <c r="E89" s="699" t="s">
        <v>574</v>
      </c>
      <c r="F89" s="699" t="s">
        <v>575</v>
      </c>
      <c r="G89" s="699" t="s">
        <v>576</v>
      </c>
      <c r="H89" s="699"/>
      <c r="I89" s="699"/>
      <c r="J89" s="699"/>
      <c r="K89" s="699"/>
      <c r="L89" s="701"/>
      <c r="M89" s="702"/>
      <c r="N89" s="3222"/>
      <c r="O89" s="2041"/>
      <c r="P89" s="2044"/>
      <c r="Q89" s="2037"/>
      <c r="R89" s="1903"/>
      <c r="S89" s="1903"/>
      <c r="T89" s="1903"/>
      <c r="U89" s="1903"/>
      <c r="V89" s="1903"/>
      <c r="W89" s="1903"/>
      <c r="X89" s="1903"/>
      <c r="Y89" s="1903"/>
      <c r="Z89" s="1903"/>
      <c r="AA89" s="1903"/>
      <c r="AB89" s="1903"/>
      <c r="AC89" s="1903"/>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4"/>
      <c r="O90" s="2045"/>
      <c r="P90" s="2044"/>
      <c r="Q90" s="2037"/>
      <c r="R90" s="1903"/>
      <c r="S90" s="1903"/>
      <c r="T90" s="1903"/>
      <c r="U90" s="1903"/>
      <c r="V90" s="1903"/>
      <c r="W90" s="1903"/>
      <c r="X90" s="1903"/>
      <c r="Y90" s="1903"/>
      <c r="Z90" s="1903"/>
      <c r="AA90" s="1903"/>
      <c r="AB90" s="1903"/>
      <c r="AC90" s="1903"/>
    </row>
    <row r="91" spans="1:29" s="1202" customFormat="1" ht="27.75" thickTop="1">
      <c r="A91" s="700"/>
      <c r="B91" s="664" t="s">
        <v>581</v>
      </c>
      <c r="C91" s="694" t="s">
        <v>572</v>
      </c>
      <c r="D91" s="694" t="s">
        <v>573</v>
      </c>
      <c r="E91" s="694" t="s">
        <v>574</v>
      </c>
      <c r="F91" s="694" t="s">
        <v>575</v>
      </c>
      <c r="G91" s="694" t="s">
        <v>576</v>
      </c>
      <c r="H91" s="699"/>
      <c r="I91" s="699"/>
      <c r="J91" s="699"/>
      <c r="K91" s="699"/>
      <c r="L91" s="699"/>
      <c r="M91" s="702"/>
      <c r="N91" s="3222"/>
      <c r="O91" s="2041"/>
      <c r="P91" s="2044"/>
      <c r="Q91" s="2037"/>
      <c r="R91" s="1903"/>
      <c r="S91" s="1903"/>
      <c r="T91" s="1903"/>
      <c r="U91" s="1903"/>
      <c r="V91" s="1903"/>
      <c r="W91" s="1903"/>
      <c r="X91" s="1903"/>
      <c r="Y91" s="1903"/>
      <c r="Z91" s="1903"/>
      <c r="AA91" s="1903"/>
      <c r="AB91" s="1903"/>
      <c r="AC91" s="1903"/>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4"/>
      <c r="O92" s="2045"/>
      <c r="P92" s="2044"/>
      <c r="Q92" s="2037"/>
      <c r="R92" s="1903"/>
      <c r="S92" s="1903"/>
      <c r="T92" s="1903"/>
      <c r="U92" s="1903"/>
      <c r="V92" s="1903"/>
      <c r="W92" s="1903"/>
      <c r="X92" s="1903"/>
      <c r="Y92" s="1903"/>
      <c r="Z92" s="1903"/>
      <c r="AA92" s="1903"/>
      <c r="AB92" s="1903"/>
      <c r="AC92" s="1903"/>
    </row>
    <row r="93" spans="1:29" s="1292" customFormat="1" ht="15.75" thickTop="1">
      <c r="A93" s="678"/>
      <c r="B93" s="1808" t="s">
        <v>2529</v>
      </c>
      <c r="C93" s="694" t="s">
        <v>572</v>
      </c>
      <c r="D93" s="694" t="s">
        <v>573</v>
      </c>
      <c r="E93" s="694" t="s">
        <v>574</v>
      </c>
      <c r="F93" s="694" t="s">
        <v>575</v>
      </c>
      <c r="G93" s="694" t="s">
        <v>576</v>
      </c>
      <c r="H93" s="704"/>
      <c r="I93" s="704"/>
      <c r="J93" s="704"/>
      <c r="K93" s="704"/>
      <c r="L93" s="705"/>
      <c r="M93" s="706"/>
      <c r="N93" s="3225"/>
      <c r="O93" s="2046"/>
      <c r="P93" s="2047"/>
      <c r="Q93" s="2048"/>
      <c r="R93" s="2049"/>
      <c r="S93" s="2049"/>
      <c r="T93" s="2049"/>
      <c r="U93" s="2049"/>
      <c r="V93" s="2049"/>
      <c r="W93" s="2049"/>
      <c r="X93" s="2049"/>
      <c r="Y93" s="2049"/>
      <c r="Z93" s="2049"/>
      <c r="AA93" s="2049"/>
      <c r="AB93" s="2049"/>
      <c r="AC93" s="2049"/>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5"/>
      <c r="O94" s="2046"/>
      <c r="P94" s="2047"/>
      <c r="Q94" s="2048"/>
      <c r="R94" s="2049"/>
      <c r="S94" s="2049"/>
      <c r="T94" s="2049"/>
      <c r="U94" s="2049"/>
      <c r="V94" s="2049"/>
      <c r="W94" s="2049"/>
      <c r="X94" s="2049"/>
      <c r="Y94" s="2049"/>
      <c r="Z94" s="2049"/>
      <c r="AA94" s="2049"/>
      <c r="AB94" s="2049"/>
      <c r="AC94" s="2049"/>
    </row>
    <row r="95" spans="1:29" s="1292" customFormat="1" ht="15.75" thickTop="1">
      <c r="A95" s="678"/>
      <c r="B95" s="2439" t="s">
        <v>2531</v>
      </c>
      <c r="C95" s="2440" t="s">
        <v>2532</v>
      </c>
      <c r="D95" s="2440" t="s">
        <v>2533</v>
      </c>
      <c r="E95" s="2440" t="s">
        <v>2534</v>
      </c>
      <c r="F95" s="2440" t="s">
        <v>2535</v>
      </c>
      <c r="G95" s="2440" t="s">
        <v>2536</v>
      </c>
      <c r="H95" s="704"/>
      <c r="I95" s="704"/>
      <c r="J95" s="704"/>
      <c r="K95" s="704"/>
      <c r="L95" s="704"/>
      <c r="M95" s="706"/>
      <c r="N95" s="3225"/>
      <c r="O95" s="2046"/>
      <c r="P95" s="2047"/>
      <c r="Q95" s="2048"/>
      <c r="R95" s="2049"/>
      <c r="S95" s="2049"/>
      <c r="T95" s="2049"/>
      <c r="U95" s="2049"/>
      <c r="V95" s="2049"/>
      <c r="W95" s="2049"/>
      <c r="X95" s="2049"/>
      <c r="Y95" s="2049"/>
      <c r="Z95" s="2049"/>
      <c r="AA95" s="2049"/>
      <c r="AB95" s="2049"/>
      <c r="AC95" s="2049"/>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2"/>
      <c r="N96" s="3225"/>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582</v>
      </c>
      <c r="D97" s="665" t="s">
        <v>583</v>
      </c>
      <c r="E97" s="665" t="s">
        <v>584</v>
      </c>
      <c r="F97" s="665" t="s">
        <v>585</v>
      </c>
      <c r="G97" s="665"/>
      <c r="H97" s="665"/>
      <c r="I97" s="665"/>
      <c r="J97" s="665"/>
      <c r="K97" s="666"/>
      <c r="L97" s="667"/>
      <c r="M97" s="668"/>
      <c r="N97" s="3223"/>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4"/>
      <c r="O98" s="2045"/>
      <c r="P98" s="2044"/>
      <c r="Q98" s="2037"/>
      <c r="R98" s="2025"/>
      <c r="S98" s="2025"/>
      <c r="T98" s="2025"/>
      <c r="U98" s="2025"/>
      <c r="V98" s="2025"/>
      <c r="W98" s="2025"/>
      <c r="X98" s="2025"/>
      <c r="Y98" s="2025"/>
      <c r="Z98" s="2025"/>
      <c r="AA98" s="2025"/>
      <c r="AB98" s="2025"/>
      <c r="AC98" s="2025"/>
    </row>
    <row r="99" spans="1:29" ht="27.75" thickTop="1">
      <c r="A99" s="660"/>
      <c r="B99" s="664" t="s">
        <v>541</v>
      </c>
      <c r="C99" s="679"/>
      <c r="D99" s="679"/>
      <c r="E99" s="679"/>
      <c r="F99" s="679"/>
      <c r="G99" s="679"/>
      <c r="H99" s="709"/>
      <c r="I99" s="709"/>
      <c r="J99" s="709"/>
      <c r="K99" s="710"/>
      <c r="L99" s="711"/>
      <c r="M99" s="712"/>
      <c r="N99" s="3223"/>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4"/>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542</v>
      </c>
      <c r="C101" s="709"/>
      <c r="D101" s="709"/>
      <c r="E101" s="709"/>
      <c r="F101" s="709"/>
      <c r="G101" s="709"/>
      <c r="H101" s="709"/>
      <c r="I101" s="709"/>
      <c r="J101" s="709"/>
      <c r="K101" s="710"/>
      <c r="L101" s="711"/>
      <c r="M101" s="712"/>
      <c r="N101" s="322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4"/>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3"/>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4"/>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4"/>
      <c r="O106" s="2045"/>
      <c r="P106" s="2044"/>
      <c r="Q106" s="2037"/>
      <c r="R106" s="2025"/>
      <c r="S106" s="2025"/>
      <c r="T106" s="2025"/>
      <c r="U106" s="2025"/>
      <c r="V106" s="2025"/>
      <c r="W106" s="2025"/>
      <c r="X106" s="2025"/>
      <c r="Y106" s="2025"/>
      <c r="Z106" s="2025"/>
      <c r="AA106" s="2025"/>
      <c r="AB106" s="2025"/>
      <c r="AC106" s="2025"/>
    </row>
    <row r="107" spans="1:29" s="1292" customFormat="1" ht="15" thickTop="1">
      <c r="A107" s="719"/>
      <c r="B107" s="720">
        <f>B35</f>
        <v>111</v>
      </c>
      <c r="C107" s="652"/>
      <c r="D107" s="652"/>
      <c r="E107" s="652"/>
      <c r="F107" s="652"/>
      <c r="G107" s="721"/>
      <c r="H107" s="721"/>
      <c r="I107" s="721"/>
      <c r="J107" s="722"/>
      <c r="K107" s="722"/>
      <c r="L107" s="723"/>
      <c r="M107" s="724"/>
      <c r="N107" s="3225"/>
      <c r="O107" s="2046"/>
      <c r="P107" s="2047"/>
      <c r="Q107" s="2048"/>
      <c r="R107" s="2049"/>
      <c r="S107" s="2049"/>
      <c r="T107" s="2049"/>
      <c r="U107" s="2049"/>
      <c r="V107" s="2049"/>
      <c r="W107" s="2049"/>
      <c r="X107" s="2049"/>
      <c r="Y107" s="2049"/>
      <c r="Z107" s="2049"/>
      <c r="AA107" s="2049"/>
      <c r="AB107" s="2049"/>
      <c r="AC107" s="2049"/>
    </row>
    <row r="108" spans="1:29" s="1292" customFormat="1" ht="15.75" thickBot="1">
      <c r="A108" s="678"/>
      <c r="B108" s="672"/>
      <c r="C108" s="691"/>
      <c r="D108" s="691"/>
      <c r="E108" s="691"/>
      <c r="F108" s="691"/>
      <c r="G108" s="585"/>
      <c r="H108" s="585"/>
      <c r="I108" s="585"/>
      <c r="J108" s="585"/>
      <c r="K108" s="585"/>
      <c r="L108" s="585"/>
      <c r="M108" s="725"/>
      <c r="N108" s="3224"/>
      <c r="O108" s="2045"/>
      <c r="P108" s="2047"/>
      <c r="Q108" s="2048"/>
      <c r="R108" s="2049"/>
      <c r="S108" s="2049"/>
      <c r="T108" s="2049"/>
      <c r="U108" s="2049"/>
      <c r="V108" s="2049"/>
      <c r="W108" s="2049"/>
      <c r="X108" s="2049"/>
      <c r="Y108" s="2049"/>
      <c r="Z108" s="2049"/>
      <c r="AA108" s="2049"/>
      <c r="AB108" s="2049"/>
      <c r="AC108" s="2049"/>
    </row>
    <row r="109" spans="1:29">
      <c r="A109" s="655" t="s">
        <v>544</v>
      </c>
      <c r="B109" s="656" t="s">
        <v>586</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4" t="str">
        <f t="shared" si="25"/>
        <v>(含)-</v>
      </c>
      <c r="L109" s="2775" t="str">
        <f t="shared" si="25"/>
        <v>(含)-</v>
      </c>
      <c r="M109" s="2776" t="str">
        <f>M110&amp;"(含)"&amp;"-"&amp;P110</f>
        <v>(含)-</v>
      </c>
      <c r="N109" s="3223"/>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4"/>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587</v>
      </c>
      <c r="C112" s="709"/>
      <c r="D112" s="709"/>
      <c r="E112" s="709"/>
      <c r="F112" s="709"/>
      <c r="G112" s="709"/>
      <c r="H112" s="709"/>
      <c r="I112" s="709"/>
      <c r="J112" s="709"/>
      <c r="K112" s="710"/>
      <c r="L112" s="711"/>
      <c r="M112" s="712"/>
      <c r="N112" s="3223"/>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4"/>
      <c r="O113" s="2045"/>
      <c r="P113" s="2044"/>
      <c r="Q113" s="2037"/>
      <c r="R113" s="2025"/>
      <c r="S113" s="2025"/>
      <c r="T113" s="2025"/>
      <c r="U113" s="2025"/>
      <c r="V113" s="2025"/>
      <c r="W113" s="2025"/>
      <c r="X113" s="2025"/>
      <c r="Y113" s="2025"/>
      <c r="Z113" s="2025"/>
      <c r="AA113" s="2025"/>
      <c r="AB113" s="2025"/>
      <c r="AC113" s="2025"/>
    </row>
    <row r="114" spans="1:29" s="1292" customFormat="1" ht="15" thickTop="1">
      <c r="A114" s="719"/>
      <c r="B114" s="1808" t="s">
        <v>2409</v>
      </c>
      <c r="C114" s="1325"/>
      <c r="D114" s="1325"/>
      <c r="E114" s="1325"/>
      <c r="F114" s="1325"/>
      <c r="G114" s="1325"/>
      <c r="H114" s="709"/>
      <c r="I114" s="709"/>
      <c r="J114" s="709"/>
      <c r="K114" s="710"/>
      <c r="L114" s="711"/>
      <c r="M114" s="712"/>
      <c r="N114" s="3225"/>
      <c r="O114" s="2046"/>
      <c r="P114" s="2047"/>
      <c r="Q114" s="2048"/>
      <c r="R114" s="2049"/>
      <c r="S114" s="2049"/>
      <c r="T114" s="2049"/>
      <c r="U114" s="2049"/>
      <c r="V114" s="2049"/>
      <c r="W114" s="2049"/>
      <c r="X114" s="2049"/>
      <c r="Y114" s="2049"/>
      <c r="Z114" s="2049"/>
      <c r="AA114" s="2049"/>
      <c r="AB114" s="2049"/>
      <c r="AC114" s="2049"/>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5"/>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589</v>
      </c>
      <c r="C116" s="679"/>
      <c r="D116" s="679"/>
      <c r="E116" s="709"/>
      <c r="F116" s="709"/>
      <c r="G116" s="709"/>
      <c r="H116" s="709"/>
      <c r="I116" s="709"/>
      <c r="J116" s="709"/>
      <c r="K116" s="710"/>
      <c r="L116" s="711"/>
      <c r="M116" s="712"/>
      <c r="N116" s="322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4"/>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4"/>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3"/>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4"/>
      <c r="O121" s="2045"/>
      <c r="P121" s="2044"/>
      <c r="Q121" s="2037"/>
      <c r="R121" s="2025"/>
      <c r="S121" s="2025"/>
      <c r="T121" s="2025"/>
      <c r="U121" s="2025"/>
      <c r="V121" s="2025"/>
      <c r="W121" s="2025"/>
      <c r="X121" s="2025"/>
      <c r="Y121" s="2025"/>
      <c r="Z121" s="2025"/>
      <c r="AA121" s="2025"/>
      <c r="AB121" s="2025"/>
      <c r="AC121" s="2025"/>
    </row>
    <row r="122" spans="1:29" s="1292" customFormat="1" ht="15" thickTop="1">
      <c r="A122" s="719"/>
      <c r="B122" s="664">
        <f>B42</f>
        <v>111</v>
      </c>
      <c r="C122" s="652"/>
      <c r="D122" s="652"/>
      <c r="E122" s="652"/>
      <c r="F122" s="652"/>
      <c r="G122" s="680"/>
      <c r="H122" s="680"/>
      <c r="I122" s="680"/>
      <c r="J122" s="680"/>
      <c r="K122" s="680"/>
      <c r="L122" s="681"/>
      <c r="M122" s="682"/>
      <c r="N122" s="3225"/>
      <c r="O122" s="2046"/>
      <c r="P122" s="2047"/>
      <c r="Q122" s="2048"/>
      <c r="R122" s="2049"/>
      <c r="S122" s="2049"/>
      <c r="T122" s="2049"/>
      <c r="U122" s="2049"/>
      <c r="V122" s="2049"/>
      <c r="W122" s="2049"/>
      <c r="X122" s="2049"/>
      <c r="Y122" s="2049"/>
      <c r="Z122" s="2049"/>
      <c r="AA122" s="2049"/>
      <c r="AB122" s="2049"/>
      <c r="AC122" s="2049"/>
    </row>
    <row r="123" spans="1:29" s="1292" customFormat="1" ht="15.75" thickBot="1">
      <c r="A123" s="689"/>
      <c r="B123" s="727"/>
      <c r="C123" s="691"/>
      <c r="D123" s="691"/>
      <c r="E123" s="691"/>
      <c r="F123" s="691"/>
      <c r="G123" s="717"/>
      <c r="H123" s="717"/>
      <c r="I123" s="717"/>
      <c r="J123" s="717"/>
      <c r="K123" s="717"/>
      <c r="L123" s="717"/>
      <c r="M123" s="718"/>
      <c r="N123" s="3225"/>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A2:G42"/>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1684</v>
      </c>
      <c r="B1" s="1346"/>
      <c r="C1" s="1352" t="s">
        <v>2410</v>
      </c>
      <c r="D1" s="1458">
        <f>SUM(D29:D30,D33:D39)</f>
        <v>0</v>
      </c>
      <c r="E1" s="1352" t="s">
        <v>2411</v>
      </c>
      <c r="F1" s="2305"/>
      <c r="G1" s="1347"/>
      <c r="H1" s="1347"/>
      <c r="I1" s="1347"/>
      <c r="J1" s="1347"/>
      <c r="K1" s="2068"/>
      <c r="L1" s="1794" t="s">
        <v>2226</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910</v>
      </c>
      <c r="B2" s="1024" t="e">
        <f>C26</f>
        <v>#DIV/0!</v>
      </c>
      <c r="C2" s="1353" t="s">
        <v>911</v>
      </c>
      <c r="D2" s="1354" t="s">
        <v>912</v>
      </c>
      <c r="E2" s="1355"/>
      <c r="F2" s="1354" t="s">
        <v>914</v>
      </c>
      <c r="G2" s="1578">
        <f>IF(E2="商业",项目基本情况!B43,IF(E2="办公",项目基本情况!C43,IF(E2="住宅",项目基本情况!D43,项目基本情况!E43)))</f>
        <v>0</v>
      </c>
      <c r="H2" s="1354" t="s">
        <v>916</v>
      </c>
      <c r="I2" s="1579">
        <f>IF(E2="商业",项目基本情况!B44,IF(E2="办公",项目基本情况!C44,IF(E2="住宅",项目基本情况!D44,项目基本情况!E44)))</f>
        <v>0</v>
      </c>
      <c r="J2" s="1356"/>
      <c r="K2" s="3226"/>
      <c r="L2" s="1797" t="s">
        <v>2227</v>
      </c>
      <c r="M2" s="1798">
        <f>SUMPRODUCT((区片价!B10:B28=I2)*(区片价!C3:F3=E2)*(区片价!C10:F28))</f>
        <v>0</v>
      </c>
      <c r="N2" s="1799">
        <f>SUMPRODUCT((因素修正幅度!B10:B28=I2)*(因素修正幅度!C3:F3=E2)*(因素修正幅度!C10:F28))</f>
        <v>0</v>
      </c>
      <c r="O2" s="3226"/>
      <c r="P2" s="2068"/>
      <c r="Q2" s="2068"/>
      <c r="R2" s="2652">
        <v>1</v>
      </c>
      <c r="S2" s="2652">
        <f>ROUND(IF(G3&gt;1,IF(R2&lt;7,SUMPRODUCT((B93:B98=R2)*(C92:N92=G2)*(C93:N98)),SUMIF(C92:N92,G2,C100:N100)),IF(R2&lt;7,SUMPRODUCT((B102:B107=R2)*(C92:N92=G2)*(C102:N107)),SUMIF(C92:N92,G2,C109:N109))),4)</f>
        <v>0</v>
      </c>
      <c r="T2" s="2652" t="e">
        <f>ROUND($C$5*$C$18*$C$19*$C$20*S2*$C$24,0)</f>
        <v>#DIV/0!</v>
      </c>
      <c r="U2" s="2641"/>
      <c r="V2" s="2652" t="e">
        <f>ROUND(T2*U2/10000,0)</f>
        <v>#DIV/0!</v>
      </c>
      <c r="W2" s="2068"/>
      <c r="X2" s="2068"/>
      <c r="Y2" s="2068"/>
      <c r="Z2" s="2068"/>
      <c r="AA2" s="2068"/>
      <c r="AB2" s="2068"/>
      <c r="AC2" s="2069"/>
    </row>
    <row r="3" spans="1:39" ht="15.75">
      <c r="A3" s="1357" t="s">
        <v>1677</v>
      </c>
      <c r="B3" s="1024" t="e">
        <f>ROUND(B2*10000/D1,0)</f>
        <v>#DIV/0!</v>
      </c>
      <c r="C3" s="1353" t="s">
        <v>917</v>
      </c>
      <c r="D3" s="1354" t="s">
        <v>918</v>
      </c>
      <c r="E3" s="1358"/>
      <c r="F3" s="1359"/>
      <c r="G3" s="1025">
        <f>IF(F3="宗地容积率",'数据-汇总表'!I4,IF(F3="估价对象容积率",'数据-汇总表'!I6,'数据-汇总表'!I7))</f>
        <v>2.16</v>
      </c>
      <c r="H3" s="1360" t="s">
        <v>919</v>
      </c>
      <c r="I3" s="1026">
        <v>8</v>
      </c>
      <c r="J3" s="1356" t="s">
        <v>920</v>
      </c>
      <c r="K3" s="3226"/>
      <c r="L3" s="1797" t="s">
        <v>2228</v>
      </c>
      <c r="M3" s="1798">
        <f>SUMPRODUCT((区片价!B29:B48=I2)*(区片价!C3:F3=E2)*(区片价!C29:F48))</f>
        <v>0</v>
      </c>
      <c r="N3" s="1799">
        <f>SUMPRODUCT((因素修正幅度!B29:B48=I2)*(因素修正幅度!C3:F3=E2)*(因素修正幅度!C29:F48))</f>
        <v>0</v>
      </c>
      <c r="O3" s="3226"/>
      <c r="P3" s="2068"/>
      <c r="Q3" s="2068"/>
      <c r="R3" s="2652">
        <v>2</v>
      </c>
      <c r="S3" s="2652">
        <f>ROUND(IF(G3&gt;1,IF(R3&lt;7,SUMPRODUCT((B93:B98=R3)*(C92:N92=G2)*(C93:N98)),SUMIF(C92:N92,G2,C100:N100)),IF(R3&lt;7,SUMPRODUCT((B102:B107=R3)*(C92:N92=G2)*(C102:N107)),SUMIF(C92:N92,G2,C109:N109))),4)</f>
        <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2267</v>
      </c>
      <c r="B4" s="2306" t="e">
        <f>ROUND(B2*10000/F1,0)</f>
        <v>#DIV/0!</v>
      </c>
      <c r="C4" s="1806" t="s">
        <v>2242</v>
      </c>
      <c r="D4" s="1806" t="e">
        <f>ROUND(B2/(F1/666.67),0)</f>
        <v>#DIV/0!</v>
      </c>
      <c r="E4" s="1806" t="s">
        <v>2243</v>
      </c>
      <c r="F4" s="1804"/>
      <c r="G4" s="1804"/>
      <c r="H4" s="1804"/>
      <c r="I4" s="1804"/>
      <c r="J4" s="1805"/>
      <c r="K4" s="3227"/>
      <c r="L4" s="1797" t="s">
        <v>2229</v>
      </c>
      <c r="M4" s="1798">
        <f>SUMPRODUCT((区片价!B49:B75=I2)*(区片价!C3:F3=E2)*(区片价!C49:F75))</f>
        <v>0</v>
      </c>
      <c r="N4" s="1799">
        <f>SUMPRODUCT((因素修正幅度!B49:B75=I2)*(因素修正幅度!C3:F3=E2)*(因素修正幅度!C49:F75))</f>
        <v>0</v>
      </c>
      <c r="O4" s="3227"/>
      <c r="P4" s="2068"/>
      <c r="Q4" s="2068"/>
      <c r="R4" s="2652">
        <v>3</v>
      </c>
      <c r="S4" s="2652">
        <f>ROUND(IF(G3&gt;1,IF(R4&lt;7,SUMPRODUCT((B93:B98=R4)*(C92:N92=G2)*(C93:N98)),SUMIF(C92:N92,G2,C100:N100)),IF(R4&lt;7,SUMPRODUCT((B102:B107=R4)*(C92:N92=G2)*(C102:N107)),SUMIF(C92:N92,G2,C109:N109))),4)</f>
        <v>0</v>
      </c>
      <c r="T4" s="2652" t="e">
        <f t="shared" si="0"/>
        <v>#DIV/0!</v>
      </c>
      <c r="U4" s="2641"/>
      <c r="V4" s="2652" t="e">
        <f t="shared" si="1"/>
        <v>#DIV/0!</v>
      </c>
      <c r="W4" s="2068"/>
      <c r="X4" s="2068"/>
      <c r="Y4" s="2068"/>
      <c r="Z4" s="2068"/>
      <c r="AA4" s="2068"/>
      <c r="AB4" s="2068"/>
      <c r="AC4" s="2069"/>
    </row>
    <row r="5" spans="1:39" s="1367" customFormat="1" ht="15.75" thickBot="1">
      <c r="A5" s="1564" t="s">
        <v>1813</v>
      </c>
      <c r="B5" s="1361" t="s">
        <v>921</v>
      </c>
      <c r="C5" s="1027" t="e">
        <f>ROUND(IF(E2="商业",C6*C7+C16,(IF(E2="住宅",C6*C12+C16,C6+C16))),0)</f>
        <v>#DIV/0!</v>
      </c>
      <c r="D5" s="2787" t="e">
        <f>ROUND(C6+C16,0)</f>
        <v>#DIV/0!</v>
      </c>
      <c r="E5" s="2787"/>
      <c r="F5" s="1362"/>
      <c r="G5" s="1363"/>
      <c r="H5" s="1363"/>
      <c r="I5" s="1363"/>
      <c r="J5" s="1364"/>
      <c r="K5" s="3228"/>
      <c r="L5" s="1797" t="s">
        <v>2230</v>
      </c>
      <c r="M5" s="1798">
        <f>SUMPRODUCT((区片价!B76:B109=I2)*(区片价!C3:F3=E2)*(区片价!C76:F109))</f>
        <v>0</v>
      </c>
      <c r="N5" s="1799">
        <f>SUMPRODUCT((因素修正幅度!B76:B109=I2)*(因素修正幅度!C3:F3=E2)*(因素修正幅度!C76:F109))</f>
        <v>0</v>
      </c>
      <c r="O5" s="3228"/>
      <c r="P5" s="3231"/>
      <c r="Q5" s="2068"/>
      <c r="R5" s="2652">
        <v>4</v>
      </c>
      <c r="S5" s="2652">
        <f>ROUND(IF(G3&gt;1,IF(R5&lt;7,SUMPRODUCT((B93:B98=R5)*(C92:N92=G2)*(C93:N98)),SUMIF(C92:N92,G2,C100:N100)),IF(R5&lt;7,SUMPRODUCT((B102:B107=R5)*(C92:N92=G2)*(C102:N107)),SUMIF(C92:N92,G2,C109:N109))),4)</f>
        <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75" thickBot="1">
      <c r="A6" s="1565" t="s">
        <v>1860</v>
      </c>
      <c r="B6" s="1368" t="s">
        <v>921</v>
      </c>
      <c r="C6" s="1028">
        <f>SUMIF(L1:L12,基准地价!G2,M1:M12)</f>
        <v>0</v>
      </c>
      <c r="D6" s="1369" t="s">
        <v>1685</v>
      </c>
      <c r="E6" s="1370"/>
      <c r="F6" s="1370"/>
      <c r="G6" s="1371"/>
      <c r="H6" s="1371"/>
      <c r="I6" s="1371"/>
      <c r="J6" s="1372"/>
      <c r="K6" s="3229"/>
      <c r="L6" s="1797" t="s">
        <v>2231</v>
      </c>
      <c r="M6" s="1798">
        <f>SUMPRODUCT((区片价!B110:B157=I2)*(区片价!C3:F3=E2)*(区片价!C110:F157))</f>
        <v>0</v>
      </c>
      <c r="N6" s="1799">
        <f>SUMPRODUCT((因素修正幅度!B110:B157=I2)*(因素修正幅度!C3:F3=E2)*(因素修正幅度!C110:F157))</f>
        <v>0</v>
      </c>
      <c r="O6" s="3229"/>
      <c r="P6" s="3232"/>
      <c r="Q6" s="2068"/>
      <c r="R6" s="2652">
        <v>5</v>
      </c>
      <c r="S6" s="2652">
        <f>ROUND(IF(G3&gt;1,IF(R6&lt;7,SUMPRODUCT((B93:B98=R6)*(C92:N92=G2)*(C93:N98)),SUMIF(C92:N92,G2,C100:N100)),IF(R6&lt;7,SUMPRODUCT((B102:B107=R6)*(C92:N92=G2)*(C102:N107)),SUMIF(C92:N92,G2,C109:N109))),4)</f>
        <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545" t="str">
        <f>IF(E2="商业",IF(C8="不临58条商业街","",2),"")</f>
        <v/>
      </c>
      <c r="B7" s="1373" t="s">
        <v>922</v>
      </c>
      <c r="C7" s="1029" t="e">
        <f>IF(C8="不临58条商业街",1,ROUND(1+(1.6*E8+1.2*E9+0.8*E10+0.4*E11)*C9,4))</f>
        <v>#DIV/0!</v>
      </c>
      <c r="D7" s="1374" t="s">
        <v>923</v>
      </c>
      <c r="E7" s="1030"/>
      <c r="F7" s="1375"/>
      <c r="G7" s="1376"/>
      <c r="H7" s="1376"/>
      <c r="I7" s="1376"/>
      <c r="J7" s="1377"/>
      <c r="K7" s="3229"/>
      <c r="L7" s="1797" t="s">
        <v>2232</v>
      </c>
      <c r="M7" s="1798">
        <f>SUMPRODUCT((区片价!B158:B205=I2)*(区片价!C3:F3=E2)*(区片价!C158:F205))</f>
        <v>0</v>
      </c>
      <c r="N7" s="1799">
        <f>SUMPRODUCT((因素修正幅度!B158:B205=I2)*(因素修正幅度!C3:F3=E2)*(因素修正幅度!C158:F205))</f>
        <v>0</v>
      </c>
      <c r="O7" s="3229"/>
      <c r="P7" s="3232"/>
      <c r="Q7" s="2068"/>
      <c r="R7" s="2652">
        <v>6</v>
      </c>
      <c r="S7" s="2652">
        <f>ROUND(IF(G3&gt;1,IF(R7&lt;7,SUMPRODUCT((B93:B98=R7)*(C92:N92=G2)*(C93:N98)),SUMIF(C92:N92,G2,C100:N100)),IF(R7&lt;7,SUMPRODUCT((B102:B107=R7)*(C92:N92=G2)*(C102:N107)),SUMIF(C92:N92,G2,C109:N109))),4)</f>
        <v>0</v>
      </c>
      <c r="T7" s="2652" t="e">
        <f t="shared" si="0"/>
        <v>#DIV/0!</v>
      </c>
      <c r="U7" s="2641"/>
      <c r="V7" s="2652" t="e">
        <f t="shared" si="1"/>
        <v>#DIV/0!</v>
      </c>
      <c r="W7" s="2650" t="s">
        <v>2744</v>
      </c>
      <c r="X7" s="2642">
        <f>G2</f>
        <v>0</v>
      </c>
      <c r="Y7" s="2642" t="s">
        <v>2745</v>
      </c>
      <c r="Z7" s="2643">
        <f>G3</f>
        <v>2.16</v>
      </c>
      <c r="AA7" s="2071"/>
      <c r="AB7" s="2071"/>
      <c r="AC7" s="2072"/>
      <c r="AD7" s="2644"/>
      <c r="AE7" s="2644"/>
      <c r="AF7" s="2644"/>
      <c r="AG7" s="2644"/>
      <c r="AH7" s="2644"/>
      <c r="AI7" s="2644"/>
      <c r="AJ7" s="2645"/>
    </row>
    <row r="8" spans="1:39" ht="15">
      <c r="A8" s="3546"/>
      <c r="B8" s="1360" t="s">
        <v>924</v>
      </c>
      <c r="C8" s="1466"/>
      <c r="D8" s="1031" t="s">
        <v>925</v>
      </c>
      <c r="E8" s="1032" t="e">
        <f>ROUND(C11/E7,4)</f>
        <v>#DIV/0!</v>
      </c>
      <c r="F8" s="1378" t="s">
        <v>926</v>
      </c>
      <c r="G8" s="1379"/>
      <c r="H8" s="1379"/>
      <c r="I8" s="1379"/>
      <c r="J8" s="1380"/>
      <c r="K8" s="3229"/>
      <c r="L8" s="1797" t="s">
        <v>2233</v>
      </c>
      <c r="M8" s="1798">
        <f>SUMPRODUCT((区片价!B206:B244=I2)*(区片价!C3:F3=E2)*(区片价!C206:F244))</f>
        <v>0</v>
      </c>
      <c r="N8" s="1799">
        <f>SUMPRODUCT((因素修正幅度!B206:B244=I2)*(因素修正幅度!C3:F3=E2)*(因素修正幅度!C206:F244))</f>
        <v>0</v>
      </c>
      <c r="O8" s="3229"/>
      <c r="P8" s="2068"/>
      <c r="Q8" s="2068"/>
      <c r="R8" s="2652">
        <v>7</v>
      </c>
      <c r="S8" s="2641"/>
      <c r="T8" s="2652" t="e">
        <f t="shared" si="0"/>
        <v>#DIV/0!</v>
      </c>
      <c r="U8" s="2641"/>
      <c r="V8" s="2652" t="e">
        <f t="shared" si="1"/>
        <v>#DIV/0!</v>
      </c>
      <c r="W8" s="3556" t="s">
        <v>2762</v>
      </c>
      <c r="X8" s="3557"/>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46"/>
      <c r="B9" s="1360" t="s">
        <v>927</v>
      </c>
      <c r="C9" s="1033">
        <f>SUMIF(修正!C59:C119,C8,修正!E59:E119)</f>
        <v>0</v>
      </c>
      <c r="D9" s="1034" t="s">
        <v>928</v>
      </c>
      <c r="E9" s="1034" t="e">
        <f>ROUND(C11/E7,4)</f>
        <v>#DIV/0!</v>
      </c>
      <c r="F9" s="1378" t="s">
        <v>929</v>
      </c>
      <c r="G9" s="1379"/>
      <c r="H9" s="1379"/>
      <c r="I9" s="1379"/>
      <c r="J9" s="1380"/>
      <c r="K9" s="3229"/>
      <c r="L9" s="1797" t="s">
        <v>2234</v>
      </c>
      <c r="M9" s="1798">
        <f>SUMPRODUCT((区片价!B245:B289=I2)*(区片价!C3:F3=E2)*(区片价!C245:F289))</f>
        <v>0</v>
      </c>
      <c r="N9" s="1799">
        <f>SUMPRODUCT((因素修正幅度!B245:B289=I2)*(因素修正幅度!C3:F3=E2)*(因素修正幅度!C245:F289))</f>
        <v>0</v>
      </c>
      <c r="O9" s="3229"/>
      <c r="P9" s="2068"/>
      <c r="Q9" s="2068"/>
      <c r="R9" s="2652">
        <v>8</v>
      </c>
      <c r="S9" s="2641"/>
      <c r="T9" s="2652" t="e">
        <f t="shared" si="0"/>
        <v>#DIV/0!</v>
      </c>
      <c r="U9" s="2641"/>
      <c r="V9" s="2652" t="e">
        <f t="shared" si="1"/>
        <v>#DIV/0!</v>
      </c>
      <c r="W9" s="3555" t="s">
        <v>2758</v>
      </c>
      <c r="X9" s="2646" t="s">
        <v>2759</v>
      </c>
      <c r="Y9" s="2780"/>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46"/>
      <c r="B10" s="1360" t="s">
        <v>930</v>
      </c>
      <c r="C10" s="1034">
        <f>SUMIF(修正!C59:C119,C8,修正!F59:F119)</f>
        <v>0</v>
      </c>
      <c r="D10" s="1034" t="s">
        <v>931</v>
      </c>
      <c r="E10" s="1034" t="e">
        <f>ROUND(C11/E7,4)</f>
        <v>#DIV/0!</v>
      </c>
      <c r="F10" s="1378" t="s">
        <v>932</v>
      </c>
      <c r="G10" s="1379"/>
      <c r="H10" s="1379"/>
      <c r="I10" s="1379"/>
      <c r="J10" s="1380"/>
      <c r="K10" s="3229"/>
      <c r="L10" s="1797" t="s">
        <v>2235</v>
      </c>
      <c r="M10" s="1798">
        <f>SUMPRODUCT((区片价!B290:B316=I2)*(区片价!C3:F3=E2)*(区片价!C290:F316))</f>
        <v>0</v>
      </c>
      <c r="N10" s="1799">
        <f>SUMPRODUCT((因素修正幅度!B290:B316=I2)*(因素修正幅度!C3:F3=E2)*(因素修正幅度!C290:F316))</f>
        <v>0</v>
      </c>
      <c r="O10" s="3229"/>
      <c r="P10" s="2068"/>
      <c r="Q10" s="2068"/>
      <c r="R10" s="2652">
        <v>9</v>
      </c>
      <c r="S10" s="2641"/>
      <c r="T10" s="2652" t="e">
        <f t="shared" si="0"/>
        <v>#DIV/0!</v>
      </c>
      <c r="U10" s="2641"/>
      <c r="V10" s="2652" t="e">
        <f t="shared" si="1"/>
        <v>#DIV/0!</v>
      </c>
      <c r="W10" s="3555"/>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46"/>
      <c r="B11" s="1381" t="s">
        <v>933</v>
      </c>
      <c r="C11" s="1035">
        <f>C10/4</f>
        <v>0</v>
      </c>
      <c r="D11" s="1035" t="s">
        <v>934</v>
      </c>
      <c r="E11" s="1035" t="e">
        <f>ROUND(C11/E7,4)</f>
        <v>#DIV/0!</v>
      </c>
      <c r="F11" s="1382" t="s">
        <v>935</v>
      </c>
      <c r="G11" s="1383"/>
      <c r="H11" s="1383"/>
      <c r="I11" s="1383"/>
      <c r="J11" s="1384"/>
      <c r="K11" s="3229"/>
      <c r="L11" s="1797" t="s">
        <v>2236</v>
      </c>
      <c r="M11" s="1798">
        <f>SUMPRODUCT((区片价!B317:B337=I2)*(区片价!C3:F3=E2)*(区片价!C317:F337))</f>
        <v>0</v>
      </c>
      <c r="N11" s="1799">
        <f>SUMPRODUCT((因素修正幅度!B317:B337=I2)*(因素修正幅度!C3:F3=E2)*(因素修正幅度!C317:F337))</f>
        <v>0</v>
      </c>
      <c r="O11" s="3229"/>
      <c r="P11" s="2068"/>
      <c r="Q11" s="2068"/>
      <c r="R11" s="2652">
        <v>10</v>
      </c>
      <c r="S11" s="2641"/>
      <c r="T11" s="2652" t="e">
        <f t="shared" si="0"/>
        <v>#DIV/0!</v>
      </c>
      <c r="U11" s="2641"/>
      <c r="V11" s="2652" t="e">
        <f t="shared" si="1"/>
        <v>#DIV/0!</v>
      </c>
      <c r="W11" s="3555" t="s">
        <v>2760</v>
      </c>
      <c r="X11" s="1034" t="s">
        <v>2745</v>
      </c>
      <c r="Y11" s="1579">
        <f>$G$3</f>
        <v>2.16</v>
      </c>
      <c r="Z11" s="1579">
        <f t="shared" ref="Z11:AJ11" si="3">$G$3</f>
        <v>2.16</v>
      </c>
      <c r="AA11" s="1579">
        <f t="shared" si="3"/>
        <v>2.16</v>
      </c>
      <c r="AB11" s="1579">
        <f t="shared" si="3"/>
        <v>2.16</v>
      </c>
      <c r="AC11" s="1579">
        <f t="shared" si="3"/>
        <v>2.16</v>
      </c>
      <c r="AD11" s="1579">
        <f t="shared" si="3"/>
        <v>2.16</v>
      </c>
      <c r="AE11" s="1579">
        <f t="shared" si="3"/>
        <v>2.16</v>
      </c>
      <c r="AF11" s="1579">
        <f t="shared" si="3"/>
        <v>2.16</v>
      </c>
      <c r="AG11" s="1579">
        <f t="shared" si="3"/>
        <v>2.16</v>
      </c>
      <c r="AH11" s="1579">
        <f t="shared" si="3"/>
        <v>2.16</v>
      </c>
      <c r="AI11" s="1579">
        <f t="shared" si="3"/>
        <v>2.16</v>
      </c>
      <c r="AJ11" s="1579">
        <f t="shared" si="3"/>
        <v>2.16</v>
      </c>
    </row>
    <row r="12" spans="1:39" ht="25.5" thickBot="1">
      <c r="A12" s="3545" t="s">
        <v>1861</v>
      </c>
      <c r="B12" s="1385" t="s">
        <v>936</v>
      </c>
      <c r="C12" s="1029">
        <f>ROUND(C15*D15*E15*F15*G15*H15*I15*J15,4)</f>
        <v>1</v>
      </c>
      <c r="D12" s="1386" t="s">
        <v>937</v>
      </c>
      <c r="E12" s="1387"/>
      <c r="F12" s="1387"/>
      <c r="G12" s="1388"/>
      <c r="H12" s="1388"/>
      <c r="I12" s="1388"/>
      <c r="J12" s="1389"/>
      <c r="K12" s="3229"/>
      <c r="L12" s="1800" t="s">
        <v>2237</v>
      </c>
      <c r="M12" s="1801">
        <f>SUMPRODUCT((区片价!B338:B344=I2)*(区片价!C3:F3=E2)*(区片价!C338:F344))</f>
        <v>0</v>
      </c>
      <c r="N12" s="1802">
        <f>SUMPRODUCT((因素修正幅度!B338:B344=I2)*(因素修正幅度!C3:F3=E2)*(因素修正幅度!C338:F344))</f>
        <v>0</v>
      </c>
      <c r="O12" s="3229"/>
      <c r="P12" s="2068"/>
      <c r="Q12" s="2068"/>
      <c r="R12" s="2652">
        <v>11</v>
      </c>
      <c r="S12" s="2641"/>
      <c r="T12" s="2652" t="e">
        <f t="shared" si="0"/>
        <v>#DIV/0!</v>
      </c>
      <c r="U12" s="2641"/>
      <c r="V12" s="2652" t="e">
        <f t="shared" si="1"/>
        <v>#DIV/0!</v>
      </c>
      <c r="W12" s="3555"/>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47"/>
      <c r="B13" s="1390" t="s">
        <v>1686</v>
      </c>
      <c r="C13" s="1391" t="s">
        <v>1687</v>
      </c>
      <c r="D13" s="1071" t="s">
        <v>1688</v>
      </c>
      <c r="E13" s="1071" t="s">
        <v>1689</v>
      </c>
      <c r="F13" s="1392" t="s">
        <v>938</v>
      </c>
      <c r="G13" s="1393" t="s">
        <v>1632</v>
      </c>
      <c r="H13" s="1394" t="s">
        <v>1632</v>
      </c>
      <c r="I13" s="1395" t="s">
        <v>1632</v>
      </c>
      <c r="J13" s="1396" t="s">
        <v>1632</v>
      </c>
      <c r="K13" s="2837"/>
      <c r="L13" s="2837"/>
      <c r="M13" s="2837"/>
      <c r="N13" s="2837"/>
      <c r="O13" s="2837"/>
      <c r="P13" s="2068"/>
      <c r="Q13" s="2068"/>
      <c r="R13" s="2652">
        <v>12</v>
      </c>
      <c r="S13" s="2641"/>
      <c r="T13" s="2652" t="e">
        <f t="shared" si="0"/>
        <v>#DIV/0!</v>
      </c>
      <c r="U13" s="2641"/>
      <c r="V13" s="2652" t="e">
        <f t="shared" si="1"/>
        <v>#DIV/0!</v>
      </c>
      <c r="W13" s="3555"/>
      <c r="X13" s="2649"/>
      <c r="Y13" s="2648">
        <f>(-0.163*(Y12^2)-0.59*Y12+7617)*(10^(-4))/Y11</f>
        <v>0.35263888888888889</v>
      </c>
      <c r="Z13" s="2648">
        <f t="shared" ref="Z13:AJ13" si="5">(-0.163*(Z12^2)-0.59*Z12+7617)*(10^(-4))/Z11</f>
        <v>0.35263888888888889</v>
      </c>
      <c r="AA13" s="2648">
        <f t="shared" si="5"/>
        <v>0.35263888888888889</v>
      </c>
      <c r="AB13" s="2648">
        <f t="shared" si="5"/>
        <v>0.35263888888888889</v>
      </c>
      <c r="AC13" s="2648">
        <f t="shared" si="5"/>
        <v>0.35263888888888889</v>
      </c>
      <c r="AD13" s="2648">
        <f t="shared" si="5"/>
        <v>0.35263888888888889</v>
      </c>
      <c r="AE13" s="2648">
        <f t="shared" si="5"/>
        <v>0.35263888888888889</v>
      </c>
      <c r="AF13" s="2648">
        <f t="shared" si="5"/>
        <v>0.35263888888888889</v>
      </c>
      <c r="AG13" s="2648">
        <f t="shared" si="5"/>
        <v>0.35263888888888889</v>
      </c>
      <c r="AH13" s="2648">
        <f t="shared" si="5"/>
        <v>0.35263888888888889</v>
      </c>
      <c r="AI13" s="2648">
        <f t="shared" si="5"/>
        <v>0.35263888888888889</v>
      </c>
      <c r="AJ13" s="2648">
        <f t="shared" si="5"/>
        <v>0.35263888888888889</v>
      </c>
    </row>
    <row r="14" spans="1:39" ht="12.75" customHeight="1">
      <c r="A14" s="3547"/>
      <c r="B14" s="1397"/>
      <c r="C14" s="1398"/>
      <c r="D14" s="1399"/>
      <c r="E14" s="1399"/>
      <c r="F14" s="1400"/>
      <c r="G14" s="1401" t="s">
        <v>939</v>
      </c>
      <c r="H14" s="1402"/>
      <c r="I14" s="1403"/>
      <c r="J14" s="1404"/>
      <c r="K14" s="3230"/>
      <c r="L14" s="3230"/>
      <c r="M14" s="3230"/>
      <c r="N14" s="3230"/>
      <c r="O14" s="3230"/>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548"/>
      <c r="B15" s="2842" t="s">
        <v>1690</v>
      </c>
      <c r="C15" s="1035">
        <f>IF(C14="有",1.1,1)</f>
        <v>1</v>
      </c>
      <c r="D15" s="1035">
        <f>IF(D14="有",1.1,1)</f>
        <v>1</v>
      </c>
      <c r="E15" s="1035">
        <f>IF(E14="有",1.1,1)</f>
        <v>1</v>
      </c>
      <c r="F15" s="1035">
        <f>IF(F14="500米范围内",1.2,IF(F14="500-1000米",1.1,1))</f>
        <v>1</v>
      </c>
      <c r="G15" s="2834">
        <v>1</v>
      </c>
      <c r="H15" s="2834">
        <v>1</v>
      </c>
      <c r="I15" s="2834">
        <v>1</v>
      </c>
      <c r="J15" s="2835">
        <v>1</v>
      </c>
      <c r="K15" s="2838"/>
      <c r="L15" s="2838"/>
      <c r="M15" s="2838"/>
      <c r="N15" s="2838"/>
      <c r="O15" s="2838"/>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545" t="s">
        <v>1828</v>
      </c>
      <c r="B16" s="1373" t="s">
        <v>940</v>
      </c>
      <c r="C16" s="1038" t="e">
        <f>ROUND(IF(F17="与级别开发程度一致",0,(G17-E17)/C17),0)</f>
        <v>#DIV/0!</v>
      </c>
      <c r="D16" s="3563" t="s">
        <v>944</v>
      </c>
      <c r="E16" s="3564"/>
      <c r="F16" s="3563" t="s">
        <v>941</v>
      </c>
      <c r="G16" s="3564"/>
      <c r="H16" s="1405"/>
      <c r="I16" s="1405"/>
      <c r="J16" s="1405"/>
      <c r="K16" s="1405"/>
      <c r="L16" s="1405"/>
      <c r="M16" s="1405"/>
      <c r="N16" s="1405"/>
      <c r="O16" s="2847"/>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549"/>
      <c r="B17" s="2848" t="s">
        <v>943</v>
      </c>
      <c r="C17" s="2849">
        <f>SUMPRODUCT((修正!A2:A5=E2)*(修正!B1:M1=G2)*(修正!B2:M5))</f>
        <v>0</v>
      </c>
      <c r="D17" s="2850" t="str">
        <f>IF(OR(G2="八级",G2="九级",G2="十级",G2="十一级",G2="十二级"),"五通一平","七通一平")</f>
        <v>七通一平</v>
      </c>
      <c r="E17" s="2840">
        <f>SUMPRODUCT((修正!B1:M1=G2)*(修正!B15:M15))</f>
        <v>0</v>
      </c>
      <c r="F17" s="2841"/>
      <c r="G17" s="2840">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1">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1819</v>
      </c>
      <c r="B18" s="2843" t="s">
        <v>945</v>
      </c>
      <c r="C18" s="2844">
        <f>SUMIF(修正!C18:C39,E3,修正!E18:E39)</f>
        <v>0</v>
      </c>
      <c r="D18" s="2845"/>
      <c r="E18" s="2846"/>
      <c r="F18" s="2829"/>
      <c r="G18" s="2828"/>
      <c r="H18" s="2828"/>
      <c r="I18" s="2828"/>
      <c r="J18" s="2836"/>
      <c r="K18" s="3228"/>
      <c r="L18" s="2828"/>
      <c r="M18" s="2828"/>
      <c r="N18" s="2828"/>
      <c r="O18" s="2828"/>
      <c r="P18" s="3233"/>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1825</v>
      </c>
      <c r="B19" s="1408" t="s">
        <v>946</v>
      </c>
      <c r="C19" s="1039">
        <f>ROUND(IF(H19="按公示增长率计算",SUMPRODUCT((地价!A3:A32=YEAR(G19)&amp;"-"&amp;ROUNDUP(MONTH(G19)/3,0))*(地价!X2:AB2=E2)*(地价!X3:AB32)),IF(H19="地价指数",M20/M19,(1+I19)^O19)),4)</f>
        <v>0</v>
      </c>
      <c r="D19" s="1412" t="s">
        <v>947</v>
      </c>
      <c r="E19" s="1040">
        <v>41640</v>
      </c>
      <c r="F19" s="1412" t="s">
        <v>948</v>
      </c>
      <c r="G19" s="1041">
        <f>'数据-取费表'!B2</f>
        <v>44254</v>
      </c>
      <c r="H19" s="1413" t="s">
        <v>2954</v>
      </c>
      <c r="I19" s="2501" t="str">
        <f>IF(H19="季度增幅（自定义）",SUMIF(N21:N24,E2,O21:O24),"")</f>
        <v/>
      </c>
      <c r="J19" s="1409"/>
      <c r="K19" s="3228"/>
      <c r="L19" s="2747" t="s">
        <v>2820</v>
      </c>
      <c r="M19" s="2748">
        <f>ROUND(SUMIF(地价!B2:F2,E2,地价!B32:F32),0)</f>
        <v>0</v>
      </c>
      <c r="N19" s="2503" t="s">
        <v>1666</v>
      </c>
      <c r="O19" s="2502">
        <f>ROUNDDOWN(DATEDIF(E19,G19,"M")/3,0)</f>
        <v>28</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1826</v>
      </c>
      <c r="B20" s="2496" t="s">
        <v>961</v>
      </c>
      <c r="C20" s="2497" t="e">
        <f>ROUND(POWER(1+G20,J20-I20)*(POWER(1+G20,I20)-1)/(POWER(1+G20,J20)-1),4)</f>
        <v>#DIV/0!</v>
      </c>
      <c r="D20" s="2498" t="s">
        <v>962</v>
      </c>
      <c r="E20" s="2777">
        <f ca="1">存贷款利率!I4/100</f>
        <v>4.3499999999999997E-2</v>
      </c>
      <c r="F20" s="2498" t="s">
        <v>963</v>
      </c>
      <c r="G20" s="2499">
        <f>SUMIF(M26:P26,E2,M28:P28)</f>
        <v>0</v>
      </c>
      <c r="H20" s="2498" t="s">
        <v>964</v>
      </c>
      <c r="I20" s="2494" t="e">
        <f>SUMIF('数据-取费表'!C6:C15,E2,'数据-取费表'!F6:F15)/COUNTIF('数据-取费表'!C6:C15,E2)</f>
        <v>#DIV/0!</v>
      </c>
      <c r="J20" s="2500">
        <f>IF(E2="住宅",70,IF(E2="商业",40,50))</f>
        <v>50</v>
      </c>
      <c r="K20" s="2838"/>
      <c r="L20" s="2749" t="s">
        <v>2821</v>
      </c>
      <c r="M20" s="2831">
        <f>ROUND(SUMPRODUCT((地价!A4:A32=YEAR(G19)&amp;"-"&amp;ROUNDUP(MONTH(G19)/3,0))*(地价!B2:F2=E2)*(地价!B4:F32)),0)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1827</v>
      </c>
      <c r="B21" s="1418" t="s">
        <v>2990</v>
      </c>
      <c r="C21" s="1140">
        <f>IF(B21="容积率修正",IF(G3&lt;=10,D22,J22),C23)</f>
        <v>0</v>
      </c>
      <c r="D21" s="1419"/>
      <c r="E21" s="1419"/>
      <c r="F21" s="1419"/>
      <c r="G21" s="1419"/>
      <c r="H21" s="1419"/>
      <c r="I21" s="1419"/>
      <c r="J21" s="1420"/>
      <c r="K21" s="3228"/>
      <c r="L21" s="1419"/>
      <c r="M21" s="1419"/>
      <c r="N21" s="1416" t="s">
        <v>965</v>
      </c>
      <c r="O21" s="1479"/>
      <c r="P21" s="2493">
        <f>SUMPRODUCT((地价!A3:A32=YEAR(G19)&amp;"-"&amp;ROUNDUP(MONTH(G19)/3,0))*(地价!AD2:AH2=N21)*(地价!AD3:AH32))</f>
        <v>0</v>
      </c>
      <c r="Q21" s="2640"/>
      <c r="R21" s="2074"/>
      <c r="S21" s="2074"/>
      <c r="T21" s="2074"/>
      <c r="U21" s="2074"/>
      <c r="V21" s="2074"/>
      <c r="W21" s="2074"/>
      <c r="X21" s="2074"/>
      <c r="Y21" s="1349"/>
      <c r="Z21" s="1349"/>
      <c r="AA21" s="1349"/>
      <c r="AB21" s="1349"/>
      <c r="AC21" s="1410"/>
      <c r="AD21" s="1410"/>
    </row>
    <row r="22" spans="1:40" s="1367" customFormat="1" ht="14.25">
      <c r="A22" s="1569" t="s">
        <v>1860</v>
      </c>
      <c r="B22" s="1421" t="s">
        <v>966</v>
      </c>
      <c r="C22" s="1042" t="s">
        <v>1692</v>
      </c>
      <c r="D22" s="1042">
        <f>IF(E22=G22,F22,IF(G3&lt;=10,ROUND(F22+(H22-F22)*(G3-E22)/(G22-E22),4),"——"))</f>
        <v>0</v>
      </c>
      <c r="E22" s="1025">
        <f>ROUNDDOWN(G3,1)</f>
        <v>2.1</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2.2000000000000002</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4"/>
      <c r="L22" s="1419"/>
      <c r="M22" s="1419"/>
      <c r="N22" s="1416" t="s">
        <v>968</v>
      </c>
      <c r="O22" s="1479"/>
      <c r="P22" s="2493">
        <f>SUMPRODUCT((地价!A3:A32=YEAR(G19)&amp;"-"&amp;ROUNDUP(MONTH(G19)/3,0))*(地价!AD2:AH2=N22)*(地价!AD3:AH32))</f>
        <v>0</v>
      </c>
      <c r="Q22" s="2640"/>
      <c r="R22" s="2074"/>
      <c r="S22" s="2074"/>
      <c r="T22" s="2074"/>
      <c r="U22" s="2074"/>
      <c r="V22" s="2074"/>
      <c r="W22" s="2074"/>
      <c r="X22" s="2074"/>
      <c r="Y22" s="1410"/>
      <c r="Z22" s="1410"/>
      <c r="AA22" s="1410"/>
      <c r="AB22" s="1410"/>
      <c r="AC22" s="1410"/>
      <c r="AD22" s="1410"/>
    </row>
    <row r="23" spans="1:40" ht="15.75" thickBot="1">
      <c r="A23" s="1569" t="s">
        <v>1861</v>
      </c>
      <c r="B23" s="1421" t="s">
        <v>969</v>
      </c>
      <c r="C23" s="1043">
        <f>ROUND(IF(G3&gt;1,IF(I3&lt;7,SUMPRODUCT((B93:B98=I3)*(C92:N92=G2)*(C93:N98)),SUMIF(C92:N92,G2,C100:N100)),IF(I3&lt;7,SUMPRODUCT((B102:B107=I3)*(C92:N92=G2)*(C102:N107)),SUMIF(C92:N92,G2,C109:N109))),4)</f>
        <v>0</v>
      </c>
      <c r="D23" s="1467"/>
      <c r="E23" s="1467"/>
      <c r="F23" s="1468"/>
      <c r="G23" s="1469"/>
      <c r="H23" s="1470"/>
      <c r="I23" s="1471"/>
      <c r="J23" s="1471"/>
      <c r="K23" s="3235"/>
      <c r="L23" s="1347"/>
      <c r="M23" s="1347"/>
      <c r="N23" s="1416" t="s">
        <v>913</v>
      </c>
      <c r="O23" s="1479"/>
      <c r="P23" s="2493">
        <f>SUMPRODUCT((地价!A3:A32=YEAR(G19)&amp;"-"&amp;ROUNDUP(MONTH(G19)/3,0))*(地价!AD2:AH2=N23)*(地价!AD3:AH32))</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1862</v>
      </c>
      <c r="B24" s="1361" t="s">
        <v>970</v>
      </c>
      <c r="C24" s="1044">
        <f>SUMIF(A44:A87,E2,B44:B87)</f>
        <v>0</v>
      </c>
      <c r="D24" s="1472"/>
      <c r="E24" s="1473"/>
      <c r="F24" s="1473"/>
      <c r="G24" s="1473"/>
      <c r="H24" s="1473"/>
      <c r="I24" s="1473"/>
      <c r="J24" s="1473"/>
      <c r="K24" s="3235"/>
      <c r="L24" s="1419"/>
      <c r="M24" s="1419"/>
      <c r="N24" s="1416" t="s">
        <v>971</v>
      </c>
      <c r="O24" s="2830"/>
      <c r="P24" s="2493">
        <f>SUMPRODUCT((地价!A3:A32=YEAR(G19)&amp;"-"&amp;ROUNDUP(MONTH(G19)/3,0))*(地价!AD2:AH2=N24)*(地价!AD3:AH32))</f>
        <v>0</v>
      </c>
      <c r="Q24" s="2640"/>
      <c r="R24" s="2074"/>
      <c r="S24" s="2074"/>
      <c r="T24" s="2074"/>
      <c r="U24" s="2074"/>
      <c r="V24" s="2074"/>
      <c r="W24" s="2074"/>
      <c r="X24" s="2074"/>
      <c r="Y24" s="1410"/>
      <c r="Z24" s="1410"/>
      <c r="AA24" s="1410"/>
      <c r="AB24" s="1410"/>
      <c r="AC24" s="1410"/>
      <c r="AD24" s="1410"/>
    </row>
    <row r="25" spans="1:40" ht="15" thickBot="1">
      <c r="A25" s="1567" t="s">
        <v>1863</v>
      </c>
      <c r="B25" s="1423" t="s">
        <v>972</v>
      </c>
      <c r="C25" s="1424"/>
      <c r="D25" s="1376"/>
      <c r="E25" s="1376"/>
      <c r="F25" s="1425"/>
      <c r="G25" s="1376"/>
      <c r="H25" s="1376"/>
      <c r="I25" s="1376"/>
      <c r="J25" s="1377"/>
      <c r="K25" s="3229"/>
      <c r="L25" s="2074"/>
      <c r="M25" s="2074"/>
      <c r="N25" s="2832" t="s">
        <v>2628</v>
      </c>
      <c r="O25" s="2833"/>
      <c r="P25" s="2300">
        <f>SUMPRODUCT((地价!A3:A32=YEAR(G19)&amp;"-"&amp;ROUNDUP(MONTH(G19)/3,0))*(地价!AD2:AH2=N25)*(地价!AD3:AH32))</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976</v>
      </c>
      <c r="C26" s="3011" t="e">
        <f>IF(B21="容积率修正",E29+SUM(E33:E39),SUM(V2:V16)+SUM(E33:E39))</f>
        <v>#DIV/0!</v>
      </c>
      <c r="D26" s="1427"/>
      <c r="E26" s="1402"/>
      <c r="F26" s="1428"/>
      <c r="G26" s="1402"/>
      <c r="H26" s="1402"/>
      <c r="I26" s="1402"/>
      <c r="J26" s="1429"/>
      <c r="K26" s="3229"/>
      <c r="L26" s="1526" t="s">
        <v>888</v>
      </c>
      <c r="M26" s="1374" t="s">
        <v>973</v>
      </c>
      <c r="N26" s="1374" t="s">
        <v>974</v>
      </c>
      <c r="O26" s="1374" t="s">
        <v>892</v>
      </c>
      <c r="P26" s="1414" t="s">
        <v>975</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978</v>
      </c>
      <c r="C27" s="1046" t="e">
        <f>E30+SUM(I33:I39)</f>
        <v>#DIV/0!</v>
      </c>
      <c r="D27" s="1431"/>
      <c r="E27" s="1432"/>
      <c r="F27" s="1433"/>
      <c r="G27" s="1432"/>
      <c r="H27" s="1432"/>
      <c r="I27" s="1432"/>
      <c r="J27" s="1434"/>
      <c r="K27" s="3229"/>
      <c r="L27" s="1406" t="s">
        <v>977</v>
      </c>
      <c r="M27" s="1033">
        <v>0.25</v>
      </c>
      <c r="N27" s="1033">
        <v>0.2</v>
      </c>
      <c r="O27" s="1033">
        <v>0.15</v>
      </c>
      <c r="P27" s="1476">
        <v>0.1</v>
      </c>
      <c r="Q27" s="2074"/>
      <c r="R27" s="2640"/>
      <c r="S27" s="2640"/>
      <c r="T27" s="2640"/>
      <c r="U27" s="2640"/>
      <c r="V27" s="2640"/>
      <c r="W27" s="2074"/>
      <c r="X27" s="2074"/>
      <c r="Y27" s="2074"/>
      <c r="Z27" s="2074"/>
      <c r="AA27" s="2074"/>
      <c r="AB27" s="2074"/>
      <c r="AC27" s="2074"/>
    </row>
    <row r="28" spans="1:40" ht="15" thickBot="1">
      <c r="A28" s="1422"/>
      <c r="B28" s="1435" t="s">
        <v>979</v>
      </c>
      <c r="C28" s="1436" t="s">
        <v>980</v>
      </c>
      <c r="D28" s="1436" t="s">
        <v>981</v>
      </c>
      <c r="E28" s="1437" t="s">
        <v>982</v>
      </c>
      <c r="F28" s="1438"/>
      <c r="G28" s="1388"/>
      <c r="H28" s="1388"/>
      <c r="I28" s="1388"/>
      <c r="J28" s="1389"/>
      <c r="K28" s="3229"/>
      <c r="L28" s="1407" t="s">
        <v>963</v>
      </c>
      <c r="M28" s="1477">
        <f ca="1">ROUND($E$20*(1+M27),3)</f>
        <v>5.3999999999999999E-2</v>
      </c>
      <c r="N28" s="1477">
        <f ca="1">ROUND($E$20*(1+N27),3)</f>
        <v>5.1999999999999998E-2</v>
      </c>
      <c r="O28" s="1477">
        <f ca="1">ROUND($E$20*(1+O27),3)</f>
        <v>0.05</v>
      </c>
      <c r="P28" s="1478">
        <f ca="1">ROUND($E$20*(1+P27),3)</f>
        <v>4.8000000000000001E-2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983</v>
      </c>
      <c r="C29" s="1045" t="e">
        <f>ROUND(C5*C18*C19*C20*C21*C24,0)</f>
        <v>#DIV/0!</v>
      </c>
      <c r="D29" s="1441"/>
      <c r="E29" s="1761" t="e">
        <f>ROUND(C29*D29/10000,0)</f>
        <v>#DIV/0!</v>
      </c>
      <c r="F29" s="1442" t="s">
        <v>1691</v>
      </c>
      <c r="G29" s="1443"/>
      <c r="H29" s="1443"/>
      <c r="I29" s="1443"/>
      <c r="J29" s="1444"/>
      <c r="K29" s="3236"/>
      <c r="L29" s="3236"/>
      <c r="M29" s="3236"/>
      <c r="N29" s="3236"/>
      <c r="O29" s="3236"/>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984</v>
      </c>
      <c r="C30" s="1037" t="e">
        <f>ROUND(IF(E2="工业",C29*M39,C29*M38),0)</f>
        <v>#DIV/0!</v>
      </c>
      <c r="D30" s="1447"/>
      <c r="E30" s="1761" t="e">
        <f>ROUND(C30*D30/10000,0)</f>
        <v>#DIV/0!</v>
      </c>
      <c r="F30" s="1448" t="s">
        <v>985</v>
      </c>
      <c r="G30" s="1449"/>
      <c r="H30" s="1449"/>
      <c r="I30" s="1449"/>
      <c r="J30" s="1450"/>
      <c r="K30" s="3229"/>
      <c r="L30" s="3229"/>
      <c r="M30" s="3229"/>
      <c r="N30" s="3229"/>
      <c r="O30" s="3229"/>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986</v>
      </c>
      <c r="C31" s="1453" t="s">
        <v>987</v>
      </c>
      <c r="D31" s="1388"/>
      <c r="E31" s="1453"/>
      <c r="F31" s="1453"/>
      <c r="G31" s="1386" t="s">
        <v>985</v>
      </c>
      <c r="H31" s="1388"/>
      <c r="I31" s="1454"/>
      <c r="J31" s="1389"/>
      <c r="K31" s="3229"/>
      <c r="L31" s="3229"/>
      <c r="M31" s="3229"/>
      <c r="N31" s="3229"/>
      <c r="O31" s="3229"/>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980</v>
      </c>
      <c r="D32" s="1457" t="s">
        <v>981</v>
      </c>
      <c r="E32" s="1457" t="s">
        <v>982</v>
      </c>
      <c r="F32" s="1458" t="s">
        <v>988</v>
      </c>
      <c r="G32" s="1417" t="s">
        <v>980</v>
      </c>
      <c r="H32" s="1417" t="s">
        <v>981</v>
      </c>
      <c r="I32" s="1417" t="s">
        <v>982</v>
      </c>
      <c r="J32" s="1459"/>
      <c r="K32" s="3237"/>
      <c r="L32" s="3237"/>
      <c r="M32" s="3237"/>
      <c r="N32" s="3237"/>
      <c r="O32" s="3237"/>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52"/>
      <c r="B33" s="1461" t="s">
        <v>989</v>
      </c>
      <c r="C33" s="1045" t="e">
        <f>ROUND(D5*C19*C20*C24*F33,0)</f>
        <v>#DIV/0!</v>
      </c>
      <c r="D33" s="1474"/>
      <c r="E33" s="1034" t="e">
        <f>ROUND(C33*D33/10000,0)</f>
        <v>#DIV/0!</v>
      </c>
      <c r="F33" s="1034">
        <f>SUMIF(修正!A45:A56,G2,修正!B45:B56)</f>
        <v>0</v>
      </c>
      <c r="G33" s="1034" t="e">
        <f t="shared" ref="G33" si="6">ROUND(IF(E2="工业",C33*$M$39,C33*$M$38),0)</f>
        <v>#DIV/0!</v>
      </c>
      <c r="H33" s="1034">
        <f>D33</f>
        <v>0</v>
      </c>
      <c r="I33" s="1034" t="e">
        <f>ROUND(G33*H33/10000,0)</f>
        <v>#DIV/0!</v>
      </c>
      <c r="J33" s="3552" t="s">
        <v>2994</v>
      </c>
      <c r="K33" s="2837"/>
      <c r="L33" s="2837"/>
      <c r="M33" s="2837"/>
      <c r="N33" s="2837"/>
      <c r="O33" s="2837"/>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53"/>
      <c r="B34" s="1391" t="s">
        <v>990</v>
      </c>
      <c r="C34" s="1045" t="e">
        <f>ROUND(D5*C19*C20*C24*F34,0)</f>
        <v>#DIV/0!</v>
      </c>
      <c r="D34" s="1474"/>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53"/>
      <c r="K34" s="2837"/>
      <c r="L34" s="2837"/>
      <c r="M34" s="2837"/>
      <c r="N34" s="2837"/>
      <c r="O34" s="2837"/>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53"/>
      <c r="B35" s="1391" t="s">
        <v>991</v>
      </c>
      <c r="C35" s="1045" t="e">
        <f>ROUND(D5*C19*C20*C24*F35,0)</f>
        <v>#DIV/0!</v>
      </c>
      <c r="D35" s="1474"/>
      <c r="E35" s="1034" t="e">
        <f t="shared" si="7"/>
        <v>#DIV/0!</v>
      </c>
      <c r="F35" s="1034">
        <f>SUMIF(修正!A45:A56,G2,修正!D45:D56)</f>
        <v>0</v>
      </c>
      <c r="G35" s="1034" t="e">
        <f>ROUND(IF(E2="工业",C35*$M$39,C35*$M$38),0)</f>
        <v>#DIV/0!</v>
      </c>
      <c r="H35" s="1034">
        <f t="shared" si="8"/>
        <v>0</v>
      </c>
      <c r="I35" s="1034" t="e">
        <f t="shared" si="9"/>
        <v>#DIV/0!</v>
      </c>
      <c r="J35" s="3553"/>
      <c r="K35" s="2837"/>
      <c r="L35" s="2837"/>
      <c r="M35" s="2837"/>
      <c r="N35" s="2837"/>
      <c r="O35" s="2837"/>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54"/>
      <c r="B36" s="1391" t="s">
        <v>992</v>
      </c>
      <c r="C36" s="1045" t="e">
        <f>ROUND(D5*C19*C20*C24*F36,0)</f>
        <v>#DIV/0!</v>
      </c>
      <c r="D36" s="1474"/>
      <c r="E36" s="1034" t="e">
        <f t="shared" si="7"/>
        <v>#DIV/0!</v>
      </c>
      <c r="F36" s="1034">
        <f>SUMIF(修正!A45:A56,G2,修正!E45:E56)</f>
        <v>0</v>
      </c>
      <c r="G36" s="1034" t="e">
        <f>ROUND(IF(E2="工业",C36*$M$39,C36*$M$38),0)</f>
        <v>#DIV/0!</v>
      </c>
      <c r="H36" s="1034">
        <f t="shared" si="8"/>
        <v>0</v>
      </c>
      <c r="I36" s="1034" t="e">
        <f t="shared" si="9"/>
        <v>#DIV/0!</v>
      </c>
      <c r="J36" s="3554"/>
      <c r="K36" s="2837"/>
      <c r="L36" s="2837"/>
      <c r="M36" s="2837"/>
      <c r="N36" s="2837"/>
      <c r="O36" s="2837"/>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993</v>
      </c>
      <c r="C37" s="1034" t="e">
        <f>ROUND(D5*C19*C20*C24*F37,0)</f>
        <v>#DIV/0!</v>
      </c>
      <c r="D37" s="1474"/>
      <c r="E37" s="1034" t="e">
        <f t="shared" si="7"/>
        <v>#DIV/0!</v>
      </c>
      <c r="F37" s="1045">
        <f>SUMIF(修正!A45:A56,G2,修正!F45:F56)</f>
        <v>0</v>
      </c>
      <c r="G37" s="1034" t="e">
        <f>ROUND(IF(E2="工业",C37*$M$39,C37*$M$38),0)</f>
        <v>#DIV/0!</v>
      </c>
      <c r="H37" s="1034">
        <f t="shared" si="8"/>
        <v>0</v>
      </c>
      <c r="I37" s="1034" t="e">
        <f t="shared" si="9"/>
        <v>#DIV/0!</v>
      </c>
      <c r="J37" s="1462"/>
      <c r="K37" s="2068"/>
      <c r="L37" s="1480" t="s">
        <v>1693</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994</v>
      </c>
      <c r="C38" s="1034" t="e">
        <f>ROUND(D5*C19*C41*C24*F38,0)</f>
        <v>#DIV/0!</v>
      </c>
      <c r="D38" s="1474"/>
      <c r="E38" s="1034" t="e">
        <f t="shared" si="7"/>
        <v>#DIV/0!</v>
      </c>
      <c r="F38" s="1045">
        <f>SUMIF(修正!A45:A56,G2,修正!G45:G56)</f>
        <v>0</v>
      </c>
      <c r="G38" s="1034" t="e">
        <f>ROUND(IF(E2="工业",C38*$M$39,C38*$M$38),0)</f>
        <v>#DIV/0!</v>
      </c>
      <c r="H38" s="1034">
        <f t="shared" si="8"/>
        <v>0</v>
      </c>
      <c r="I38" s="1034" t="e">
        <f t="shared" si="9"/>
        <v>#DIV/0!</v>
      </c>
      <c r="J38" s="1462"/>
      <c r="K38" s="2068"/>
      <c r="L38" s="1482" t="s">
        <v>1695</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995</v>
      </c>
      <c r="C39" s="1037" t="e">
        <f>ROUND(D5*C19*C41*C24*F39,0)</f>
        <v>#DIV/0!</v>
      </c>
      <c r="D39" s="1475"/>
      <c r="E39" s="1037" t="e">
        <f t="shared" si="7"/>
        <v>#DIV/0!</v>
      </c>
      <c r="F39" s="1047">
        <f>SUMIF(修正!A45:A56,G2,修正!H45:H56)</f>
        <v>0</v>
      </c>
      <c r="G39" s="1037" t="e">
        <f>ROUND(IF(E2="工业",C39*$M$39,C39*$M$38),0)</f>
        <v>#DIV/0!</v>
      </c>
      <c r="H39" s="1037">
        <f t="shared" si="8"/>
        <v>0</v>
      </c>
      <c r="I39" s="1037" t="e">
        <f t="shared" si="9"/>
        <v>#DIV/0!</v>
      </c>
      <c r="J39" s="1464"/>
      <c r="K39" s="2068"/>
      <c r="L39" s="1484" t="s">
        <v>1694</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27" t="s">
        <v>2948</v>
      </c>
      <c r="C41" s="827" t="e">
        <f>ROUND(POWER(1+E41,H41-G41)*(POWER(1+E41,G41)-1)/(POWER(1+E41,H41)-1),4)</f>
        <v>#DIV/0!</v>
      </c>
      <c r="D41" s="371" t="s">
        <v>2946</v>
      </c>
      <c r="E41" s="2826">
        <f>G20</f>
        <v>0</v>
      </c>
      <c r="F41" s="371" t="s">
        <v>2947</v>
      </c>
      <c r="G41" s="389"/>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996</v>
      </c>
      <c r="B44" s="2273"/>
      <c r="C44" s="2274"/>
      <c r="D44" s="2275"/>
      <c r="E44" s="2275"/>
      <c r="F44" s="2276"/>
      <c r="G44" s="1048"/>
      <c r="H44" s="2276"/>
      <c r="I44" s="1048"/>
      <c r="J44" s="1048"/>
      <c r="K44" s="1048"/>
      <c r="L44" s="1048"/>
      <c r="M44" s="1048"/>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997</v>
      </c>
      <c r="B45" s="2278">
        <f>1+E47</f>
        <v>1</v>
      </c>
      <c r="C45" s="2279"/>
      <c r="D45" s="2280"/>
      <c r="E45" s="2281"/>
      <c r="F45" s="2282"/>
      <c r="G45" s="2276"/>
      <c r="H45" s="2276"/>
      <c r="I45" s="1048"/>
      <c r="J45" s="1048"/>
      <c r="K45" s="1048"/>
      <c r="L45" s="1048"/>
      <c r="M45" s="1048"/>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9" t="s">
        <v>998</v>
      </c>
      <c r="B46" s="2261" t="s">
        <v>999</v>
      </c>
      <c r="C46" s="2283" t="s">
        <v>1000</v>
      </c>
      <c r="D46" s="2284" t="s">
        <v>1001</v>
      </c>
      <c r="E46" s="2285" t="s">
        <v>1003</v>
      </c>
      <c r="F46" s="2286" t="s">
        <v>2238</v>
      </c>
      <c r="G46" s="2284" t="s">
        <v>1004</v>
      </c>
      <c r="H46" s="2267" t="s">
        <v>2402</v>
      </c>
      <c r="I46" s="2284" t="s">
        <v>1002</v>
      </c>
      <c r="J46" s="2287" t="s">
        <v>1005</v>
      </c>
      <c r="K46" s="2287" t="s">
        <v>1006</v>
      </c>
      <c r="L46" s="2287" t="s">
        <v>1007</v>
      </c>
      <c r="M46" s="2287" t="s">
        <v>1008</v>
      </c>
      <c r="N46" s="2287" t="s">
        <v>1009</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9" t="s">
        <v>1010</v>
      </c>
      <c r="B47" s="2264" t="str">
        <f>估价对象房地状况!C16</f>
        <v>估价对象位于XX商圈，周边商业氛围成熟，人流量大，商业繁华度好</v>
      </c>
      <c r="C47" s="1036"/>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9" t="s">
        <v>1011</v>
      </c>
      <c r="B48" s="2261" t="str">
        <f>估价对象房地状况!C18</f>
        <v>估价对象周边道路状况、公共交通通达情况、停车便捷程度，综合评价交通便捷度较好</v>
      </c>
      <c r="C48" s="1036"/>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9" t="s">
        <v>1012</v>
      </c>
      <c r="B49" s="2261">
        <f>估价对象房地状况!C19</f>
        <v>0</v>
      </c>
      <c r="C49" s="1036"/>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9" t="s">
        <v>1013</v>
      </c>
      <c r="B50" s="2779" t="s">
        <v>2904</v>
      </c>
      <c r="C50" s="1036"/>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9" t="s">
        <v>1014</v>
      </c>
      <c r="B51" s="2261">
        <f>估价对象房地状况!C24</f>
        <v>0</v>
      </c>
      <c r="C51" s="1036"/>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9" t="s">
        <v>1015</v>
      </c>
      <c r="B52" s="2778" t="s">
        <v>2903</v>
      </c>
      <c r="C52" s="1036"/>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1016</v>
      </c>
      <c r="B53" s="2262" t="str">
        <f>估价对象房地状况!C21</f>
        <v>估价对象所在区域公共配套设施齐备情况</v>
      </c>
      <c r="C53" s="1036"/>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1017</v>
      </c>
      <c r="B54" s="2261" t="str">
        <f>估价对象房地状况!C22</f>
        <v>估价对象所在区域基础设施水平</v>
      </c>
      <c r="C54" s="1036"/>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1018</v>
      </c>
      <c r="B55" s="2265" t="str">
        <f>估价对象房地状况!C20</f>
        <v>区域自然环境：；人文环境；综合评价环境状况一般</v>
      </c>
      <c r="C55" s="1036"/>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1019</v>
      </c>
      <c r="B56" s="2278">
        <f>1+E58</f>
        <v>1</v>
      </c>
      <c r="C56" s="2297"/>
      <c r="D56" s="2280"/>
      <c r="E56" s="2281"/>
      <c r="F56" s="2282"/>
      <c r="G56" s="2276"/>
      <c r="H56" s="2276"/>
      <c r="I56" s="2276"/>
      <c r="J56" s="1048"/>
      <c r="K56" s="1048"/>
      <c r="L56" s="1048"/>
      <c r="M56" s="1048"/>
      <c r="N56" s="1048"/>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9" t="s">
        <v>998</v>
      </c>
      <c r="B57" s="2261"/>
      <c r="C57" s="2283" t="s">
        <v>1000</v>
      </c>
      <c r="D57" s="2284" t="s">
        <v>1001</v>
      </c>
      <c r="E57" s="2285" t="s">
        <v>1003</v>
      </c>
      <c r="F57" s="2286" t="s">
        <v>2239</v>
      </c>
      <c r="G57" s="2284" t="s">
        <v>1004</v>
      </c>
      <c r="H57" s="2267" t="s">
        <v>2402</v>
      </c>
      <c r="I57" s="2284" t="s">
        <v>1002</v>
      </c>
      <c r="J57" s="2287" t="s">
        <v>1005</v>
      </c>
      <c r="K57" s="2287" t="s">
        <v>1006</v>
      </c>
      <c r="L57" s="2287" t="s">
        <v>1007</v>
      </c>
      <c r="M57" s="2287" t="s">
        <v>1008</v>
      </c>
      <c r="N57" s="2287" t="s">
        <v>1009</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9" t="s">
        <v>1020</v>
      </c>
      <c r="B58" s="2264" t="str">
        <f>估价对象房地状况!C17</f>
        <v>估价对象位于XX商圈，周边办公楼项目较多，入驻率高，办公集聚程度较好</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9" t="s">
        <v>1011</v>
      </c>
      <c r="B59" s="2261" t="str">
        <f>估价对象房地状况!C18</f>
        <v>估价对象周边道路状况、公共交通通达情况、停车便捷程度，综合评价交通便捷度较好</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9" t="s">
        <v>1012</v>
      </c>
      <c r="B60" s="2261">
        <f>估价对象房地状况!C19</f>
        <v>0</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9" t="s">
        <v>1013</v>
      </c>
      <c r="B61" s="2779" t="s">
        <v>2905</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9" t="s">
        <v>1014</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9" t="s">
        <v>1015</v>
      </c>
      <c r="B63" s="2778" t="s">
        <v>2903</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9" t="s">
        <v>1016</v>
      </c>
      <c r="B64" s="2262" t="str">
        <f>估价对象房地状况!C21</f>
        <v>估价对象所在区域公共配套设施齐备情况</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9" t="s">
        <v>1017</v>
      </c>
      <c r="B65" s="2262" t="str">
        <f>估价对象房地状况!C22</f>
        <v>估价对象所在区域基础设施水平</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1018</v>
      </c>
      <c r="B66" s="2266" t="str">
        <f>估价对象房地状况!C20</f>
        <v>区域自然环境：；人文环境；综合评价环境状况一般</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1021</v>
      </c>
      <c r="B67" s="2278">
        <f>1+E69</f>
        <v>1</v>
      </c>
      <c r="C67" s="2297"/>
      <c r="D67" s="2280"/>
      <c r="E67" s="2281"/>
      <c r="F67" s="2282"/>
      <c r="G67" s="2276"/>
      <c r="H67" s="2276"/>
      <c r="I67" s="2276"/>
      <c r="J67" s="1048"/>
      <c r="K67" s="1048"/>
      <c r="L67" s="1048"/>
      <c r="M67" s="1048"/>
      <c r="N67" s="1048"/>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9" t="s">
        <v>998</v>
      </c>
      <c r="B68" s="2261"/>
      <c r="C68" s="2283" t="s">
        <v>1000</v>
      </c>
      <c r="D68" s="2284" t="s">
        <v>1001</v>
      </c>
      <c r="E68" s="2285" t="s">
        <v>1003</v>
      </c>
      <c r="F68" s="2286" t="s">
        <v>2240</v>
      </c>
      <c r="G68" s="2284" t="s">
        <v>1004</v>
      </c>
      <c r="H68" s="2267" t="s">
        <v>2402</v>
      </c>
      <c r="I68" s="2284" t="s">
        <v>1002</v>
      </c>
      <c r="J68" s="2287" t="s">
        <v>1005</v>
      </c>
      <c r="K68" s="2287" t="s">
        <v>1006</v>
      </c>
      <c r="L68" s="2287" t="s">
        <v>1007</v>
      </c>
      <c r="M68" s="2287" t="s">
        <v>1008</v>
      </c>
      <c r="N68" s="2287" t="s">
        <v>1009</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9" t="s">
        <v>1022</v>
      </c>
      <c r="B69" s="2264" t="str">
        <f>估价对象房地状况!C15</f>
        <v>估价对象周边居住用地比例、居住小区规模和社区发展完善程度，综合评价居住社区成熟度一般</v>
      </c>
      <c r="C69" s="1141"/>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9" t="s">
        <v>1023</v>
      </c>
      <c r="B70" s="2261" t="str">
        <f>估价对象房地状况!C18</f>
        <v>估价对象周边道路状况、公共交通通达情况、停车便捷程度，综合评价交通便捷度较好</v>
      </c>
      <c r="C70" s="1141"/>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9" t="s">
        <v>1012</v>
      </c>
      <c r="B71" s="2261">
        <f>估价对象房地状况!C19</f>
        <v>0</v>
      </c>
      <c r="C71" s="1141"/>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9" t="s">
        <v>1024</v>
      </c>
      <c r="B72" s="2261">
        <f>估价对象房地状况!C24</f>
        <v>0</v>
      </c>
      <c r="C72" s="1141"/>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9" t="s">
        <v>1016</v>
      </c>
      <c r="B73" s="2262" t="str">
        <f>估价对象房地状况!C21</f>
        <v>估价对象所在区域公共配套设施齐备情况</v>
      </c>
      <c r="C73" s="1141"/>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9" t="s">
        <v>1017</v>
      </c>
      <c r="B74" s="2262" t="str">
        <f>估价对象房地状况!C22</f>
        <v>估价对象所在区域基础设施水平</v>
      </c>
      <c r="C74" s="1141"/>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9" t="s">
        <v>1015</v>
      </c>
      <c r="B75" s="2778" t="s">
        <v>2903</v>
      </c>
      <c r="C75" s="1141"/>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9" t="s">
        <v>1018</v>
      </c>
      <c r="B76" s="2264" t="str">
        <f>估价对象房地状况!C20</f>
        <v>区域自然环境：；人文环境；综合评价环境状况一般</v>
      </c>
      <c r="C76" s="1141"/>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1025</v>
      </c>
      <c r="B77" s="1762"/>
      <c r="C77" s="1141"/>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5">
      <c r="A78" s="2277" t="s">
        <v>1026</v>
      </c>
      <c r="B78" s="2278">
        <f>1+E80</f>
        <v>1</v>
      </c>
      <c r="C78" s="2297"/>
      <c r="D78" s="2280"/>
      <c r="E78" s="2281"/>
      <c r="F78" s="2282"/>
      <c r="G78" s="2276"/>
      <c r="H78" s="2276"/>
      <c r="I78" s="2276"/>
      <c r="J78" s="1048"/>
      <c r="K78" s="1048"/>
      <c r="L78" s="1048"/>
      <c r="M78" s="1048"/>
      <c r="N78" s="1048"/>
      <c r="AC78" s="1351"/>
      <c r="AD78" s="1350"/>
      <c r="AJ78" s="1349"/>
      <c r="AN78" s="1350"/>
    </row>
    <row r="79" spans="1:40" ht="24">
      <c r="A79" s="1049" t="s">
        <v>998</v>
      </c>
      <c r="B79" s="2261"/>
      <c r="C79" s="2283" t="s">
        <v>1000</v>
      </c>
      <c r="D79" s="2284" t="s">
        <v>1001</v>
      </c>
      <c r="E79" s="2285" t="s">
        <v>1003</v>
      </c>
      <c r="F79" s="2286" t="s">
        <v>2241</v>
      </c>
      <c r="G79" s="2284" t="s">
        <v>1004</v>
      </c>
      <c r="H79" s="2267" t="s">
        <v>2402</v>
      </c>
      <c r="I79" s="2284" t="s">
        <v>1002</v>
      </c>
      <c r="J79" s="2287" t="s">
        <v>1005</v>
      </c>
      <c r="K79" s="2287" t="s">
        <v>1006</v>
      </c>
      <c r="L79" s="2287" t="s">
        <v>1007</v>
      </c>
      <c r="M79" s="2287" t="s">
        <v>1008</v>
      </c>
      <c r="N79" s="2287" t="s">
        <v>1009</v>
      </c>
      <c r="AC79" s="1351"/>
      <c r="AD79" s="1350"/>
      <c r="AJ79" s="1349"/>
      <c r="AN79" s="1350"/>
    </row>
    <row r="80" spans="1:40" ht="36">
      <c r="A80" s="1049" t="s">
        <v>1027</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9" t="s">
        <v>1023</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9" t="s">
        <v>1012</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9" t="s">
        <v>1024</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9" t="s">
        <v>1016</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9" t="s">
        <v>1017</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9" t="s">
        <v>1015</v>
      </c>
      <c r="B86" s="2778" t="s">
        <v>2903</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1028</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50" t="s">
        <v>1623</v>
      </c>
      <c r="B90" s="3550"/>
      <c r="C90" s="3550"/>
      <c r="D90" s="3550"/>
      <c r="E90" s="3550"/>
      <c r="F90" s="3550"/>
      <c r="G90" s="3550"/>
      <c r="H90" s="3550"/>
      <c r="I90" s="3550"/>
      <c r="J90" s="3550"/>
      <c r="K90" s="2303"/>
      <c r="L90" s="2303"/>
      <c r="M90" s="2303"/>
      <c r="N90" s="2303"/>
    </row>
    <row r="91" spans="1:40">
      <c r="A91" s="3551" t="s">
        <v>1433</v>
      </c>
      <c r="B91" s="3551" t="s">
        <v>1624</v>
      </c>
      <c r="C91" s="1122" t="s">
        <v>1625</v>
      </c>
      <c r="D91" s="1123"/>
      <c r="E91" s="1123"/>
      <c r="F91" s="1123"/>
      <c r="G91" s="1123"/>
      <c r="H91" s="1123"/>
      <c r="I91" s="1123"/>
      <c r="J91" s="1124"/>
      <c r="K91" s="1116"/>
      <c r="L91" s="1116"/>
      <c r="M91" s="1116"/>
      <c r="N91" s="1116"/>
    </row>
    <row r="92" spans="1:40">
      <c r="A92" s="3551"/>
      <c r="B92" s="3551"/>
      <c r="C92" s="2302" t="s">
        <v>897</v>
      </c>
      <c r="D92" s="2302" t="s">
        <v>875</v>
      </c>
      <c r="E92" s="2302" t="s">
        <v>876</v>
      </c>
      <c r="F92" s="2302" t="s">
        <v>900</v>
      </c>
      <c r="G92" s="2302" t="s">
        <v>878</v>
      </c>
      <c r="H92" s="2302" t="s">
        <v>879</v>
      </c>
      <c r="I92" s="2302" t="s">
        <v>880</v>
      </c>
      <c r="J92" s="2302" t="s">
        <v>881</v>
      </c>
      <c r="K92" s="2302" t="s">
        <v>905</v>
      </c>
      <c r="L92" s="2302" t="s">
        <v>883</v>
      </c>
      <c r="M92" s="2302" t="s">
        <v>884</v>
      </c>
      <c r="N92" s="2302" t="s">
        <v>908</v>
      </c>
    </row>
    <row r="93" spans="1:40">
      <c r="A93" s="3558"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5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5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5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5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5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59"/>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60"/>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58" t="s">
        <v>1627</v>
      </c>
      <c r="B101" s="1129" t="s">
        <v>896</v>
      </c>
      <c r="C101" s="1130">
        <f>$G$3</f>
        <v>2.16</v>
      </c>
      <c r="D101" s="1130">
        <f t="shared" ref="D101:N101" si="31">$G$3</f>
        <v>2.16</v>
      </c>
      <c r="E101" s="1130">
        <f t="shared" si="31"/>
        <v>2.16</v>
      </c>
      <c r="F101" s="1130">
        <f t="shared" si="31"/>
        <v>2.16</v>
      </c>
      <c r="G101" s="1130">
        <f t="shared" si="31"/>
        <v>2.16</v>
      </c>
      <c r="H101" s="1130">
        <f t="shared" si="31"/>
        <v>2.16</v>
      </c>
      <c r="I101" s="1130">
        <f t="shared" si="31"/>
        <v>2.16</v>
      </c>
      <c r="J101" s="1130">
        <f t="shared" si="31"/>
        <v>2.16</v>
      </c>
      <c r="K101" s="1130">
        <f t="shared" si="31"/>
        <v>2.16</v>
      </c>
      <c r="L101" s="1130">
        <f t="shared" si="31"/>
        <v>2.16</v>
      </c>
      <c r="M101" s="1130">
        <f t="shared" si="31"/>
        <v>2.16</v>
      </c>
      <c r="N101" s="1130">
        <f t="shared" si="31"/>
        <v>2.16</v>
      </c>
    </row>
    <row r="102" spans="1:14">
      <c r="A102" s="3559"/>
      <c r="B102" s="1125">
        <v>1</v>
      </c>
      <c r="C102" s="1126">
        <f>1.9362/C101</f>
        <v>0.89638888888888879</v>
      </c>
      <c r="D102" s="1126">
        <f>1.9362/D101</f>
        <v>0.89638888888888879</v>
      </c>
      <c r="E102" s="1126">
        <f>1.8629/E101</f>
        <v>0.86245370370370367</v>
      </c>
      <c r="F102" s="1126">
        <f>1.8629/F101</f>
        <v>0.86245370370370367</v>
      </c>
      <c r="G102" s="1126">
        <f>1.8629/G101</f>
        <v>0.86245370370370367</v>
      </c>
      <c r="H102" s="1126">
        <f>1.8629/H101</f>
        <v>0.86245370370370367</v>
      </c>
      <c r="I102" s="1126">
        <f>1.8629/I101</f>
        <v>0.86245370370370367</v>
      </c>
      <c r="J102" s="1126">
        <f>1.942/J101</f>
        <v>0.89907407407407403</v>
      </c>
      <c r="K102" s="1126">
        <f>1.942/K101</f>
        <v>0.89907407407407403</v>
      </c>
      <c r="L102" s="1126">
        <f>1.942/L101</f>
        <v>0.89907407407407403</v>
      </c>
      <c r="M102" s="1126">
        <f>1.942/M101</f>
        <v>0.89907407407407403</v>
      </c>
      <c r="N102" s="1126">
        <f>1.942/N101</f>
        <v>0.89907407407407403</v>
      </c>
    </row>
    <row r="103" spans="1:14">
      <c r="A103" s="3559"/>
      <c r="B103" s="1125">
        <v>2</v>
      </c>
      <c r="C103" s="1126">
        <f>1.4198/C101</f>
        <v>0.6573148148148148</v>
      </c>
      <c r="D103" s="1126">
        <f>1.4198/D101</f>
        <v>0.6573148148148148</v>
      </c>
      <c r="E103" s="1126">
        <f>1.3372/E101</f>
        <v>0.619074074074074</v>
      </c>
      <c r="F103" s="1126">
        <f>1.3372/F101</f>
        <v>0.619074074074074</v>
      </c>
      <c r="G103" s="1126">
        <f>1.3372/G101</f>
        <v>0.619074074074074</v>
      </c>
      <c r="H103" s="1126">
        <f>1.3372/H101</f>
        <v>0.619074074074074</v>
      </c>
      <c r="I103" s="1126">
        <f>1.3372/I101</f>
        <v>0.619074074074074</v>
      </c>
      <c r="J103" s="1126">
        <f>1.2799/J101</f>
        <v>0.59254629629629629</v>
      </c>
      <c r="K103" s="1126">
        <f>1.2799/K101</f>
        <v>0.59254629629629629</v>
      </c>
      <c r="L103" s="1126">
        <f>1.2799/L101</f>
        <v>0.59254629629629629</v>
      </c>
      <c r="M103" s="1126">
        <f>1.2799/M101</f>
        <v>0.59254629629629629</v>
      </c>
      <c r="N103" s="1126">
        <f>1.2799/N101</f>
        <v>0.59254629629629629</v>
      </c>
    </row>
    <row r="104" spans="1:14">
      <c r="A104" s="3559"/>
      <c r="B104" s="1125">
        <v>3</v>
      </c>
      <c r="C104" s="1126">
        <f>1.1594/C101</f>
        <v>0.53675925925925927</v>
      </c>
      <c r="D104" s="1126">
        <f>1.1594/D101</f>
        <v>0.53675925925925927</v>
      </c>
      <c r="E104" s="1126">
        <f>1.0788/E101</f>
        <v>0.49944444444444441</v>
      </c>
      <c r="F104" s="1126">
        <f>1.0788/F101</f>
        <v>0.49944444444444441</v>
      </c>
      <c r="G104" s="1126">
        <f>1.0788/G101</f>
        <v>0.49944444444444441</v>
      </c>
      <c r="H104" s="1126">
        <f>1.0788/H101</f>
        <v>0.49944444444444441</v>
      </c>
      <c r="I104" s="1126">
        <f>1.0788/I101</f>
        <v>0.49944444444444441</v>
      </c>
      <c r="J104" s="1126">
        <f>1.0072/J101</f>
        <v>0.46629629629629632</v>
      </c>
      <c r="K104" s="1126">
        <f>1.0072/K101</f>
        <v>0.46629629629629632</v>
      </c>
      <c r="L104" s="1126">
        <f>1.0072/L101</f>
        <v>0.46629629629629632</v>
      </c>
      <c r="M104" s="1126">
        <f>1.0072/M101</f>
        <v>0.46629629629629632</v>
      </c>
      <c r="N104" s="1126">
        <f>1.0072/N101</f>
        <v>0.46629629629629632</v>
      </c>
    </row>
    <row r="105" spans="1:14">
      <c r="A105" s="3559"/>
      <c r="B105" s="1125">
        <v>4</v>
      </c>
      <c r="C105" s="1126">
        <f>0.9622/C101</f>
        <v>0.44546296296296295</v>
      </c>
      <c r="D105" s="1126">
        <f>0.9622/D101</f>
        <v>0.44546296296296295</v>
      </c>
      <c r="E105" s="1126">
        <f>0.8656/E101</f>
        <v>0.40074074074074073</v>
      </c>
      <c r="F105" s="1126">
        <f>0.8656/F101</f>
        <v>0.40074074074074073</v>
      </c>
      <c r="G105" s="1126">
        <f>0.8656/G101</f>
        <v>0.40074074074074073</v>
      </c>
      <c r="H105" s="1126">
        <f>0.8656/H101</f>
        <v>0.40074074074074073</v>
      </c>
      <c r="I105" s="1126">
        <f>0.8656/I101</f>
        <v>0.40074074074074073</v>
      </c>
      <c r="J105" s="1126">
        <f>0.7525/J101</f>
        <v>0.34837962962962959</v>
      </c>
      <c r="K105" s="1126">
        <f>0.7525/K101</f>
        <v>0.34837962962962959</v>
      </c>
      <c r="L105" s="1126">
        <f>0.7525/L101</f>
        <v>0.34837962962962959</v>
      </c>
      <c r="M105" s="1126">
        <f>0.7525/M101</f>
        <v>0.34837962962962959</v>
      </c>
      <c r="N105" s="1126">
        <f>0.7525/N101</f>
        <v>0.34837962962962959</v>
      </c>
    </row>
    <row r="106" spans="1:14">
      <c r="A106" s="3559"/>
      <c r="B106" s="1125">
        <v>5</v>
      </c>
      <c r="C106" s="1126">
        <f>0.8417/C101</f>
        <v>0.38967592592592593</v>
      </c>
      <c r="D106" s="1126">
        <f>0.8417/D101</f>
        <v>0.38967592592592593</v>
      </c>
      <c r="E106" s="1126">
        <f>0.7371/E101</f>
        <v>0.34124999999999994</v>
      </c>
      <c r="F106" s="1126">
        <f>0.7371/F101</f>
        <v>0.34124999999999994</v>
      </c>
      <c r="G106" s="1126">
        <f>0.7371/G101</f>
        <v>0.34124999999999994</v>
      </c>
      <c r="H106" s="1126">
        <f>0.7371/H101</f>
        <v>0.34124999999999994</v>
      </c>
      <c r="I106" s="1126">
        <f>0.7371/I101</f>
        <v>0.34124999999999994</v>
      </c>
      <c r="J106" s="1126">
        <f>0.5659/J101</f>
        <v>0.26199074074074069</v>
      </c>
      <c r="K106" s="1126">
        <f>0.5659/K101</f>
        <v>0.26199074074074069</v>
      </c>
      <c r="L106" s="1126">
        <f>0.5659/L101</f>
        <v>0.26199074074074069</v>
      </c>
      <c r="M106" s="1126">
        <f>0.5659/M101</f>
        <v>0.26199074074074069</v>
      </c>
      <c r="N106" s="1126">
        <f>0.5659/N101</f>
        <v>0.26199074074074069</v>
      </c>
    </row>
    <row r="107" spans="1:14">
      <c r="A107" s="3559"/>
      <c r="B107" s="1125">
        <v>6</v>
      </c>
      <c r="C107" s="1126">
        <f>0.7608/C101</f>
        <v>0.35222222222222221</v>
      </c>
      <c r="D107" s="1126">
        <f>0.7608/D101</f>
        <v>0.35222222222222221</v>
      </c>
      <c r="E107" s="1126">
        <f>0.6482/E101</f>
        <v>0.30009259259259258</v>
      </c>
      <c r="F107" s="1126">
        <f>0.6482/F101</f>
        <v>0.30009259259259258</v>
      </c>
      <c r="G107" s="1126">
        <f>0.6482/G101</f>
        <v>0.30009259259259258</v>
      </c>
      <c r="H107" s="1126">
        <f>0.6482/H101</f>
        <v>0.30009259259259258</v>
      </c>
      <c r="I107" s="1126">
        <f>0.6482/I101</f>
        <v>0.30009259259259258</v>
      </c>
      <c r="J107" s="1126">
        <f>0.4525/J101</f>
        <v>0.20949074074074073</v>
      </c>
      <c r="K107" s="1126">
        <f>0.4525/K101</f>
        <v>0.20949074074074073</v>
      </c>
      <c r="L107" s="1126">
        <f>0.4525/L101</f>
        <v>0.20949074074074073</v>
      </c>
      <c r="M107" s="1126">
        <f>0.4525/M101</f>
        <v>0.20949074074074073</v>
      </c>
      <c r="N107" s="1126">
        <f>0.4525/N101</f>
        <v>0.20949074074074073</v>
      </c>
    </row>
    <row r="108" spans="1:14">
      <c r="A108" s="3559"/>
      <c r="B108" s="3561"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60"/>
      <c r="B109" s="3562"/>
      <c r="C109" s="1128">
        <f>(-0.163*(C108^2)-0.59*C108+7617)*(10^(-4))/C101</f>
        <v>0.35193740740740737</v>
      </c>
      <c r="D109" s="1128">
        <f>(-0.163*(D108^2)-0.59*D108+7617)*(10^(-4))/D101</f>
        <v>0.35193740740740737</v>
      </c>
      <c r="E109" s="1128">
        <f>(-0.161*(E108^2)-7.509*E108+6533)*(10^(-4))/E101</f>
        <v>0.29919555555555555</v>
      </c>
      <c r="F109" s="1128">
        <f>(-0.161*(F108^2)-7.509*F108+6533)*(10^(-4))/F101</f>
        <v>0.29919555555555555</v>
      </c>
      <c r="G109" s="1128">
        <f>(-0.161*(G108^2)-7.509*G108+6533)*(10^(-4))/G101</f>
        <v>0.29919555555555555</v>
      </c>
      <c r="H109" s="1128">
        <f>(-0.161*(H108^2)-7.509*H108+6533)*(10^(-4))/H101</f>
        <v>0.29919555555555555</v>
      </c>
      <c r="I109" s="1128">
        <f>(-0.161*(I108^2)-7.509*I108+6533)*(10^(-4))/I101</f>
        <v>0.29919555555555555</v>
      </c>
      <c r="J109" s="1128">
        <f>(-0.214*(J108^2)-21.991*J108+4665)*(10^(-4))/J101</f>
        <v>0.20719333333333334</v>
      </c>
      <c r="K109" s="1128">
        <f>(-0.214*(K108^2)-21.991*K108+4665)*(10^(-4))/K101</f>
        <v>0.20719333333333334</v>
      </c>
      <c r="L109" s="1128">
        <f>(-0.214*(L108^2)-21.991*L108+4665)*(10^(-4))/L101</f>
        <v>0.20719333333333334</v>
      </c>
      <c r="M109" s="1128">
        <f>(-0.214*(M108^2)-21.991*M108+4665)*(10^(-4))/M101</f>
        <v>0.20719333333333334</v>
      </c>
      <c r="N109" s="1128">
        <f>(-0.214*(N108^2)-21.991*N108+4665)*(10^(-4))/N101</f>
        <v>0.20719333333333334</v>
      </c>
    </row>
    <row r="110" spans="1:14">
      <c r="A110" s="3544" t="s">
        <v>1629</v>
      </c>
      <c r="B110" s="3544"/>
      <c r="C110" s="3544"/>
      <c r="D110" s="3544"/>
      <c r="E110" s="3544"/>
      <c r="F110" s="3544"/>
      <c r="G110" s="3544"/>
      <c r="H110" s="3544"/>
      <c r="I110" s="3544"/>
      <c r="J110" s="3544"/>
      <c r="K110" s="2301"/>
      <c r="L110" s="2301"/>
      <c r="M110" s="2301"/>
      <c r="N110" s="2301"/>
    </row>
    <row r="112" spans="1:14" ht="12.75" thickBot="1"/>
    <row r="113" spans="1:13" ht="25.5" thickBot="1">
      <c r="A113" s="1002" t="s">
        <v>886</v>
      </c>
      <c r="B113" s="2304">
        <f>G3</f>
        <v>2.16</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0.91320000000000001</v>
      </c>
      <c r="C115" s="1016">
        <f>B115</f>
        <v>0.91320000000000001</v>
      </c>
      <c r="D115" s="1016">
        <f>ROUND(0.8331-0.0109*B113,4)</f>
        <v>0.80959999999999999</v>
      </c>
      <c r="E115" s="1016">
        <f>D115</f>
        <v>0.80959999999999999</v>
      </c>
      <c r="F115" s="1016">
        <f>E115</f>
        <v>0.80959999999999999</v>
      </c>
      <c r="G115" s="1016">
        <f>F115</f>
        <v>0.80959999999999999</v>
      </c>
      <c r="H115" s="1016">
        <f>G115</f>
        <v>0.80959999999999999</v>
      </c>
      <c r="I115" s="1016">
        <f>ROUND(0.689-0.0155*B113,4)</f>
        <v>0.65549999999999997</v>
      </c>
      <c r="J115" s="1016">
        <f t="shared" ref="J115:M118" si="33">I115</f>
        <v>0.65549999999999997</v>
      </c>
      <c r="K115" s="1016">
        <f t="shared" si="33"/>
        <v>0.65549999999999997</v>
      </c>
      <c r="L115" s="1016">
        <f t="shared" si="33"/>
        <v>0.65549999999999997</v>
      </c>
      <c r="M115" s="1017">
        <f t="shared" si="33"/>
        <v>0.65549999999999997</v>
      </c>
    </row>
    <row r="116" spans="1:13" ht="12.75">
      <c r="A116" s="1015" t="s">
        <v>891</v>
      </c>
      <c r="B116" s="1016">
        <f>ROUND(0.949-0.012*B113,4)</f>
        <v>0.92310000000000003</v>
      </c>
      <c r="C116" s="1016">
        <f>B116</f>
        <v>0.92310000000000003</v>
      </c>
      <c r="D116" s="1016">
        <f>ROUND(0.8567-0.013*B113,4)</f>
        <v>0.8286</v>
      </c>
      <c r="E116" s="1016">
        <f t="shared" ref="E116:H117" si="34">D116</f>
        <v>0.8286</v>
      </c>
      <c r="F116" s="1016">
        <f t="shared" si="34"/>
        <v>0.8286</v>
      </c>
      <c r="G116" s="1016">
        <f t="shared" si="34"/>
        <v>0.8286</v>
      </c>
      <c r="H116" s="1016">
        <f t="shared" si="34"/>
        <v>0.8286</v>
      </c>
      <c r="I116" s="1016">
        <f>ROUND(0.7694-0.014*B113,4)</f>
        <v>0.73919999999999997</v>
      </c>
      <c r="J116" s="1016">
        <f t="shared" si="33"/>
        <v>0.73919999999999997</v>
      </c>
      <c r="K116" s="1016">
        <f t="shared" si="33"/>
        <v>0.73919999999999997</v>
      </c>
      <c r="L116" s="1016">
        <f t="shared" si="33"/>
        <v>0.73919999999999997</v>
      </c>
      <c r="M116" s="1017">
        <f t="shared" si="33"/>
        <v>0.73919999999999997</v>
      </c>
    </row>
    <row r="117" spans="1:13" ht="12.75">
      <c r="A117" s="1018" t="s">
        <v>892</v>
      </c>
      <c r="B117" s="1016">
        <f>ROUND(0.8808-0.006*B113,4)</f>
        <v>0.86780000000000002</v>
      </c>
      <c r="C117" s="1016">
        <f>B117</f>
        <v>0.86780000000000002</v>
      </c>
      <c r="D117" s="1016">
        <f>ROUND(0.8748-0.008*B113,4)</f>
        <v>0.85750000000000004</v>
      </c>
      <c r="E117" s="1016">
        <f t="shared" si="34"/>
        <v>0.85750000000000004</v>
      </c>
      <c r="F117" s="1016">
        <f t="shared" si="34"/>
        <v>0.85750000000000004</v>
      </c>
      <c r="G117" s="1016">
        <f t="shared" si="34"/>
        <v>0.85750000000000004</v>
      </c>
      <c r="H117" s="1016">
        <f t="shared" si="34"/>
        <v>0.85750000000000004</v>
      </c>
      <c r="I117" s="1016">
        <f>ROUND(0.7412-0.0095*B113,4)</f>
        <v>0.72070000000000001</v>
      </c>
      <c r="J117" s="1016">
        <f t="shared" si="33"/>
        <v>0.72070000000000001</v>
      </c>
      <c r="K117" s="1016">
        <f t="shared" si="33"/>
        <v>0.72070000000000001</v>
      </c>
      <c r="L117" s="1016">
        <f t="shared" si="33"/>
        <v>0.72070000000000001</v>
      </c>
      <c r="M117" s="1017">
        <f t="shared" si="33"/>
        <v>0.72070000000000001</v>
      </c>
    </row>
    <row r="118" spans="1:13" ht="13.5" thickBot="1">
      <c r="A118" s="1019" t="s">
        <v>893</v>
      </c>
      <c r="B118" s="1020">
        <f>ROUND(0.7275-0.01*B113,4)</f>
        <v>0.70589999999999997</v>
      </c>
      <c r="C118" s="1020">
        <f>B118</f>
        <v>0.70589999999999997</v>
      </c>
      <c r="D118" s="1020">
        <f>ROUND(0.7043-0.012*B113,4)</f>
        <v>0.6784</v>
      </c>
      <c r="E118" s="1020">
        <f>D118</f>
        <v>0.6784</v>
      </c>
      <c r="F118" s="1020">
        <f>E118</f>
        <v>0.6784</v>
      </c>
      <c r="G118" s="1020">
        <f>ROUND(0.6299-0.0122*B113,4)</f>
        <v>0.60350000000000004</v>
      </c>
      <c r="H118" s="1020">
        <f>G118</f>
        <v>0.60350000000000004</v>
      </c>
      <c r="I118" s="1020">
        <f>ROUND(0.5667-0.0136*B113,4)</f>
        <v>0.5373</v>
      </c>
      <c r="J118" s="1020">
        <f t="shared" si="33"/>
        <v>0.5373</v>
      </c>
      <c r="K118" s="1020">
        <f t="shared" si="33"/>
        <v>0.5373</v>
      </c>
      <c r="L118" s="1020">
        <f t="shared" si="33"/>
        <v>0.5373</v>
      </c>
      <c r="M118" s="1021">
        <f t="shared" si="33"/>
        <v>0.5373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39" t="s">
        <v>2951</v>
      </c>
      <c r="B15" s="2785">
        <f>SUM(B6:B13)</f>
        <v>375</v>
      </c>
      <c r="C15" s="2785">
        <f t="shared" ref="C15:H15" si="0">SUM(C6:C13)</f>
        <v>375</v>
      </c>
      <c r="D15" s="2785">
        <f t="shared" si="0"/>
        <v>300</v>
      </c>
      <c r="E15" s="2785">
        <f t="shared" si="0"/>
        <v>300</v>
      </c>
      <c r="F15" s="2785">
        <f t="shared" si="0"/>
        <v>300</v>
      </c>
      <c r="G15" s="2785">
        <f t="shared" si="0"/>
        <v>300</v>
      </c>
      <c r="H15" s="2785">
        <f t="shared" si="0"/>
        <v>300</v>
      </c>
      <c r="I15" s="2785">
        <f>SUM(I6:I10,I13)</f>
        <v>155</v>
      </c>
      <c r="J15" s="2785">
        <f t="shared" ref="J15:M15" si="1">SUM(J6:J10,J13)</f>
        <v>155</v>
      </c>
      <c r="K15" s="2785">
        <f t="shared" si="1"/>
        <v>155</v>
      </c>
      <c r="L15" s="2785">
        <f t="shared" si="1"/>
        <v>155</v>
      </c>
      <c r="M15" s="2785">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7" customFormat="1" ht="19.5" customHeight="1">
      <c r="A18" s="3551" t="s">
        <v>997</v>
      </c>
      <c r="B18" s="1136" t="s">
        <v>1436</v>
      </c>
      <c r="C18" s="1113" t="s">
        <v>1437</v>
      </c>
      <c r="D18" s="1114"/>
      <c r="E18" s="1136">
        <v>1</v>
      </c>
      <c r="F18" s="1115" t="s">
        <v>1438</v>
      </c>
      <c r="G18" s="1116"/>
      <c r="H18" s="1087"/>
      <c r="I18" s="1087"/>
    </row>
    <row r="19" spans="1:9" s="1527" customFormat="1" ht="19.5" customHeight="1">
      <c r="A19" s="3551"/>
      <c r="B19" s="3551" t="s">
        <v>1439</v>
      </c>
      <c r="C19" s="1113" t="s">
        <v>1440</v>
      </c>
      <c r="D19" s="1114"/>
      <c r="E19" s="1136">
        <v>0.9</v>
      </c>
      <c r="F19" s="1115" t="s">
        <v>1441</v>
      </c>
      <c r="G19" s="1116"/>
      <c r="H19" s="1087"/>
      <c r="I19" s="1087"/>
    </row>
    <row r="20" spans="1:9" s="1527" customFormat="1" ht="19.5" customHeight="1">
      <c r="A20" s="3551"/>
      <c r="B20" s="3551"/>
      <c r="C20" s="1113" t="s">
        <v>1442</v>
      </c>
      <c r="D20" s="1114"/>
      <c r="E20" s="1136">
        <v>1.1000000000000001</v>
      </c>
      <c r="F20" s="1115" t="s">
        <v>1443</v>
      </c>
      <c r="G20" s="1116"/>
      <c r="H20" s="1087"/>
      <c r="I20" s="1087"/>
    </row>
    <row r="21" spans="1:9" s="1527" customFormat="1" ht="19.5" customHeight="1">
      <c r="A21" s="3551"/>
      <c r="B21" s="3551"/>
      <c r="C21" s="1113" t="s">
        <v>1444</v>
      </c>
      <c r="D21" s="1114"/>
      <c r="E21" s="1136">
        <v>0.8</v>
      </c>
      <c r="F21" s="1115" t="s">
        <v>1445</v>
      </c>
      <c r="G21" s="1116"/>
      <c r="H21" s="1087"/>
      <c r="I21" s="1087"/>
    </row>
    <row r="22" spans="1:9" s="1527" customFormat="1" ht="19.5" customHeight="1">
      <c r="A22" s="3551"/>
      <c r="B22" s="3551"/>
      <c r="C22" s="1113" t="s">
        <v>1446</v>
      </c>
      <c r="D22" s="1114"/>
      <c r="E22" s="1136">
        <v>0.5</v>
      </c>
      <c r="F22" s="1115"/>
      <c r="G22" s="1116"/>
      <c r="H22" s="1087"/>
      <c r="I22" s="1087"/>
    </row>
    <row r="23" spans="1:9" s="1527" customFormat="1" ht="19.5" customHeight="1">
      <c r="A23" s="3551" t="s">
        <v>1019</v>
      </c>
      <c r="B23" s="1136" t="s">
        <v>1436</v>
      </c>
      <c r="C23" s="1113" t="s">
        <v>1447</v>
      </c>
      <c r="D23" s="1114"/>
      <c r="E23" s="1136">
        <v>1</v>
      </c>
      <c r="F23" s="1115" t="s">
        <v>1448</v>
      </c>
      <c r="G23" s="1116"/>
      <c r="H23" s="1087"/>
      <c r="I23" s="1087"/>
    </row>
    <row r="24" spans="1:9" s="1527" customFormat="1" ht="19.5" customHeight="1">
      <c r="A24" s="3551"/>
      <c r="B24" s="3551" t="s">
        <v>1439</v>
      </c>
      <c r="C24" s="1113" t="s">
        <v>1449</v>
      </c>
      <c r="D24" s="1114"/>
      <c r="E24" s="1136">
        <v>0.5</v>
      </c>
      <c r="F24" s="1115"/>
      <c r="G24" s="1116"/>
      <c r="H24" s="1087"/>
      <c r="I24" s="1087"/>
    </row>
    <row r="25" spans="1:9" s="1527" customFormat="1" ht="19.5" customHeight="1">
      <c r="A25" s="3551"/>
      <c r="B25" s="3551"/>
      <c r="C25" s="1113" t="s">
        <v>1450</v>
      </c>
      <c r="D25" s="1114"/>
      <c r="E25" s="1136">
        <v>1.1000000000000001</v>
      </c>
      <c r="F25" s="1115"/>
      <c r="G25" s="1116"/>
      <c r="H25" s="1087"/>
      <c r="I25" s="1087"/>
    </row>
    <row r="26" spans="1:9" s="1527" customFormat="1" ht="19.5" customHeight="1">
      <c r="A26" s="3551"/>
      <c r="B26" s="3551"/>
      <c r="C26" s="1113" t="s">
        <v>1451</v>
      </c>
      <c r="D26" s="1114"/>
      <c r="E26" s="1136">
        <v>1.1000000000000001</v>
      </c>
      <c r="F26" s="1115"/>
      <c r="G26" s="1116"/>
      <c r="H26" s="1087"/>
      <c r="I26" s="1087"/>
    </row>
    <row r="27" spans="1:9" s="1527" customFormat="1" ht="19.5" customHeight="1">
      <c r="A27" s="3551"/>
      <c r="B27" s="3551"/>
      <c r="C27" s="1113" t="s">
        <v>1452</v>
      </c>
      <c r="D27" s="1114"/>
      <c r="E27" s="1136">
        <v>0.9</v>
      </c>
      <c r="F27" s="1115" t="s">
        <v>1453</v>
      </c>
      <c r="G27" s="1116"/>
      <c r="H27" s="1087"/>
      <c r="I27" s="1087"/>
    </row>
    <row r="28" spans="1:9" s="1527" customFormat="1" ht="19.5" customHeight="1">
      <c r="A28" s="3551"/>
      <c r="B28" s="3551"/>
      <c r="C28" s="1113" t="s">
        <v>1454</v>
      </c>
      <c r="D28" s="1114"/>
      <c r="E28" s="1136">
        <v>0.9</v>
      </c>
      <c r="F28" s="1115" t="s">
        <v>1455</v>
      </c>
      <c r="G28" s="1116"/>
      <c r="H28" s="1087"/>
      <c r="I28" s="1087"/>
    </row>
    <row r="29" spans="1:9" s="1527" customFormat="1" ht="19.5" customHeight="1">
      <c r="A29" s="3551"/>
      <c r="B29" s="3551"/>
      <c r="C29" s="1113" t="s">
        <v>1456</v>
      </c>
      <c r="D29" s="1114"/>
      <c r="E29" s="1136">
        <v>0.9</v>
      </c>
      <c r="F29" s="1115" t="s">
        <v>1457</v>
      </c>
      <c r="G29" s="1116"/>
      <c r="H29" s="1087"/>
      <c r="I29" s="1087"/>
    </row>
    <row r="30" spans="1:9" s="1527" customFormat="1" ht="19.5" customHeight="1">
      <c r="A30" s="3551"/>
      <c r="B30" s="3551"/>
      <c r="C30" s="1113" t="s">
        <v>1458</v>
      </c>
      <c r="D30" s="1114"/>
      <c r="E30" s="1136">
        <v>0.9</v>
      </c>
      <c r="F30" s="1115" t="s">
        <v>1459</v>
      </c>
      <c r="G30" s="1116"/>
      <c r="H30" s="1087"/>
      <c r="I30" s="1087"/>
    </row>
    <row r="31" spans="1:9" s="1527" customFormat="1" ht="19.5" customHeight="1">
      <c r="A31" s="3551"/>
      <c r="B31" s="3551"/>
      <c r="C31" s="1113" t="s">
        <v>1460</v>
      </c>
      <c r="D31" s="1114"/>
      <c r="E31" s="1136">
        <v>0.8</v>
      </c>
      <c r="F31" s="1115" t="s">
        <v>1461</v>
      </c>
      <c r="G31" s="1116"/>
      <c r="H31" s="1087"/>
      <c r="I31" s="1087"/>
    </row>
    <row r="32" spans="1:9" s="1527" customFormat="1" ht="19.5" customHeight="1">
      <c r="A32" s="3551"/>
      <c r="B32" s="3551"/>
      <c r="C32" s="1113" t="s">
        <v>1462</v>
      </c>
      <c r="D32" s="1114"/>
      <c r="E32" s="1136">
        <v>0.8</v>
      </c>
      <c r="F32" s="1115" t="s">
        <v>1463</v>
      </c>
      <c r="G32" s="1116"/>
      <c r="H32" s="1087"/>
      <c r="I32" s="1087"/>
    </row>
    <row r="33" spans="1:9" s="1527" customFormat="1" ht="19.5" customHeight="1">
      <c r="A33" s="3551" t="s">
        <v>1464</v>
      </c>
      <c r="B33" s="1136" t="s">
        <v>1436</v>
      </c>
      <c r="C33" s="1113" t="s">
        <v>1465</v>
      </c>
      <c r="D33" s="1114"/>
      <c r="E33" s="1136">
        <v>1</v>
      </c>
      <c r="F33" s="1115" t="s">
        <v>1466</v>
      </c>
      <c r="G33" s="1116"/>
      <c r="H33" s="1087"/>
      <c r="I33" s="1087"/>
    </row>
    <row r="34" spans="1:9" s="1527" customFormat="1" ht="19.5" customHeight="1">
      <c r="A34" s="3551"/>
      <c r="B34" s="1136" t="s">
        <v>1439</v>
      </c>
      <c r="C34" s="1113" t="s">
        <v>1467</v>
      </c>
      <c r="D34" s="1114"/>
      <c r="E34" s="1136">
        <v>1.5</v>
      </c>
      <c r="F34" s="1115" t="s">
        <v>1468</v>
      </c>
      <c r="G34" s="1116"/>
      <c r="H34" s="1087"/>
      <c r="I34" s="1087"/>
    </row>
    <row r="35" spans="1:9" s="1527" customFormat="1" ht="19.5" customHeight="1">
      <c r="A35" s="3551" t="s">
        <v>1422</v>
      </c>
      <c r="B35" s="1136" t="s">
        <v>1436</v>
      </c>
      <c r="C35" s="1113" t="s">
        <v>1469</v>
      </c>
      <c r="D35" s="1114"/>
      <c r="E35" s="1136">
        <v>1</v>
      </c>
      <c r="F35" s="1115" t="s">
        <v>1470</v>
      </c>
      <c r="G35" s="1116"/>
      <c r="H35" s="1087"/>
      <c r="I35" s="1087"/>
    </row>
    <row r="36" spans="1:9" s="1527" customFormat="1" ht="19.5" customHeight="1">
      <c r="A36" s="3551"/>
      <c r="B36" s="3551" t="s">
        <v>1439</v>
      </c>
      <c r="C36" s="1113" t="s">
        <v>1471</v>
      </c>
      <c r="D36" s="1114"/>
      <c r="E36" s="1136">
        <v>1</v>
      </c>
      <c r="F36" s="1115" t="s">
        <v>1472</v>
      </c>
      <c r="G36" s="1116"/>
      <c r="H36" s="1087"/>
      <c r="I36" s="1087"/>
    </row>
    <row r="37" spans="1:9" s="1527" customFormat="1" ht="19.5" customHeight="1">
      <c r="A37" s="3551"/>
      <c r="B37" s="3551"/>
      <c r="C37" s="1113" t="s">
        <v>1473</v>
      </c>
      <c r="D37" s="1114"/>
      <c r="E37" s="1136">
        <v>1.5</v>
      </c>
      <c r="F37" s="1115" t="s">
        <v>1474</v>
      </c>
      <c r="G37" s="1116"/>
      <c r="H37" s="1087"/>
      <c r="I37" s="1087"/>
    </row>
    <row r="38" spans="1:9" s="1527" customFormat="1" ht="19.5" customHeight="1">
      <c r="A38" s="3551"/>
      <c r="B38" s="3551"/>
      <c r="C38" s="1113" t="s">
        <v>1475</v>
      </c>
      <c r="D38" s="1114"/>
      <c r="E38" s="1136">
        <v>1</v>
      </c>
      <c r="F38" s="1115" t="s">
        <v>1476</v>
      </c>
      <c r="G38" s="1116"/>
      <c r="H38" s="1087"/>
      <c r="I38" s="1087"/>
    </row>
    <row r="39" spans="1:9" s="1527" customFormat="1" ht="19.5" customHeight="1">
      <c r="A39" s="3551"/>
      <c r="B39" s="3551"/>
      <c r="C39" s="1113" t="s">
        <v>1477</v>
      </c>
      <c r="D39" s="1114"/>
      <c r="E39" s="1136">
        <v>1</v>
      </c>
      <c r="F39" s="1115" t="s">
        <v>1478</v>
      </c>
      <c r="G39" s="1116"/>
      <c r="H39" s="1087"/>
      <c r="I39" s="1087"/>
    </row>
    <row r="40" spans="1:9" s="1527" customFormat="1" ht="19.5" customHeight="1">
      <c r="A40" s="1528" t="s">
        <v>1479</v>
      </c>
      <c r="B40" s="1528"/>
      <c r="C40" s="1528"/>
      <c r="D40" s="1528"/>
      <c r="E40" s="1528"/>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51" t="s">
        <v>1491</v>
      </c>
      <c r="C61" s="1050" t="s">
        <v>1492</v>
      </c>
      <c r="D61" s="1050" t="s">
        <v>1493</v>
      </c>
      <c r="E61" s="1121">
        <v>0.5</v>
      </c>
      <c r="F61" s="1136">
        <v>80</v>
      </c>
      <c r="H61" s="1087">
        <f>SUMIF(C59:C119,基准地价!C8,E59:E119)</f>
        <v>0</v>
      </c>
    </row>
    <row r="62" spans="1:8" s="1087" customFormat="1" ht="24">
      <c r="A62" s="1136">
        <v>2</v>
      </c>
      <c r="B62" s="3551"/>
      <c r="C62" s="1050" t="s">
        <v>1494</v>
      </c>
      <c r="D62" s="1050" t="s">
        <v>1495</v>
      </c>
      <c r="E62" s="1121">
        <v>0.5</v>
      </c>
      <c r="F62" s="1136">
        <v>80</v>
      </c>
    </row>
    <row r="63" spans="1:8" s="1087" customFormat="1" ht="36">
      <c r="A63" s="1136">
        <v>3</v>
      </c>
      <c r="B63" s="3551"/>
      <c r="C63" s="1050" t="s">
        <v>1496</v>
      </c>
      <c r="D63" s="1050" t="s">
        <v>1497</v>
      </c>
      <c r="E63" s="1121">
        <v>0.5</v>
      </c>
      <c r="F63" s="1136">
        <v>80</v>
      </c>
    </row>
    <row r="64" spans="1:8" s="1087" customFormat="1" ht="36">
      <c r="A64" s="1136">
        <v>4</v>
      </c>
      <c r="B64" s="3551"/>
      <c r="C64" s="1050" t="s">
        <v>1498</v>
      </c>
      <c r="D64" s="1050" t="s">
        <v>1499</v>
      </c>
      <c r="E64" s="1121">
        <v>0.4</v>
      </c>
      <c r="F64" s="1136">
        <v>60</v>
      </c>
    </row>
    <row r="65" spans="1:6" s="1087" customFormat="1" ht="36">
      <c r="A65" s="1136">
        <v>5</v>
      </c>
      <c r="B65" s="3551"/>
      <c r="C65" s="1050" t="s">
        <v>1500</v>
      </c>
      <c r="D65" s="1050" t="s">
        <v>1501</v>
      </c>
      <c r="E65" s="1121">
        <v>0.2</v>
      </c>
      <c r="F65" s="1136">
        <v>30</v>
      </c>
    </row>
    <row r="66" spans="1:6" s="1087" customFormat="1" ht="36">
      <c r="A66" s="1136">
        <v>6</v>
      </c>
      <c r="B66" s="3551"/>
      <c r="C66" s="1050" t="s">
        <v>1502</v>
      </c>
      <c r="D66" s="1050" t="s">
        <v>1503</v>
      </c>
      <c r="E66" s="1121">
        <v>0.3</v>
      </c>
      <c r="F66" s="1136">
        <v>50</v>
      </c>
    </row>
    <row r="67" spans="1:6" s="1087" customFormat="1" ht="36">
      <c r="A67" s="1136">
        <v>7</v>
      </c>
      <c r="B67" s="3551"/>
      <c r="C67" s="1050" t="s">
        <v>1504</v>
      </c>
      <c r="D67" s="1050" t="s">
        <v>1505</v>
      </c>
      <c r="E67" s="1121">
        <v>0.2</v>
      </c>
      <c r="F67" s="1136">
        <v>30</v>
      </c>
    </row>
    <row r="68" spans="1:6" s="1087" customFormat="1" ht="36">
      <c r="A68" s="1136">
        <v>8</v>
      </c>
      <c r="B68" s="3551"/>
      <c r="C68" s="1050" t="s">
        <v>1506</v>
      </c>
      <c r="D68" s="1050" t="s">
        <v>1507</v>
      </c>
      <c r="E68" s="1121">
        <v>0.2</v>
      </c>
      <c r="F68" s="1136">
        <v>30</v>
      </c>
    </row>
    <row r="69" spans="1:6" s="1087" customFormat="1" ht="36">
      <c r="A69" s="1136">
        <v>9</v>
      </c>
      <c r="B69" s="3551"/>
      <c r="C69" s="1050" t="s">
        <v>1508</v>
      </c>
      <c r="D69" s="1050" t="s">
        <v>1509</v>
      </c>
      <c r="E69" s="1121">
        <v>0.2</v>
      </c>
      <c r="F69" s="1136">
        <v>30</v>
      </c>
    </row>
    <row r="70" spans="1:6" s="1087" customFormat="1" ht="48">
      <c r="A70" s="1136">
        <v>10</v>
      </c>
      <c r="B70" s="3551"/>
      <c r="C70" s="1050" t="s">
        <v>1510</v>
      </c>
      <c r="D70" s="1050" t="s">
        <v>1511</v>
      </c>
      <c r="E70" s="1121">
        <v>0.2</v>
      </c>
      <c r="F70" s="1136">
        <v>30</v>
      </c>
    </row>
    <row r="71" spans="1:6" s="1087" customFormat="1" ht="48">
      <c r="A71" s="1136">
        <v>11</v>
      </c>
      <c r="B71" s="3551"/>
      <c r="C71" s="1050" t="s">
        <v>1512</v>
      </c>
      <c r="D71" s="1050" t="s">
        <v>1513</v>
      </c>
      <c r="E71" s="1121">
        <v>0.2</v>
      </c>
      <c r="F71" s="1136">
        <v>30</v>
      </c>
    </row>
    <row r="72" spans="1:6" s="1087" customFormat="1" ht="36">
      <c r="A72" s="1136">
        <v>12</v>
      </c>
      <c r="B72" s="3551"/>
      <c r="C72" s="1050" t="s">
        <v>1514</v>
      </c>
      <c r="D72" s="1050" t="s">
        <v>1515</v>
      </c>
      <c r="E72" s="1121">
        <v>0.5</v>
      </c>
      <c r="F72" s="1136">
        <v>80</v>
      </c>
    </row>
    <row r="73" spans="1:6" s="1087" customFormat="1" ht="24">
      <c r="A73" s="1136">
        <v>13</v>
      </c>
      <c r="B73" s="3551"/>
      <c r="C73" s="1050" t="s">
        <v>1516</v>
      </c>
      <c r="D73" s="1050" t="s">
        <v>1517</v>
      </c>
      <c r="E73" s="1121">
        <v>0.4</v>
      </c>
      <c r="F73" s="1136">
        <v>60</v>
      </c>
    </row>
    <row r="74" spans="1:6" s="1087" customFormat="1" ht="24">
      <c r="A74" s="1136">
        <v>14</v>
      </c>
      <c r="B74" s="3551"/>
      <c r="C74" s="1050" t="s">
        <v>1518</v>
      </c>
      <c r="D74" s="1050" t="s">
        <v>1519</v>
      </c>
      <c r="E74" s="1121">
        <v>0.2</v>
      </c>
      <c r="F74" s="1136">
        <v>30</v>
      </c>
    </row>
    <row r="75" spans="1:6" s="1087" customFormat="1" ht="24">
      <c r="A75" s="1136">
        <v>15</v>
      </c>
      <c r="B75" s="3551"/>
      <c r="C75" s="1050" t="s">
        <v>1520</v>
      </c>
      <c r="D75" s="1050" t="s">
        <v>1521</v>
      </c>
      <c r="E75" s="1121">
        <v>0.2</v>
      </c>
      <c r="F75" s="1136">
        <v>30</v>
      </c>
    </row>
    <row r="76" spans="1:6" s="1087" customFormat="1" ht="24">
      <c r="A76" s="1136">
        <v>16</v>
      </c>
      <c r="B76" s="3551" t="s">
        <v>1522</v>
      </c>
      <c r="C76" s="1050" t="s">
        <v>1523</v>
      </c>
      <c r="D76" s="1050" t="s">
        <v>1524</v>
      </c>
      <c r="E76" s="1121">
        <v>0.5</v>
      </c>
      <c r="F76" s="1136">
        <v>80</v>
      </c>
    </row>
    <row r="77" spans="1:6" s="1087" customFormat="1" ht="24">
      <c r="A77" s="1136">
        <v>17</v>
      </c>
      <c r="B77" s="3551"/>
      <c r="C77" s="1050" t="s">
        <v>1525</v>
      </c>
      <c r="D77" s="1050" t="s">
        <v>1526</v>
      </c>
      <c r="E77" s="1121">
        <v>0.5</v>
      </c>
      <c r="F77" s="1136">
        <v>80</v>
      </c>
    </row>
    <row r="78" spans="1:6" s="1087" customFormat="1" ht="24">
      <c r="A78" s="1136">
        <v>18</v>
      </c>
      <c r="B78" s="3551"/>
      <c r="C78" s="1050" t="s">
        <v>1527</v>
      </c>
      <c r="D78" s="1050" t="s">
        <v>1528</v>
      </c>
      <c r="E78" s="1121">
        <v>0.2</v>
      </c>
      <c r="F78" s="1136">
        <v>30</v>
      </c>
    </row>
    <row r="79" spans="1:6" s="1087" customFormat="1" ht="24">
      <c r="A79" s="1136">
        <v>19</v>
      </c>
      <c r="B79" s="3551"/>
      <c r="C79" s="1050" t="s">
        <v>1529</v>
      </c>
      <c r="D79" s="1050" t="s">
        <v>1530</v>
      </c>
      <c r="E79" s="1121">
        <v>0.5</v>
      </c>
      <c r="F79" s="1136">
        <v>80</v>
      </c>
    </row>
    <row r="80" spans="1:6" s="1087" customFormat="1" ht="36">
      <c r="A80" s="1136">
        <v>20</v>
      </c>
      <c r="B80" s="3551"/>
      <c r="C80" s="1050" t="s">
        <v>1531</v>
      </c>
      <c r="D80" s="1050" t="s">
        <v>1532</v>
      </c>
      <c r="E80" s="1121">
        <v>0.2</v>
      </c>
      <c r="F80" s="1136">
        <v>30</v>
      </c>
    </row>
    <row r="81" spans="1:6" s="1087" customFormat="1" ht="36">
      <c r="A81" s="1136">
        <v>21</v>
      </c>
      <c r="B81" s="3551"/>
      <c r="C81" s="1050" t="s">
        <v>1533</v>
      </c>
      <c r="D81" s="1050" t="s">
        <v>1534</v>
      </c>
      <c r="E81" s="1121">
        <v>0.2</v>
      </c>
      <c r="F81" s="1136">
        <v>30</v>
      </c>
    </row>
    <row r="82" spans="1:6" s="1087" customFormat="1" ht="48">
      <c r="A82" s="1136">
        <v>22</v>
      </c>
      <c r="B82" s="3551"/>
      <c r="C82" s="1050" t="s">
        <v>1535</v>
      </c>
      <c r="D82" s="1050" t="s">
        <v>1536</v>
      </c>
      <c r="E82" s="1121">
        <v>0.2</v>
      </c>
      <c r="F82" s="1136">
        <v>30</v>
      </c>
    </row>
    <row r="83" spans="1:6" s="1087" customFormat="1" ht="48">
      <c r="A83" s="1136">
        <v>23</v>
      </c>
      <c r="B83" s="3551"/>
      <c r="C83" s="1050" t="s">
        <v>1537</v>
      </c>
      <c r="D83" s="1050" t="s">
        <v>1538</v>
      </c>
      <c r="E83" s="1121">
        <v>0.2</v>
      </c>
      <c r="F83" s="1136">
        <v>30</v>
      </c>
    </row>
    <row r="84" spans="1:6" s="1087" customFormat="1" ht="36">
      <c r="A84" s="1136">
        <v>24</v>
      </c>
      <c r="B84" s="3551"/>
      <c r="C84" s="1050" t="s">
        <v>1539</v>
      </c>
      <c r="D84" s="1050" t="s">
        <v>1540</v>
      </c>
      <c r="E84" s="1121">
        <v>0.2</v>
      </c>
      <c r="F84" s="1136">
        <v>30</v>
      </c>
    </row>
    <row r="85" spans="1:6" s="1087" customFormat="1" ht="36">
      <c r="A85" s="1136">
        <v>25</v>
      </c>
      <c r="B85" s="3551"/>
      <c r="C85" s="1050" t="s">
        <v>1541</v>
      </c>
      <c r="D85" s="1050" t="s">
        <v>1542</v>
      </c>
      <c r="E85" s="1121">
        <v>0.5</v>
      </c>
      <c r="F85" s="1136">
        <v>80</v>
      </c>
    </row>
    <row r="86" spans="1:6" s="1087" customFormat="1" ht="36">
      <c r="A86" s="1136">
        <v>26</v>
      </c>
      <c r="B86" s="3551"/>
      <c r="C86" s="1050" t="s">
        <v>1543</v>
      </c>
      <c r="D86" s="1050" t="s">
        <v>1544</v>
      </c>
      <c r="E86" s="1121">
        <v>0.2</v>
      </c>
      <c r="F86" s="1136">
        <v>30</v>
      </c>
    </row>
    <row r="87" spans="1:6" s="1087" customFormat="1" ht="36">
      <c r="A87" s="1136">
        <v>27</v>
      </c>
      <c r="B87" s="3551"/>
      <c r="C87" s="1050" t="s">
        <v>1545</v>
      </c>
      <c r="D87" s="1050" t="s">
        <v>1546</v>
      </c>
      <c r="E87" s="1121">
        <v>0.2</v>
      </c>
      <c r="F87" s="1136">
        <v>30</v>
      </c>
    </row>
    <row r="88" spans="1:6" s="1087" customFormat="1" ht="36">
      <c r="A88" s="1136">
        <v>28</v>
      </c>
      <c r="B88" s="3551"/>
      <c r="C88" s="1050" t="s">
        <v>1547</v>
      </c>
      <c r="D88" s="1050" t="s">
        <v>1548</v>
      </c>
      <c r="E88" s="1121">
        <v>0.2</v>
      </c>
      <c r="F88" s="1136">
        <v>30</v>
      </c>
    </row>
    <row r="89" spans="1:6" s="1087" customFormat="1" ht="24">
      <c r="A89" s="1136">
        <v>29</v>
      </c>
      <c r="B89" s="3551"/>
      <c r="C89" s="1050" t="s">
        <v>1549</v>
      </c>
      <c r="D89" s="1050" t="s">
        <v>1550</v>
      </c>
      <c r="E89" s="1121">
        <v>0.2</v>
      </c>
      <c r="F89" s="1136">
        <v>30</v>
      </c>
    </row>
    <row r="90" spans="1:6" s="1087" customFormat="1" ht="24">
      <c r="A90" s="1136">
        <v>30</v>
      </c>
      <c r="B90" s="3551"/>
      <c r="C90" s="1050" t="s">
        <v>1551</v>
      </c>
      <c r="D90" s="1050" t="s">
        <v>1552</v>
      </c>
      <c r="E90" s="1121">
        <v>0.2</v>
      </c>
      <c r="F90" s="1136">
        <v>30</v>
      </c>
    </row>
    <row r="91" spans="1:6" s="1087" customFormat="1" ht="36">
      <c r="A91" s="1136">
        <v>31</v>
      </c>
      <c r="B91" s="3551"/>
      <c r="C91" s="1050" t="s">
        <v>1553</v>
      </c>
      <c r="D91" s="1050" t="s">
        <v>1554</v>
      </c>
      <c r="E91" s="1121">
        <v>0.2</v>
      </c>
      <c r="F91" s="1136">
        <v>30</v>
      </c>
    </row>
    <row r="92" spans="1:6" s="1087" customFormat="1" ht="24">
      <c r="A92" s="1136">
        <v>32</v>
      </c>
      <c r="B92" s="3551" t="s">
        <v>1555</v>
      </c>
      <c r="C92" s="1136" t="s">
        <v>1556</v>
      </c>
      <c r="D92" s="1050" t="s">
        <v>1557</v>
      </c>
      <c r="E92" s="1121">
        <v>0.2</v>
      </c>
      <c r="F92" s="1136">
        <v>30</v>
      </c>
    </row>
    <row r="93" spans="1:6" s="1087" customFormat="1" ht="36">
      <c r="A93" s="1136">
        <v>33</v>
      </c>
      <c r="B93" s="3551"/>
      <c r="C93" s="1136" t="s">
        <v>1558</v>
      </c>
      <c r="D93" s="1050" t="s">
        <v>1559</v>
      </c>
      <c r="E93" s="1121">
        <v>0.2</v>
      </c>
      <c r="F93" s="1136">
        <v>30</v>
      </c>
    </row>
    <row r="94" spans="1:6" s="1087" customFormat="1" ht="48">
      <c r="A94" s="1136">
        <v>34</v>
      </c>
      <c r="B94" s="3551"/>
      <c r="C94" s="1136" t="s">
        <v>1560</v>
      </c>
      <c r="D94" s="1050" t="s">
        <v>1561</v>
      </c>
      <c r="E94" s="1121">
        <v>0.2</v>
      </c>
      <c r="F94" s="1136">
        <v>30</v>
      </c>
    </row>
    <row r="95" spans="1:6" s="1087" customFormat="1" ht="36">
      <c r="A95" s="1136">
        <v>35</v>
      </c>
      <c r="B95" s="3551"/>
      <c r="C95" s="1136" t="s">
        <v>1562</v>
      </c>
      <c r="D95" s="1050" t="s">
        <v>1563</v>
      </c>
      <c r="E95" s="1121">
        <v>0.2</v>
      </c>
      <c r="F95" s="1136">
        <v>30</v>
      </c>
    </row>
    <row r="96" spans="1:6" s="1087" customFormat="1" ht="48">
      <c r="A96" s="1136">
        <v>36</v>
      </c>
      <c r="B96" s="3551"/>
      <c r="C96" s="1050" t="s">
        <v>1564</v>
      </c>
      <c r="D96" s="1050" t="s">
        <v>1565</v>
      </c>
      <c r="E96" s="1121">
        <v>0.2</v>
      </c>
      <c r="F96" s="1136">
        <v>30</v>
      </c>
    </row>
    <row r="97" spans="1:6" s="1087" customFormat="1" ht="36">
      <c r="A97" s="1136">
        <v>37</v>
      </c>
      <c r="B97" s="3551"/>
      <c r="C97" s="1136" t="s">
        <v>1566</v>
      </c>
      <c r="D97" s="1050" t="s">
        <v>1567</v>
      </c>
      <c r="E97" s="1121">
        <v>0.2</v>
      </c>
      <c r="F97" s="1136">
        <v>30</v>
      </c>
    </row>
    <row r="98" spans="1:6" s="1087" customFormat="1" ht="36">
      <c r="A98" s="1136">
        <v>38</v>
      </c>
      <c r="B98" s="3551"/>
      <c r="C98" s="1136" t="s">
        <v>1568</v>
      </c>
      <c r="D98" s="1050" t="s">
        <v>1569</v>
      </c>
      <c r="E98" s="1121">
        <v>0.2</v>
      </c>
      <c r="F98" s="1136">
        <v>30</v>
      </c>
    </row>
    <row r="99" spans="1:6" s="1087" customFormat="1" ht="36">
      <c r="A99" s="1136">
        <v>39</v>
      </c>
      <c r="B99" s="3551" t="s">
        <v>1570</v>
      </c>
      <c r="C99" s="1136" t="s">
        <v>1571</v>
      </c>
      <c r="D99" s="1050" t="s">
        <v>1572</v>
      </c>
      <c r="E99" s="1121">
        <v>0.3</v>
      </c>
      <c r="F99" s="1136">
        <v>50</v>
      </c>
    </row>
    <row r="100" spans="1:6" s="1087" customFormat="1" ht="24">
      <c r="A100" s="1136">
        <v>40</v>
      </c>
      <c r="B100" s="3551"/>
      <c r="C100" s="1136" t="s">
        <v>1573</v>
      </c>
      <c r="D100" s="1050" t="s">
        <v>1574</v>
      </c>
      <c r="E100" s="1121">
        <v>0.2</v>
      </c>
      <c r="F100" s="1136">
        <v>30</v>
      </c>
    </row>
    <row r="101" spans="1:6" s="1087" customFormat="1" ht="36">
      <c r="A101" s="1136">
        <v>41</v>
      </c>
      <c r="B101" s="3551"/>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51" t="s">
        <v>1585</v>
      </c>
      <c r="C105" s="1136" t="s">
        <v>1586</v>
      </c>
      <c r="D105" s="1050" t="s">
        <v>1587</v>
      </c>
      <c r="E105" s="1121">
        <v>0.2</v>
      </c>
      <c r="F105" s="1136">
        <v>30</v>
      </c>
    </row>
    <row r="106" spans="1:6" s="1087" customFormat="1" ht="36">
      <c r="A106" s="1136">
        <v>46</v>
      </c>
      <c r="B106" s="3551"/>
      <c r="C106" s="1136" t="s">
        <v>1588</v>
      </c>
      <c r="D106" s="1050" t="s">
        <v>1589</v>
      </c>
      <c r="E106" s="1121">
        <v>0.2</v>
      </c>
      <c r="F106" s="1136">
        <v>30</v>
      </c>
    </row>
    <row r="107" spans="1:6" s="1087" customFormat="1" ht="36">
      <c r="A107" s="1136">
        <v>47</v>
      </c>
      <c r="B107" s="3551" t="s">
        <v>1590</v>
      </c>
      <c r="C107" s="1136" t="s">
        <v>1591</v>
      </c>
      <c r="D107" s="1050" t="s">
        <v>1592</v>
      </c>
      <c r="E107" s="1121">
        <v>0.3</v>
      </c>
      <c r="F107" s="1136">
        <v>50</v>
      </c>
    </row>
    <row r="108" spans="1:6" s="1087" customFormat="1" ht="36">
      <c r="A108" s="1136">
        <v>48</v>
      </c>
      <c r="B108" s="3551"/>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51" t="s">
        <v>1601</v>
      </c>
      <c r="C111" s="1136" t="s">
        <v>1602</v>
      </c>
      <c r="D111" s="1050" t="s">
        <v>1603</v>
      </c>
      <c r="E111" s="1121">
        <v>0.2</v>
      </c>
      <c r="F111" s="1136">
        <v>30</v>
      </c>
    </row>
    <row r="112" spans="1:6" s="1087" customFormat="1" ht="24">
      <c r="A112" s="1136">
        <v>52</v>
      </c>
      <c r="B112" s="3551"/>
      <c r="C112" s="1136" t="s">
        <v>1604</v>
      </c>
      <c r="D112" s="1050" t="s">
        <v>1605</v>
      </c>
      <c r="E112" s="1121">
        <v>0.2</v>
      </c>
      <c r="F112" s="1136">
        <v>30</v>
      </c>
    </row>
    <row r="113" spans="1:14" s="1087" customFormat="1" ht="24">
      <c r="A113" s="1136">
        <v>53</v>
      </c>
      <c r="B113" s="3551"/>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51" t="s">
        <v>1614</v>
      </c>
      <c r="C116" s="1136" t="s">
        <v>1615</v>
      </c>
      <c r="D116" s="1050" t="s">
        <v>1616</v>
      </c>
      <c r="E116" s="1121">
        <v>0.2</v>
      </c>
      <c r="F116" s="1136">
        <v>30</v>
      </c>
    </row>
    <row r="117" spans="1:14" ht="36">
      <c r="A117" s="1136">
        <v>57</v>
      </c>
      <c r="B117" s="3551"/>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50" t="s">
        <v>1623</v>
      </c>
      <c r="B121" s="3550"/>
      <c r="C121" s="3550"/>
      <c r="D121" s="3550"/>
      <c r="E121" s="3550"/>
      <c r="F121" s="3550"/>
      <c r="G121" s="3550"/>
      <c r="H121" s="3550"/>
      <c r="I121" s="3550"/>
      <c r="J121" s="3550"/>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65" t="s">
        <v>1029</v>
      </c>
      <c r="B1" s="3565"/>
      <c r="C1" s="3565"/>
      <c r="D1" s="3565"/>
      <c r="E1" s="3565"/>
      <c r="F1" s="3565"/>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66" t="s">
        <v>1042</v>
      </c>
      <c r="B2" s="3566"/>
      <c r="C2" s="3566"/>
      <c r="D2" s="3566"/>
      <c r="E2" s="3566"/>
      <c r="F2" s="3566"/>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67"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68"/>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69" t="s">
        <v>2067</v>
      </c>
      <c r="B1" s="3569"/>
    </row>
    <row r="2" spans="1:6" ht="14.25" thickBot="1">
      <c r="A2" s="1763"/>
      <c r="B2" s="1763"/>
    </row>
    <row r="3" spans="1:6" ht="14.25" thickBot="1">
      <c r="A3" s="1763"/>
      <c r="B3" s="1763"/>
      <c r="C3" s="1764" t="s">
        <v>2068</v>
      </c>
      <c r="D3" s="1764" t="s">
        <v>2069</v>
      </c>
      <c r="E3" s="1764" t="s">
        <v>2070</v>
      </c>
      <c r="F3" s="1764" t="s">
        <v>2071</v>
      </c>
    </row>
    <row r="4" spans="1:6" ht="14.25" thickBot="1">
      <c r="A4" s="1765" t="s">
        <v>2072</v>
      </c>
      <c r="B4" s="1766" t="s">
        <v>2073</v>
      </c>
      <c r="C4" s="1764"/>
      <c r="D4" s="1764"/>
      <c r="E4" s="1764"/>
      <c r="F4" s="1764"/>
    </row>
    <row r="5" spans="1:6" ht="14.25" thickBot="1">
      <c r="A5" s="1767" t="s">
        <v>2074</v>
      </c>
      <c r="B5" s="1768" t="s">
        <v>2075</v>
      </c>
      <c r="C5" s="1769">
        <v>8.8999999999999996E-2</v>
      </c>
      <c r="D5" s="1769">
        <v>7.3999999999999996E-2</v>
      </c>
      <c r="E5" s="1769">
        <v>7.4999999999999997E-2</v>
      </c>
      <c r="F5" s="1770">
        <v>0.1</v>
      </c>
    </row>
    <row r="6" spans="1:6" ht="14.25" thickBot="1">
      <c r="A6" s="1767" t="s">
        <v>1086</v>
      </c>
      <c r="B6" s="1771" t="s">
        <v>2076</v>
      </c>
      <c r="C6" s="1772">
        <v>0.1</v>
      </c>
      <c r="D6" s="1772">
        <v>9.0999999999999998E-2</v>
      </c>
      <c r="E6" s="1772">
        <v>9.0999999999999998E-2</v>
      </c>
      <c r="F6" s="1773">
        <v>0.1</v>
      </c>
    </row>
    <row r="7" spans="1:6" ht="14.25" thickBot="1">
      <c r="A7" s="1767" t="s">
        <v>1086</v>
      </c>
      <c r="B7" s="1774" t="s">
        <v>1074</v>
      </c>
      <c r="C7" s="1772">
        <v>8.5999999999999993E-2</v>
      </c>
      <c r="D7" s="1772">
        <v>9.6000000000000002E-2</v>
      </c>
      <c r="E7" s="1772">
        <v>7.5999999999999998E-2</v>
      </c>
      <c r="F7" s="1773">
        <v>0.1</v>
      </c>
    </row>
    <row r="8" spans="1:6" ht="14.25" thickBot="1">
      <c r="A8" s="1767" t="s">
        <v>1086</v>
      </c>
      <c r="B8" s="1771" t="s">
        <v>1087</v>
      </c>
      <c r="C8" s="1772">
        <v>9.9000000000000005E-2</v>
      </c>
      <c r="D8" s="1772">
        <v>9.8000000000000004E-2</v>
      </c>
      <c r="E8" s="1772">
        <v>9.8000000000000004E-2</v>
      </c>
      <c r="F8" s="1773">
        <v>0.1</v>
      </c>
    </row>
    <row r="9" spans="1:6" ht="14.25" thickBot="1">
      <c r="A9" s="1775" t="s">
        <v>1086</v>
      </c>
      <c r="B9" s="1776" t="s">
        <v>1101</v>
      </c>
      <c r="C9" s="1777">
        <v>0.05</v>
      </c>
      <c r="D9" s="1778"/>
      <c r="E9" s="1778"/>
      <c r="F9" s="1779"/>
    </row>
    <row r="10" spans="1:6" ht="14.25" thickBot="1">
      <c r="A10" s="1767" t="s">
        <v>1145</v>
      </c>
      <c r="B10" s="1768" t="s">
        <v>2077</v>
      </c>
      <c r="C10" s="1769">
        <v>8.8999999999999996E-2</v>
      </c>
      <c r="D10" s="1769">
        <v>7.2999999999999995E-2</v>
      </c>
      <c r="E10" s="1769">
        <v>8.2000000000000003E-2</v>
      </c>
      <c r="F10" s="1770">
        <v>0.1</v>
      </c>
    </row>
    <row r="11" spans="1:6" ht="14.25" thickBot="1">
      <c r="A11" s="1767" t="s">
        <v>1145</v>
      </c>
      <c r="B11" s="1774" t="s">
        <v>1061</v>
      </c>
      <c r="C11" s="1772">
        <v>8.8999999999999996E-2</v>
      </c>
      <c r="D11" s="1772">
        <v>7.2999999999999995E-2</v>
      </c>
      <c r="E11" s="1772">
        <v>8.2000000000000003E-2</v>
      </c>
      <c r="F11" s="1773">
        <v>0.1</v>
      </c>
    </row>
    <row r="12" spans="1:6" ht="14.25" thickBot="1">
      <c r="A12" s="1767" t="s">
        <v>1145</v>
      </c>
      <c r="B12" s="1774" t="s">
        <v>1075</v>
      </c>
      <c r="C12" s="1772">
        <v>6.0999999999999999E-2</v>
      </c>
      <c r="D12" s="1772">
        <v>7.0999999999999994E-2</v>
      </c>
      <c r="E12" s="1772">
        <v>9.6000000000000002E-2</v>
      </c>
      <c r="F12" s="1773">
        <v>0.1</v>
      </c>
    </row>
    <row r="13" spans="1:6" ht="14.25" thickBot="1">
      <c r="A13" s="1767" t="s">
        <v>1145</v>
      </c>
      <c r="B13" s="1774" t="s">
        <v>1088</v>
      </c>
      <c r="C13" s="1772">
        <v>6.9000000000000006E-2</v>
      </c>
      <c r="D13" s="1772">
        <v>6.5000000000000002E-2</v>
      </c>
      <c r="E13" s="1772">
        <v>6.6000000000000003E-2</v>
      </c>
      <c r="F13" s="1773">
        <v>0.1</v>
      </c>
    </row>
    <row r="14" spans="1:6" ht="14.25" thickBot="1">
      <c r="A14" s="1767" t="s">
        <v>1145</v>
      </c>
      <c r="B14" s="1774" t="s">
        <v>1102</v>
      </c>
      <c r="C14" s="1772">
        <v>0.1</v>
      </c>
      <c r="D14" s="1772">
        <v>6.5000000000000002E-2</v>
      </c>
      <c r="E14" s="1772">
        <v>7.0000000000000007E-2</v>
      </c>
      <c r="F14" s="1773">
        <v>0.1</v>
      </c>
    </row>
    <row r="15" spans="1:6" ht="14.25" thickBot="1">
      <c r="A15" s="1767" t="s">
        <v>1145</v>
      </c>
      <c r="B15" s="1774" t="s">
        <v>1113</v>
      </c>
      <c r="C15" s="1772">
        <v>9.8000000000000004E-2</v>
      </c>
      <c r="D15" s="1772">
        <v>8.8999999999999996E-2</v>
      </c>
      <c r="E15" s="1772">
        <v>8.8999999999999996E-2</v>
      </c>
      <c r="F15" s="1773">
        <v>0.1</v>
      </c>
    </row>
    <row r="16" spans="1:6" ht="14.25" thickBot="1">
      <c r="A16" s="1767" t="s">
        <v>1145</v>
      </c>
      <c r="B16" s="1774" t="s">
        <v>1124</v>
      </c>
      <c r="C16" s="1772">
        <v>7.0000000000000007E-2</v>
      </c>
      <c r="D16" s="1772">
        <v>9.2999999999999999E-2</v>
      </c>
      <c r="E16" s="1772">
        <v>9.6000000000000002E-2</v>
      </c>
      <c r="F16" s="1773">
        <v>0.1</v>
      </c>
    </row>
    <row r="17" spans="1:6" ht="14.25" thickBot="1">
      <c r="A17" s="1767" t="s">
        <v>1145</v>
      </c>
      <c r="B17" s="1774" t="s">
        <v>1135</v>
      </c>
      <c r="C17" s="1772">
        <v>9.5000000000000001E-2</v>
      </c>
      <c r="D17" s="1772">
        <v>0.1</v>
      </c>
      <c r="E17" s="1772">
        <v>0.1</v>
      </c>
      <c r="F17" s="1780"/>
    </row>
    <row r="18" spans="1:6" ht="14.25" thickBot="1">
      <c r="A18" s="1767" t="s">
        <v>1145</v>
      </c>
      <c r="B18" s="1774" t="s">
        <v>1147</v>
      </c>
      <c r="C18" s="1772">
        <v>7.3999999999999996E-2</v>
      </c>
      <c r="D18" s="1772">
        <v>9.9000000000000005E-2</v>
      </c>
      <c r="E18" s="1772">
        <v>0.1</v>
      </c>
      <c r="F18" s="1780"/>
    </row>
    <row r="19" spans="1:6" ht="14.25" thickBot="1">
      <c r="A19" s="1767" t="s">
        <v>1145</v>
      </c>
      <c r="B19" s="1774" t="s">
        <v>1157</v>
      </c>
      <c r="C19" s="1772">
        <v>9.9000000000000005E-2</v>
      </c>
      <c r="D19" s="1772">
        <v>7.5999999999999998E-2</v>
      </c>
      <c r="E19" s="1772">
        <v>8.6999999999999994E-2</v>
      </c>
      <c r="F19" s="1780"/>
    </row>
    <row r="20" spans="1:6" ht="14.25" thickBot="1">
      <c r="A20" s="1767" t="s">
        <v>1145</v>
      </c>
      <c r="B20" s="1774" t="s">
        <v>1167</v>
      </c>
      <c r="C20" s="1772">
        <v>9.8000000000000004E-2</v>
      </c>
      <c r="D20" s="1772">
        <v>8.5000000000000006E-2</v>
      </c>
      <c r="E20" s="1772">
        <v>8.2000000000000003E-2</v>
      </c>
      <c r="F20" s="1780"/>
    </row>
    <row r="21" spans="1:6" ht="14.25" thickBot="1">
      <c r="A21" s="1767" t="s">
        <v>1145</v>
      </c>
      <c r="B21" s="1774" t="s">
        <v>1177</v>
      </c>
      <c r="C21" s="1772">
        <v>6.6000000000000003E-2</v>
      </c>
      <c r="D21" s="1772">
        <v>6.4000000000000001E-2</v>
      </c>
      <c r="E21" s="1772">
        <v>6.5000000000000002E-2</v>
      </c>
      <c r="F21" s="1780"/>
    </row>
    <row r="22" spans="1:6" ht="14.25" thickBot="1">
      <c r="A22" s="1767" t="s">
        <v>1145</v>
      </c>
      <c r="B22" s="1774" t="s">
        <v>2078</v>
      </c>
      <c r="C22" s="1772">
        <v>0.08</v>
      </c>
      <c r="D22" s="1772">
        <v>9.8000000000000004E-2</v>
      </c>
      <c r="E22" s="1772">
        <v>9.8000000000000004E-2</v>
      </c>
      <c r="F22" s="1780"/>
    </row>
    <row r="23" spans="1:6" ht="14.25" thickBot="1">
      <c r="A23" s="1767" t="s">
        <v>1145</v>
      </c>
      <c r="B23" s="1774" t="s">
        <v>1197</v>
      </c>
      <c r="C23" s="1772">
        <v>9.9000000000000005E-2</v>
      </c>
      <c r="D23" s="1772">
        <v>9.8000000000000004E-2</v>
      </c>
      <c r="E23" s="1772">
        <v>9.0999999999999998E-2</v>
      </c>
      <c r="F23" s="1780"/>
    </row>
    <row r="24" spans="1:6" ht="14.25" thickBot="1">
      <c r="A24" s="1767" t="s">
        <v>1145</v>
      </c>
      <c r="B24" s="1774" t="s">
        <v>1207</v>
      </c>
      <c r="C24" s="1772">
        <v>8.8999999999999996E-2</v>
      </c>
      <c r="D24" s="1772">
        <v>9.7000000000000003E-2</v>
      </c>
      <c r="E24" s="1772">
        <v>7.0000000000000007E-2</v>
      </c>
      <c r="F24" s="1780"/>
    </row>
    <row r="25" spans="1:6" ht="14.25" thickBot="1">
      <c r="A25" s="1767" t="s">
        <v>1145</v>
      </c>
      <c r="B25" s="1774" t="s">
        <v>1217</v>
      </c>
      <c r="C25" s="1772">
        <v>8.8999999999999996E-2</v>
      </c>
      <c r="D25" s="1772">
        <v>0.1</v>
      </c>
      <c r="E25" s="1772">
        <v>8.1000000000000003E-2</v>
      </c>
      <c r="F25" s="1780"/>
    </row>
    <row r="26" spans="1:6" ht="14.25" thickBot="1">
      <c r="A26" s="1767" t="s">
        <v>1145</v>
      </c>
      <c r="B26" s="1774" t="s">
        <v>1227</v>
      </c>
      <c r="C26" s="1781"/>
      <c r="D26" s="1772">
        <v>9.6000000000000002E-2</v>
      </c>
      <c r="E26" s="1772">
        <v>9.2999999999999999E-2</v>
      </c>
      <c r="F26" s="1780"/>
    </row>
    <row r="27" spans="1:6" ht="14.25" thickBot="1">
      <c r="A27" s="1767" t="s">
        <v>1145</v>
      </c>
      <c r="B27" s="1774" t="s">
        <v>1237</v>
      </c>
      <c r="C27" s="1781"/>
      <c r="D27" s="1772">
        <v>7.5999999999999998E-2</v>
      </c>
      <c r="E27" s="1772">
        <v>9.1999999999999998E-2</v>
      </c>
      <c r="F27" s="1780"/>
    </row>
    <row r="28" spans="1:6" ht="14.25" thickBot="1">
      <c r="A28" s="1775" t="s">
        <v>1145</v>
      </c>
      <c r="B28" s="1776" t="s">
        <v>1247</v>
      </c>
      <c r="C28" s="1778"/>
      <c r="D28" s="1777">
        <v>7.5999999999999998E-2</v>
      </c>
      <c r="E28" s="1777">
        <v>9.1999999999999998E-2</v>
      </c>
      <c r="F28" s="1779"/>
    </row>
    <row r="29" spans="1:6" ht="14.25" thickBot="1">
      <c r="A29" s="1767" t="s">
        <v>1316</v>
      </c>
      <c r="B29" s="1768" t="s">
        <v>2079</v>
      </c>
      <c r="C29" s="1769">
        <v>6.4000000000000001E-2</v>
      </c>
      <c r="D29" s="1769">
        <v>6.5000000000000002E-2</v>
      </c>
      <c r="E29" s="1769">
        <v>6.9000000000000006E-2</v>
      </c>
      <c r="F29" s="1770">
        <v>0.1</v>
      </c>
    </row>
    <row r="30" spans="1:6" ht="14.25" thickBot="1">
      <c r="A30" s="1767" t="s">
        <v>1316</v>
      </c>
      <c r="B30" s="1774" t="s">
        <v>1062</v>
      </c>
      <c r="C30" s="1772">
        <v>6.4000000000000001E-2</v>
      </c>
      <c r="D30" s="1772">
        <v>9.9000000000000005E-2</v>
      </c>
      <c r="E30" s="1772">
        <v>0.1</v>
      </c>
      <c r="F30" s="1773">
        <v>0.1</v>
      </c>
    </row>
    <row r="31" spans="1:6" ht="14.25" thickBot="1">
      <c r="A31" s="1767" t="s">
        <v>1316</v>
      </c>
      <c r="B31" s="1774" t="s">
        <v>1076</v>
      </c>
      <c r="C31" s="1772">
        <v>0.1</v>
      </c>
      <c r="D31" s="1772">
        <v>9.5000000000000001E-2</v>
      </c>
      <c r="E31" s="1772">
        <v>8.8999999999999996E-2</v>
      </c>
      <c r="F31" s="1773">
        <v>0.1</v>
      </c>
    </row>
    <row r="32" spans="1:6" ht="14.25" thickBot="1">
      <c r="A32" s="1767" t="s">
        <v>1316</v>
      </c>
      <c r="B32" s="1774" t="s">
        <v>1089</v>
      </c>
      <c r="C32" s="1772">
        <v>0.05</v>
      </c>
      <c r="D32" s="1772">
        <v>0.05</v>
      </c>
      <c r="E32" s="1772">
        <v>8.7999999999999995E-2</v>
      </c>
      <c r="F32" s="1773">
        <v>0.1</v>
      </c>
    </row>
    <row r="33" spans="1:6" ht="14.25" thickBot="1">
      <c r="A33" s="1767" t="s">
        <v>1316</v>
      </c>
      <c r="B33" s="1774" t="s">
        <v>1103</v>
      </c>
      <c r="C33" s="1772">
        <v>7.4999999999999997E-2</v>
      </c>
      <c r="D33" s="1772">
        <v>9.4E-2</v>
      </c>
      <c r="E33" s="1772">
        <v>9.7000000000000003E-2</v>
      </c>
      <c r="F33" s="1773">
        <v>0.1</v>
      </c>
    </row>
    <row r="34" spans="1:6" ht="14.25" thickBot="1">
      <c r="A34" s="1767" t="s">
        <v>1316</v>
      </c>
      <c r="B34" s="1774" t="s">
        <v>1114</v>
      </c>
      <c r="C34" s="1772">
        <v>9.8000000000000004E-2</v>
      </c>
      <c r="D34" s="1772">
        <v>8.5999999999999993E-2</v>
      </c>
      <c r="E34" s="1772">
        <v>9.7000000000000003E-2</v>
      </c>
      <c r="F34" s="1773">
        <v>0.1</v>
      </c>
    </row>
    <row r="35" spans="1:6" ht="14.25" thickBot="1">
      <c r="A35" s="1767" t="s">
        <v>1316</v>
      </c>
      <c r="B35" s="1774" t="s">
        <v>1125</v>
      </c>
      <c r="C35" s="1772">
        <v>5.8999999999999997E-2</v>
      </c>
      <c r="D35" s="1772">
        <v>6.5000000000000002E-2</v>
      </c>
      <c r="E35" s="1772">
        <v>7.0000000000000007E-2</v>
      </c>
      <c r="F35" s="1773">
        <v>0.1</v>
      </c>
    </row>
    <row r="36" spans="1:6" ht="14.25" thickBot="1">
      <c r="A36" s="1767" t="s">
        <v>1316</v>
      </c>
      <c r="B36" s="1774" t="s">
        <v>1136</v>
      </c>
      <c r="C36" s="1772">
        <v>6.3E-2</v>
      </c>
      <c r="D36" s="1772">
        <v>0.1</v>
      </c>
      <c r="E36" s="1772">
        <v>0.1</v>
      </c>
      <c r="F36" s="1773">
        <v>0.1</v>
      </c>
    </row>
    <row r="37" spans="1:6" ht="14.25" thickBot="1">
      <c r="A37" s="1767" t="s">
        <v>1316</v>
      </c>
      <c r="B37" s="1774" t="s">
        <v>1148</v>
      </c>
      <c r="C37" s="1772">
        <v>7.3999999999999996E-2</v>
      </c>
      <c r="D37" s="1772">
        <v>0.1</v>
      </c>
      <c r="E37" s="1772">
        <v>0.1</v>
      </c>
      <c r="F37" s="1773">
        <v>0.1</v>
      </c>
    </row>
    <row r="38" spans="1:6" ht="14.25" thickBot="1">
      <c r="A38" s="1767" t="s">
        <v>1316</v>
      </c>
      <c r="B38" s="1774" t="s">
        <v>1158</v>
      </c>
      <c r="C38" s="1772">
        <v>0.1</v>
      </c>
      <c r="D38" s="1772">
        <v>9.6000000000000002E-2</v>
      </c>
      <c r="E38" s="1772">
        <v>9.6000000000000002E-2</v>
      </c>
      <c r="F38" s="1780"/>
    </row>
    <row r="39" spans="1:6" ht="14.25" thickBot="1">
      <c r="A39" s="1767" t="s">
        <v>1316</v>
      </c>
      <c r="B39" s="1774" t="s">
        <v>1168</v>
      </c>
      <c r="C39" s="1772">
        <v>0.1</v>
      </c>
      <c r="D39" s="1772">
        <v>9.6000000000000002E-2</v>
      </c>
      <c r="E39" s="1772">
        <v>9.6000000000000002E-2</v>
      </c>
      <c r="F39" s="1780"/>
    </row>
    <row r="40" spans="1:6" ht="14.25" thickBot="1">
      <c r="A40" s="1767" t="s">
        <v>1316</v>
      </c>
      <c r="B40" s="1774" t="s">
        <v>1178</v>
      </c>
      <c r="C40" s="1772">
        <v>9.6000000000000002E-2</v>
      </c>
      <c r="D40" s="1772">
        <v>0.1</v>
      </c>
      <c r="E40" s="1772">
        <v>9.9000000000000005E-2</v>
      </c>
      <c r="F40" s="1780"/>
    </row>
    <row r="41" spans="1:6" ht="14.25" thickBot="1">
      <c r="A41" s="1767" t="s">
        <v>1316</v>
      </c>
      <c r="B41" s="1774" t="s">
        <v>1188</v>
      </c>
      <c r="C41" s="1772">
        <v>9.6000000000000002E-2</v>
      </c>
      <c r="D41" s="1772">
        <v>9.8000000000000004E-2</v>
      </c>
      <c r="E41" s="1772">
        <v>9.8000000000000004E-2</v>
      </c>
      <c r="F41" s="1780"/>
    </row>
    <row r="42" spans="1:6" ht="14.25" thickBot="1">
      <c r="A42" s="1767" t="s">
        <v>1316</v>
      </c>
      <c r="B42" s="1774" t="s">
        <v>1198</v>
      </c>
      <c r="C42" s="1772">
        <v>0.1</v>
      </c>
      <c r="D42" s="1772">
        <v>8.7999999999999995E-2</v>
      </c>
      <c r="E42" s="1772">
        <v>0.1</v>
      </c>
      <c r="F42" s="1780"/>
    </row>
    <row r="43" spans="1:6" ht="14.25" thickBot="1">
      <c r="A43" s="1767" t="s">
        <v>1316</v>
      </c>
      <c r="B43" s="1774" t="s">
        <v>1208</v>
      </c>
      <c r="C43" s="1772">
        <v>9.8000000000000004E-2</v>
      </c>
      <c r="D43" s="1772">
        <v>9.7000000000000003E-2</v>
      </c>
      <c r="E43" s="1772">
        <v>9.6000000000000002E-2</v>
      </c>
      <c r="F43" s="1780"/>
    </row>
    <row r="44" spans="1:6" ht="14.25" thickBot="1">
      <c r="A44" s="1767" t="s">
        <v>1316</v>
      </c>
      <c r="B44" s="1774" t="s">
        <v>1218</v>
      </c>
      <c r="C44" s="1772">
        <v>8.5999999999999993E-2</v>
      </c>
      <c r="D44" s="1772">
        <v>7.9000000000000001E-2</v>
      </c>
      <c r="E44" s="1772">
        <v>7.0999999999999994E-2</v>
      </c>
      <c r="F44" s="1780"/>
    </row>
    <row r="45" spans="1:6" ht="14.25" thickBot="1">
      <c r="A45" s="1767" t="s">
        <v>1316</v>
      </c>
      <c r="B45" s="1774" t="s">
        <v>1228</v>
      </c>
      <c r="C45" s="1772">
        <v>9.8000000000000004E-2</v>
      </c>
      <c r="D45" s="1772">
        <v>9.6000000000000002E-2</v>
      </c>
      <c r="E45" s="1772">
        <v>9.6000000000000002E-2</v>
      </c>
      <c r="F45" s="1780"/>
    </row>
    <row r="46" spans="1:6" ht="14.25" thickBot="1">
      <c r="A46" s="1767" t="s">
        <v>1316</v>
      </c>
      <c r="B46" s="1774" t="s">
        <v>1238</v>
      </c>
      <c r="C46" s="1772">
        <v>8.5999999999999993E-2</v>
      </c>
      <c r="D46" s="1772">
        <v>9.8000000000000004E-2</v>
      </c>
      <c r="E46" s="1772">
        <v>8.7999999999999995E-2</v>
      </c>
      <c r="F46" s="1780"/>
    </row>
    <row r="47" spans="1:6" ht="14.25" thickBot="1">
      <c r="A47" s="1767" t="s">
        <v>1316</v>
      </c>
      <c r="B47" s="1774" t="s">
        <v>1248</v>
      </c>
      <c r="C47" s="1772">
        <v>9.6000000000000002E-2</v>
      </c>
      <c r="D47" s="1781"/>
      <c r="E47" s="1772">
        <v>6.9000000000000006E-2</v>
      </c>
      <c r="F47" s="1780"/>
    </row>
    <row r="48" spans="1:6" ht="14.25" thickBot="1">
      <c r="A48" s="1775" t="s">
        <v>1316</v>
      </c>
      <c r="B48" s="1776" t="s">
        <v>1257</v>
      </c>
      <c r="C48" s="1777">
        <v>9.8000000000000004E-2</v>
      </c>
      <c r="D48" s="1778"/>
      <c r="E48" s="1777">
        <v>9.5000000000000001E-2</v>
      </c>
      <c r="F48" s="1779"/>
    </row>
    <row r="49" spans="1:6" ht="14.25" thickBot="1">
      <c r="A49" s="1767" t="s">
        <v>915</v>
      </c>
      <c r="B49" s="1768" t="s">
        <v>2080</v>
      </c>
      <c r="C49" s="1769">
        <v>9.7000000000000003E-2</v>
      </c>
      <c r="D49" s="1769">
        <v>9.5000000000000001E-2</v>
      </c>
      <c r="E49" s="1769">
        <v>9.7000000000000003E-2</v>
      </c>
      <c r="F49" s="1770">
        <v>0.1</v>
      </c>
    </row>
    <row r="50" spans="1:6" ht="14.25" thickBot="1">
      <c r="A50" s="1767" t="s">
        <v>915</v>
      </c>
      <c r="B50" s="1771" t="s">
        <v>1063</v>
      </c>
      <c r="C50" s="1772">
        <v>7.4999999999999997E-2</v>
      </c>
      <c r="D50" s="1772">
        <v>9.5000000000000001E-2</v>
      </c>
      <c r="E50" s="1772">
        <v>0.1</v>
      </c>
      <c r="F50" s="1773">
        <v>0.1</v>
      </c>
    </row>
    <row r="51" spans="1:6" ht="14.25" thickBot="1">
      <c r="A51" s="1767" t="s">
        <v>915</v>
      </c>
      <c r="B51" s="1771" t="s">
        <v>1077</v>
      </c>
      <c r="C51" s="1772">
        <v>9.8000000000000004E-2</v>
      </c>
      <c r="D51" s="1772">
        <v>8.8999999999999996E-2</v>
      </c>
      <c r="E51" s="1772">
        <v>0.1</v>
      </c>
      <c r="F51" s="1773">
        <v>0.1</v>
      </c>
    </row>
    <row r="52" spans="1:6" ht="14.25" thickBot="1">
      <c r="A52" s="1767" t="s">
        <v>915</v>
      </c>
      <c r="B52" s="1771" t="s">
        <v>1090</v>
      </c>
      <c r="C52" s="1772">
        <v>9.8000000000000004E-2</v>
      </c>
      <c r="D52" s="1772">
        <v>9.7000000000000003E-2</v>
      </c>
      <c r="E52" s="1772">
        <v>8.1000000000000003E-2</v>
      </c>
      <c r="F52" s="1773">
        <v>0.1</v>
      </c>
    </row>
    <row r="53" spans="1:6" ht="14.25" thickBot="1">
      <c r="A53" s="1767" t="s">
        <v>915</v>
      </c>
      <c r="B53" s="1771" t="s">
        <v>1104</v>
      </c>
      <c r="C53" s="1772">
        <v>9.7000000000000003E-2</v>
      </c>
      <c r="D53" s="1772">
        <v>7.5999999999999998E-2</v>
      </c>
      <c r="E53" s="1772">
        <v>7.0999999999999994E-2</v>
      </c>
      <c r="F53" s="1773">
        <v>0.1</v>
      </c>
    </row>
    <row r="54" spans="1:6" ht="14.25" thickBot="1">
      <c r="A54" s="1767" t="s">
        <v>915</v>
      </c>
      <c r="B54" s="1771" t="s">
        <v>1115</v>
      </c>
      <c r="C54" s="1772">
        <v>7.5999999999999998E-2</v>
      </c>
      <c r="D54" s="1772">
        <v>0.1</v>
      </c>
      <c r="E54" s="1772">
        <v>9.9000000000000005E-2</v>
      </c>
      <c r="F54" s="1773">
        <v>0.1</v>
      </c>
    </row>
    <row r="55" spans="1:6" ht="14.25" thickBot="1">
      <c r="A55" s="1767" t="s">
        <v>915</v>
      </c>
      <c r="B55" s="1771" t="s">
        <v>1126</v>
      </c>
      <c r="C55" s="1772">
        <v>0.1</v>
      </c>
      <c r="D55" s="1772">
        <v>0.1</v>
      </c>
      <c r="E55" s="1772">
        <v>9.6000000000000002E-2</v>
      </c>
      <c r="F55" s="1773">
        <v>0.1</v>
      </c>
    </row>
    <row r="56" spans="1:6" ht="14.25" thickBot="1">
      <c r="A56" s="1767" t="s">
        <v>915</v>
      </c>
      <c r="B56" s="1771" t="s">
        <v>1137</v>
      </c>
      <c r="C56" s="1772">
        <v>0.1</v>
      </c>
      <c r="D56" s="1772">
        <v>9.6000000000000002E-2</v>
      </c>
      <c r="E56" s="1772">
        <v>5.1999999999999998E-2</v>
      </c>
      <c r="F56" s="1773">
        <v>0.1</v>
      </c>
    </row>
    <row r="57" spans="1:6" ht="14.25" thickBot="1">
      <c r="A57" s="1767" t="s">
        <v>915</v>
      </c>
      <c r="B57" s="1771" t="s">
        <v>1149</v>
      </c>
      <c r="C57" s="1772">
        <v>9.7000000000000003E-2</v>
      </c>
      <c r="D57" s="1772">
        <v>9.6000000000000002E-2</v>
      </c>
      <c r="E57" s="1772">
        <v>9.6000000000000002E-2</v>
      </c>
      <c r="F57" s="1773">
        <v>0.1</v>
      </c>
    </row>
    <row r="58" spans="1:6" ht="14.25" thickBot="1">
      <c r="A58" s="1767" t="s">
        <v>915</v>
      </c>
      <c r="B58" s="1771" t="s">
        <v>1159</v>
      </c>
      <c r="C58" s="1772">
        <v>9.6000000000000002E-2</v>
      </c>
      <c r="D58" s="1772">
        <v>9.9000000000000005E-2</v>
      </c>
      <c r="E58" s="1772">
        <v>9.6000000000000002E-2</v>
      </c>
      <c r="F58" s="1773">
        <v>0.1</v>
      </c>
    </row>
    <row r="59" spans="1:6" ht="14.25" thickBot="1">
      <c r="A59" s="1767" t="s">
        <v>915</v>
      </c>
      <c r="B59" s="1771" t="s">
        <v>1169</v>
      </c>
      <c r="C59" s="1772">
        <v>7.1999999999999995E-2</v>
      </c>
      <c r="D59" s="1772">
        <v>9.6000000000000002E-2</v>
      </c>
      <c r="E59" s="1772">
        <v>7.0999999999999994E-2</v>
      </c>
      <c r="F59" s="1773">
        <v>0.1</v>
      </c>
    </row>
    <row r="60" spans="1:6" ht="14.25" thickBot="1">
      <c r="A60" s="1767" t="s">
        <v>915</v>
      </c>
      <c r="B60" s="1771" t="s">
        <v>1179</v>
      </c>
      <c r="C60" s="1772">
        <v>9.6000000000000002E-2</v>
      </c>
      <c r="D60" s="1772">
        <v>8.8999999999999996E-2</v>
      </c>
      <c r="E60" s="1772">
        <v>9.6000000000000002E-2</v>
      </c>
      <c r="F60" s="1773">
        <v>0.1</v>
      </c>
    </row>
    <row r="61" spans="1:6" ht="14.25" thickBot="1">
      <c r="A61" s="1767" t="s">
        <v>915</v>
      </c>
      <c r="B61" s="1771" t="s">
        <v>1189</v>
      </c>
      <c r="C61" s="1772">
        <v>8.8999999999999996E-2</v>
      </c>
      <c r="D61" s="1772">
        <v>9.8000000000000004E-2</v>
      </c>
      <c r="E61" s="1772">
        <v>8.7999999999999995E-2</v>
      </c>
      <c r="F61" s="1780"/>
    </row>
    <row r="62" spans="1:6" ht="14.25" thickBot="1">
      <c r="A62" s="1767" t="s">
        <v>915</v>
      </c>
      <c r="B62" s="1771" t="s">
        <v>1199</v>
      </c>
      <c r="C62" s="1772">
        <v>9.8000000000000004E-2</v>
      </c>
      <c r="D62" s="1772">
        <v>9.2999999999999999E-2</v>
      </c>
      <c r="E62" s="1772">
        <v>9.7000000000000003E-2</v>
      </c>
      <c r="F62" s="1780"/>
    </row>
    <row r="63" spans="1:6" ht="14.25" thickBot="1">
      <c r="A63" s="1767" t="s">
        <v>915</v>
      </c>
      <c r="B63" s="1771" t="s">
        <v>1209</v>
      </c>
      <c r="C63" s="1772">
        <v>9.6000000000000002E-2</v>
      </c>
      <c r="D63" s="1772">
        <v>9.8000000000000004E-2</v>
      </c>
      <c r="E63" s="1772">
        <v>0.09</v>
      </c>
      <c r="F63" s="1780"/>
    </row>
    <row r="64" spans="1:6" ht="14.25" thickBot="1">
      <c r="A64" s="1767" t="s">
        <v>915</v>
      </c>
      <c r="B64" s="1771" t="s">
        <v>1219</v>
      </c>
      <c r="C64" s="1772">
        <v>9.9000000000000005E-2</v>
      </c>
      <c r="D64" s="1772">
        <v>9.7000000000000003E-2</v>
      </c>
      <c r="E64" s="1772">
        <v>9.9000000000000005E-2</v>
      </c>
      <c r="F64" s="1780"/>
    </row>
    <row r="65" spans="1:6" ht="14.25" thickBot="1">
      <c r="A65" s="1767" t="s">
        <v>915</v>
      </c>
      <c r="B65" s="1771" t="s">
        <v>1229</v>
      </c>
      <c r="C65" s="1772">
        <v>9.8000000000000004E-2</v>
      </c>
      <c r="D65" s="1772">
        <v>9.6000000000000002E-2</v>
      </c>
      <c r="E65" s="1772">
        <v>9.6000000000000002E-2</v>
      </c>
      <c r="F65" s="1780"/>
    </row>
    <row r="66" spans="1:6" ht="14.25" thickBot="1">
      <c r="A66" s="1767" t="s">
        <v>915</v>
      </c>
      <c r="B66" s="1771" t="s">
        <v>1239</v>
      </c>
      <c r="C66" s="1772">
        <v>9.6000000000000002E-2</v>
      </c>
      <c r="D66" s="1772">
        <v>9.1999999999999998E-2</v>
      </c>
      <c r="E66" s="1772">
        <v>9.6000000000000002E-2</v>
      </c>
      <c r="F66" s="1780"/>
    </row>
    <row r="67" spans="1:6" ht="14.25" thickBot="1">
      <c r="A67" s="1767" t="s">
        <v>915</v>
      </c>
      <c r="B67" s="1771" t="s">
        <v>1249</v>
      </c>
      <c r="C67" s="1772">
        <v>9.4E-2</v>
      </c>
      <c r="D67" s="1772">
        <v>0.1</v>
      </c>
      <c r="E67" s="1772">
        <v>8.7999999999999995E-2</v>
      </c>
      <c r="F67" s="1780"/>
    </row>
    <row r="68" spans="1:6" ht="14.25" thickBot="1">
      <c r="A68" s="1767" t="s">
        <v>915</v>
      </c>
      <c r="B68" s="1771" t="s">
        <v>1258</v>
      </c>
      <c r="C68" s="1772">
        <v>0.1</v>
      </c>
      <c r="D68" s="1772">
        <v>8.7999999999999995E-2</v>
      </c>
      <c r="E68" s="1772">
        <v>9.7000000000000003E-2</v>
      </c>
      <c r="F68" s="1780"/>
    </row>
    <row r="69" spans="1:6" ht="14.25" thickBot="1">
      <c r="A69" s="1767" t="s">
        <v>915</v>
      </c>
      <c r="B69" s="1771" t="s">
        <v>1267</v>
      </c>
      <c r="C69" s="1772">
        <v>6.4000000000000001E-2</v>
      </c>
      <c r="D69" s="1772">
        <v>0.1</v>
      </c>
      <c r="E69" s="1772">
        <v>0.1</v>
      </c>
      <c r="F69" s="1780"/>
    </row>
    <row r="70" spans="1:6" ht="14.25" thickBot="1">
      <c r="A70" s="1767" t="s">
        <v>915</v>
      </c>
      <c r="B70" s="1771" t="s">
        <v>1275</v>
      </c>
      <c r="C70" s="1772">
        <v>9.0999999999999998E-2</v>
      </c>
      <c r="D70" s="1781"/>
      <c r="E70" s="1781"/>
      <c r="F70" s="1780"/>
    </row>
    <row r="71" spans="1:6" ht="14.25" thickBot="1">
      <c r="A71" s="1767" t="s">
        <v>915</v>
      </c>
      <c r="B71" s="1771" t="s">
        <v>1282</v>
      </c>
      <c r="C71" s="1772">
        <v>0.1</v>
      </c>
      <c r="D71" s="1781"/>
      <c r="E71" s="1781"/>
      <c r="F71" s="1780"/>
    </row>
    <row r="72" spans="1:6" ht="14.25" thickBot="1">
      <c r="A72" s="1767" t="s">
        <v>915</v>
      </c>
      <c r="B72" s="1771" t="s">
        <v>2081</v>
      </c>
      <c r="C72" s="1781"/>
      <c r="D72" s="1781"/>
      <c r="E72" s="1781"/>
      <c r="F72" s="1773">
        <v>0.05</v>
      </c>
    </row>
    <row r="73" spans="1:6" ht="14.25" thickBot="1">
      <c r="A73" s="1767" t="s">
        <v>915</v>
      </c>
      <c r="B73" s="1771" t="s">
        <v>2082</v>
      </c>
      <c r="C73" s="1781"/>
      <c r="D73" s="1781"/>
      <c r="E73" s="1781"/>
      <c r="F73" s="1773">
        <v>0.05</v>
      </c>
    </row>
    <row r="74" spans="1:6" ht="14.25" thickBot="1">
      <c r="A74" s="1767" t="s">
        <v>915</v>
      </c>
      <c r="B74" s="1771" t="s">
        <v>2083</v>
      </c>
      <c r="C74" s="1781"/>
      <c r="D74" s="1781"/>
      <c r="E74" s="1781"/>
      <c r="F74" s="1773">
        <v>0.05</v>
      </c>
    </row>
    <row r="75" spans="1:6" ht="14.25" thickBot="1">
      <c r="A75" s="1775" t="s">
        <v>915</v>
      </c>
      <c r="B75" s="1782" t="s">
        <v>2084</v>
      </c>
      <c r="C75" s="1778"/>
      <c r="D75" s="1778"/>
      <c r="E75" s="1778"/>
      <c r="F75" s="1783">
        <v>0.05</v>
      </c>
    </row>
    <row r="76" spans="1:6" ht="14.25" thickBot="1">
      <c r="A76" s="1767" t="s">
        <v>1397</v>
      </c>
      <c r="B76" s="1768" t="s">
        <v>2085</v>
      </c>
      <c r="C76" s="1769">
        <v>0.1</v>
      </c>
      <c r="D76" s="1769">
        <v>0.1</v>
      </c>
      <c r="E76" s="1769">
        <v>0.1</v>
      </c>
      <c r="F76" s="1770">
        <v>0.1</v>
      </c>
    </row>
    <row r="77" spans="1:6" ht="14.25" thickBot="1">
      <c r="A77" s="1767" t="s">
        <v>1397</v>
      </c>
      <c r="B77" s="1771" t="s">
        <v>1064</v>
      </c>
      <c r="C77" s="1772">
        <v>8.7999999999999995E-2</v>
      </c>
      <c r="D77" s="1772">
        <v>8.6999999999999994E-2</v>
      </c>
      <c r="E77" s="1772">
        <v>7.9000000000000001E-2</v>
      </c>
      <c r="F77" s="1773">
        <v>0.1</v>
      </c>
    </row>
    <row r="78" spans="1:6" ht="14.25" thickBot="1">
      <c r="A78" s="1767" t="s">
        <v>1397</v>
      </c>
      <c r="B78" s="1771" t="s">
        <v>1078</v>
      </c>
      <c r="C78" s="1772">
        <v>8.6999999999999994E-2</v>
      </c>
      <c r="D78" s="1772">
        <v>8.4000000000000005E-2</v>
      </c>
      <c r="E78" s="1772">
        <v>9.6000000000000002E-2</v>
      </c>
      <c r="F78" s="1773">
        <v>0.1</v>
      </c>
    </row>
    <row r="79" spans="1:6" ht="14.25" thickBot="1">
      <c r="A79" s="1767" t="s">
        <v>1397</v>
      </c>
      <c r="B79" s="1771" t="s">
        <v>1091</v>
      </c>
      <c r="C79" s="1772">
        <v>9.8000000000000004E-2</v>
      </c>
      <c r="D79" s="1772">
        <v>9.8000000000000004E-2</v>
      </c>
      <c r="E79" s="1772">
        <v>9.0999999999999998E-2</v>
      </c>
      <c r="F79" s="1773">
        <v>0.1</v>
      </c>
    </row>
    <row r="80" spans="1:6" ht="14.25" thickBot="1">
      <c r="A80" s="1767" t="s">
        <v>1397</v>
      </c>
      <c r="B80" s="1771" t="s">
        <v>1105</v>
      </c>
      <c r="C80" s="1772">
        <v>9.6000000000000002E-2</v>
      </c>
      <c r="D80" s="1772">
        <v>9.6000000000000002E-2</v>
      </c>
      <c r="E80" s="1772">
        <v>0.1</v>
      </c>
      <c r="F80" s="1773">
        <v>0.1</v>
      </c>
    </row>
    <row r="81" spans="1:6" ht="14.25" thickBot="1">
      <c r="A81" s="1767" t="s">
        <v>1397</v>
      </c>
      <c r="B81" s="1771" t="s">
        <v>1116</v>
      </c>
      <c r="C81" s="1772">
        <v>9.9000000000000005E-2</v>
      </c>
      <c r="D81" s="1772">
        <v>9.9000000000000005E-2</v>
      </c>
      <c r="E81" s="1772">
        <v>9.8000000000000004E-2</v>
      </c>
      <c r="F81" s="1773">
        <v>0.1</v>
      </c>
    </row>
    <row r="82" spans="1:6" ht="14.25" thickBot="1">
      <c r="A82" s="1767" t="s">
        <v>1397</v>
      </c>
      <c r="B82" s="1771" t="s">
        <v>1127</v>
      </c>
      <c r="C82" s="1772">
        <v>9.9000000000000005E-2</v>
      </c>
      <c r="D82" s="1772">
        <v>9.9000000000000005E-2</v>
      </c>
      <c r="E82" s="1772">
        <v>9.7000000000000003E-2</v>
      </c>
      <c r="F82" s="1773">
        <v>0.1</v>
      </c>
    </row>
    <row r="83" spans="1:6" ht="14.25" thickBot="1">
      <c r="A83" s="1767" t="s">
        <v>1397</v>
      </c>
      <c r="B83" s="1771" t="s">
        <v>1138</v>
      </c>
      <c r="C83" s="1772">
        <v>9.8000000000000004E-2</v>
      </c>
      <c r="D83" s="1772">
        <v>9.8000000000000004E-2</v>
      </c>
      <c r="E83" s="1772">
        <v>9.8000000000000004E-2</v>
      </c>
      <c r="F83" s="1773">
        <v>0.1</v>
      </c>
    </row>
    <row r="84" spans="1:6" ht="14.25" thickBot="1">
      <c r="A84" s="1767" t="s">
        <v>1397</v>
      </c>
      <c r="B84" s="1771" t="s">
        <v>1150</v>
      </c>
      <c r="C84" s="1772">
        <v>9.9000000000000005E-2</v>
      </c>
      <c r="D84" s="1772">
        <v>9.9000000000000005E-2</v>
      </c>
      <c r="E84" s="1772">
        <v>9.9000000000000005E-2</v>
      </c>
      <c r="F84" s="1773">
        <v>0.1</v>
      </c>
    </row>
    <row r="85" spans="1:6" ht="14.25" thickBot="1">
      <c r="A85" s="1767" t="s">
        <v>1397</v>
      </c>
      <c r="B85" s="1771" t="s">
        <v>1160</v>
      </c>
      <c r="C85" s="1772">
        <v>9.9000000000000005E-2</v>
      </c>
      <c r="D85" s="1772">
        <v>9.9000000000000005E-2</v>
      </c>
      <c r="E85" s="1772">
        <v>9.9000000000000005E-2</v>
      </c>
      <c r="F85" s="1773">
        <v>0.1</v>
      </c>
    </row>
    <row r="86" spans="1:6" ht="14.25" thickBot="1">
      <c r="A86" s="1767" t="s">
        <v>1397</v>
      </c>
      <c r="B86" s="1771" t="s">
        <v>1170</v>
      </c>
      <c r="C86" s="1772">
        <v>0.1</v>
      </c>
      <c r="D86" s="1772">
        <v>0.1</v>
      </c>
      <c r="E86" s="1772">
        <v>7.6999999999999999E-2</v>
      </c>
      <c r="F86" s="1773">
        <v>0.1</v>
      </c>
    </row>
    <row r="87" spans="1:6" ht="14.25" thickBot="1">
      <c r="A87" s="1767" t="s">
        <v>1397</v>
      </c>
      <c r="B87" s="1771" t="s">
        <v>1180</v>
      </c>
      <c r="C87" s="1772">
        <v>0.1</v>
      </c>
      <c r="D87" s="1772">
        <v>0.1</v>
      </c>
      <c r="E87" s="1772">
        <v>9.8000000000000004E-2</v>
      </c>
      <c r="F87" s="1780"/>
    </row>
    <row r="88" spans="1:6" ht="14.25" thickBot="1">
      <c r="A88" s="1767" t="s">
        <v>1397</v>
      </c>
      <c r="B88" s="1771" t="s">
        <v>1190</v>
      </c>
      <c r="C88" s="1772">
        <v>9.1999999999999998E-2</v>
      </c>
      <c r="D88" s="1772">
        <v>8.5000000000000006E-2</v>
      </c>
      <c r="E88" s="1772">
        <v>9.6000000000000002E-2</v>
      </c>
      <c r="F88" s="1780"/>
    </row>
    <row r="89" spans="1:6" ht="14.25" thickBot="1">
      <c r="A89" s="1767" t="s">
        <v>1397</v>
      </c>
      <c r="B89" s="1771" t="s">
        <v>1200</v>
      </c>
      <c r="C89" s="1772">
        <v>0.1</v>
      </c>
      <c r="D89" s="1772">
        <v>0.1</v>
      </c>
      <c r="E89" s="1772">
        <v>9.7000000000000003E-2</v>
      </c>
      <c r="F89" s="1780"/>
    </row>
    <row r="90" spans="1:6" ht="14.25" thickBot="1">
      <c r="A90" s="1767" t="s">
        <v>1397</v>
      </c>
      <c r="B90" s="1771" t="s">
        <v>1210</v>
      </c>
      <c r="C90" s="1772">
        <v>9.8000000000000004E-2</v>
      </c>
      <c r="D90" s="1772">
        <v>9.8000000000000004E-2</v>
      </c>
      <c r="E90" s="1772">
        <v>8.7999999999999995E-2</v>
      </c>
      <c r="F90" s="1780"/>
    </row>
    <row r="91" spans="1:6" ht="14.25" thickBot="1">
      <c r="A91" s="1767" t="s">
        <v>1397</v>
      </c>
      <c r="B91" s="1771" t="s">
        <v>1220</v>
      </c>
      <c r="C91" s="1772">
        <v>9.9000000000000005E-2</v>
      </c>
      <c r="D91" s="1772">
        <v>9.9000000000000005E-2</v>
      </c>
      <c r="E91" s="1772">
        <v>9.0999999999999998E-2</v>
      </c>
      <c r="F91" s="1780"/>
    </row>
    <row r="92" spans="1:6" ht="14.25" thickBot="1">
      <c r="A92" s="1767" t="s">
        <v>1397</v>
      </c>
      <c r="B92" s="1771" t="s">
        <v>1230</v>
      </c>
      <c r="C92" s="1772">
        <v>9.6000000000000002E-2</v>
      </c>
      <c r="D92" s="1772">
        <v>9.6000000000000002E-2</v>
      </c>
      <c r="E92" s="1772">
        <v>7.2999999999999995E-2</v>
      </c>
      <c r="F92" s="1780"/>
    </row>
    <row r="93" spans="1:6" ht="14.25" thickBot="1">
      <c r="A93" s="1767" t="s">
        <v>1397</v>
      </c>
      <c r="B93" s="1771" t="s">
        <v>1240</v>
      </c>
      <c r="C93" s="1772">
        <v>9.6000000000000002E-2</v>
      </c>
      <c r="D93" s="1772">
        <v>9.6000000000000002E-2</v>
      </c>
      <c r="E93" s="1772">
        <v>9.9000000000000005E-2</v>
      </c>
      <c r="F93" s="1780"/>
    </row>
    <row r="94" spans="1:6" ht="14.25" thickBot="1">
      <c r="A94" s="1767" t="s">
        <v>1397</v>
      </c>
      <c r="B94" s="1771" t="s">
        <v>1250</v>
      </c>
      <c r="C94" s="1772">
        <v>7.5999999999999998E-2</v>
      </c>
      <c r="D94" s="1772">
        <v>7.3999999999999996E-2</v>
      </c>
      <c r="E94" s="1772">
        <v>9.7000000000000003E-2</v>
      </c>
      <c r="F94" s="1780"/>
    </row>
    <row r="95" spans="1:6" ht="14.25" thickBot="1">
      <c r="A95" s="1767" t="s">
        <v>1397</v>
      </c>
      <c r="B95" s="1771" t="s">
        <v>1259</v>
      </c>
      <c r="C95" s="1772">
        <v>9.9000000000000005E-2</v>
      </c>
      <c r="D95" s="1772">
        <v>9.4E-2</v>
      </c>
      <c r="E95" s="1772">
        <v>9.6000000000000002E-2</v>
      </c>
      <c r="F95" s="1780"/>
    </row>
    <row r="96" spans="1:6" ht="14.25" thickBot="1">
      <c r="A96" s="1767" t="s">
        <v>1397</v>
      </c>
      <c r="B96" s="1771" t="s">
        <v>1268</v>
      </c>
      <c r="C96" s="1772">
        <v>9.9000000000000005E-2</v>
      </c>
      <c r="D96" s="1772">
        <v>9.9000000000000005E-2</v>
      </c>
      <c r="E96" s="1772">
        <v>9.9000000000000005E-2</v>
      </c>
      <c r="F96" s="1780"/>
    </row>
    <row r="97" spans="1:6" ht="14.25" thickBot="1">
      <c r="A97" s="1767" t="s">
        <v>1397</v>
      </c>
      <c r="B97" s="1771" t="s">
        <v>1276</v>
      </c>
      <c r="C97" s="1772">
        <v>9.8000000000000004E-2</v>
      </c>
      <c r="D97" s="1772">
        <v>9.8000000000000004E-2</v>
      </c>
      <c r="E97" s="1772">
        <v>9.7000000000000003E-2</v>
      </c>
      <c r="F97" s="1780"/>
    </row>
    <row r="98" spans="1:6" ht="14.25" thickBot="1">
      <c r="A98" s="1767" t="s">
        <v>1397</v>
      </c>
      <c r="B98" s="1771" t="s">
        <v>1283</v>
      </c>
      <c r="C98" s="1772">
        <v>0.1</v>
      </c>
      <c r="D98" s="1772">
        <v>0.1</v>
      </c>
      <c r="E98" s="1772">
        <v>9.7000000000000003E-2</v>
      </c>
      <c r="F98" s="1780"/>
    </row>
    <row r="99" spans="1:6" ht="14.25" thickBot="1">
      <c r="A99" s="1767" t="s">
        <v>1397</v>
      </c>
      <c r="B99" s="1771" t="s">
        <v>1290</v>
      </c>
      <c r="C99" s="1772">
        <v>0.1</v>
      </c>
      <c r="D99" s="1772">
        <v>0.1</v>
      </c>
      <c r="E99" s="1781"/>
      <c r="F99" s="1780"/>
    </row>
    <row r="100" spans="1:6" ht="14.25" thickBot="1">
      <c r="A100" s="1767" t="s">
        <v>1397</v>
      </c>
      <c r="B100" s="1771" t="s">
        <v>1297</v>
      </c>
      <c r="C100" s="1772">
        <v>0.09</v>
      </c>
      <c r="D100" s="1772">
        <v>8.8999999999999996E-2</v>
      </c>
      <c r="E100" s="1781"/>
      <c r="F100" s="1780"/>
    </row>
    <row r="101" spans="1:6" ht="14.25" thickBot="1">
      <c r="A101" s="1767" t="s">
        <v>1397</v>
      </c>
      <c r="B101" s="1771" t="s">
        <v>1304</v>
      </c>
      <c r="C101" s="1772">
        <v>9.8000000000000004E-2</v>
      </c>
      <c r="D101" s="1772">
        <v>9.7000000000000003E-2</v>
      </c>
      <c r="E101" s="1781"/>
      <c r="F101" s="1780"/>
    </row>
    <row r="102" spans="1:6" ht="14.25" thickBot="1">
      <c r="A102" s="1767" t="s">
        <v>1397</v>
      </c>
      <c r="B102" s="1771" t="s">
        <v>2086</v>
      </c>
      <c r="C102" s="1781"/>
      <c r="D102" s="1781"/>
      <c r="E102" s="1781"/>
      <c r="F102" s="1773">
        <v>0.05</v>
      </c>
    </row>
    <row r="103" spans="1:6" ht="24.75" thickBot="1">
      <c r="A103" s="1767" t="s">
        <v>1397</v>
      </c>
      <c r="B103" s="1771" t="s">
        <v>2087</v>
      </c>
      <c r="C103" s="1781"/>
      <c r="D103" s="1781"/>
      <c r="E103" s="1781"/>
      <c r="F103" s="1773">
        <v>0.05</v>
      </c>
    </row>
    <row r="104" spans="1:6" ht="14.25" thickBot="1">
      <c r="A104" s="1767" t="s">
        <v>1397</v>
      </c>
      <c r="B104" s="1771" t="s">
        <v>2088</v>
      </c>
      <c r="C104" s="1781"/>
      <c r="D104" s="1781"/>
      <c r="E104" s="1781"/>
      <c r="F104" s="1773">
        <v>0.05</v>
      </c>
    </row>
    <row r="105" spans="1:6" ht="14.25" thickBot="1">
      <c r="A105" s="1767" t="s">
        <v>1397</v>
      </c>
      <c r="B105" s="1771" t="s">
        <v>2089</v>
      </c>
      <c r="C105" s="1781"/>
      <c r="D105" s="1781"/>
      <c r="E105" s="1781"/>
      <c r="F105" s="1773">
        <v>0.05</v>
      </c>
    </row>
    <row r="106" spans="1:6" ht="14.25" thickBot="1">
      <c r="A106" s="1767" t="s">
        <v>1397</v>
      </c>
      <c r="B106" s="1771" t="s">
        <v>2090</v>
      </c>
      <c r="C106" s="1781"/>
      <c r="D106" s="1781"/>
      <c r="E106" s="1781"/>
      <c r="F106" s="1773">
        <v>0.05</v>
      </c>
    </row>
    <row r="107" spans="1:6" ht="24.75" thickBot="1">
      <c r="A107" s="1767" t="s">
        <v>1397</v>
      </c>
      <c r="B107" s="1771" t="s">
        <v>2091</v>
      </c>
      <c r="C107" s="1781"/>
      <c r="D107" s="1781"/>
      <c r="E107" s="1781"/>
      <c r="F107" s="1773">
        <v>0.05</v>
      </c>
    </row>
    <row r="108" spans="1:6" ht="24.75" thickBot="1">
      <c r="A108" s="1767" t="s">
        <v>1397</v>
      </c>
      <c r="B108" s="1771" t="s">
        <v>2092</v>
      </c>
      <c r="C108" s="1781"/>
      <c r="D108" s="1781"/>
      <c r="E108" s="1781"/>
      <c r="F108" s="1773">
        <v>0.05</v>
      </c>
    </row>
    <row r="109" spans="1:6" ht="24.75" thickBot="1">
      <c r="A109" s="1775" t="s">
        <v>1397</v>
      </c>
      <c r="B109" s="1782" t="s">
        <v>2093</v>
      </c>
      <c r="C109" s="1778"/>
      <c r="D109" s="1778"/>
      <c r="E109" s="1778"/>
      <c r="F109" s="1783">
        <v>0.05</v>
      </c>
    </row>
    <row r="110" spans="1:6" ht="14.25" thickBot="1">
      <c r="A110" s="1767" t="s">
        <v>1399</v>
      </c>
      <c r="B110" s="1768" t="s">
        <v>2094</v>
      </c>
      <c r="C110" s="1769">
        <v>0.129</v>
      </c>
      <c r="D110" s="1769">
        <v>0.129</v>
      </c>
      <c r="E110" s="1769">
        <v>0.126</v>
      </c>
      <c r="F110" s="1770">
        <v>0.13</v>
      </c>
    </row>
    <row r="111" spans="1:6" ht="14.25" thickBot="1">
      <c r="A111" s="1767" t="s">
        <v>1399</v>
      </c>
      <c r="B111" s="1771" t="s">
        <v>1065</v>
      </c>
      <c r="C111" s="1772">
        <v>0.11</v>
      </c>
      <c r="D111" s="1772">
        <v>0.11</v>
      </c>
      <c r="E111" s="1772">
        <v>9.9000000000000005E-2</v>
      </c>
      <c r="F111" s="1773">
        <v>0.128</v>
      </c>
    </row>
    <row r="112" spans="1:6" ht="14.25" thickBot="1">
      <c r="A112" s="1767" t="s">
        <v>1399</v>
      </c>
      <c r="B112" s="1771" t="s">
        <v>1079</v>
      </c>
      <c r="C112" s="1772">
        <v>0.125</v>
      </c>
      <c r="D112" s="1772">
        <v>0.125</v>
      </c>
      <c r="E112" s="1772">
        <v>0.12</v>
      </c>
      <c r="F112" s="1773">
        <v>0.125</v>
      </c>
    </row>
    <row r="113" spans="1:6" ht="14.25" thickBot="1">
      <c r="A113" s="1767" t="s">
        <v>1399</v>
      </c>
      <c r="B113" s="1771" t="s">
        <v>1092</v>
      </c>
      <c r="C113" s="1772">
        <v>0.13</v>
      </c>
      <c r="D113" s="1772">
        <v>0.13</v>
      </c>
      <c r="E113" s="1772">
        <v>0.13</v>
      </c>
      <c r="F113" s="1773">
        <v>0.13</v>
      </c>
    </row>
    <row r="114" spans="1:6" ht="14.25" thickBot="1">
      <c r="A114" s="1767" t="s">
        <v>1399</v>
      </c>
      <c r="B114" s="1771" t="s">
        <v>1106</v>
      </c>
      <c r="C114" s="1772">
        <v>0.123</v>
      </c>
      <c r="D114" s="1772">
        <v>0.123</v>
      </c>
      <c r="E114" s="1772">
        <v>0.12</v>
      </c>
      <c r="F114" s="1773">
        <v>0.13</v>
      </c>
    </row>
    <row r="115" spans="1:6" ht="14.25" thickBot="1">
      <c r="A115" s="1767" t="s">
        <v>1399</v>
      </c>
      <c r="B115" s="1771" t="s">
        <v>1117</v>
      </c>
      <c r="C115" s="1772">
        <v>0.125</v>
      </c>
      <c r="D115" s="1772">
        <v>0.125</v>
      </c>
      <c r="E115" s="1772">
        <v>0.11700000000000001</v>
      </c>
      <c r="F115" s="1773">
        <v>0.13</v>
      </c>
    </row>
    <row r="116" spans="1:6" ht="14.25" thickBot="1">
      <c r="A116" s="1767" t="s">
        <v>1399</v>
      </c>
      <c r="B116" s="1771" t="s">
        <v>1128</v>
      </c>
      <c r="C116" s="1772">
        <v>0.11700000000000001</v>
      </c>
      <c r="D116" s="1772">
        <v>0.11700000000000001</v>
      </c>
      <c r="E116" s="1772">
        <v>8.7999999999999995E-2</v>
      </c>
      <c r="F116" s="1773">
        <v>0.13</v>
      </c>
    </row>
    <row r="117" spans="1:6" ht="14.25" thickBot="1">
      <c r="A117" s="1767" t="s">
        <v>1399</v>
      </c>
      <c r="B117" s="1771" t="s">
        <v>1139</v>
      </c>
      <c r="C117" s="1772">
        <v>0.13</v>
      </c>
      <c r="D117" s="1772">
        <v>0.13</v>
      </c>
      <c r="E117" s="1772">
        <v>0.129</v>
      </c>
      <c r="F117" s="1773">
        <v>0.13</v>
      </c>
    </row>
    <row r="118" spans="1:6" ht="14.25" thickBot="1">
      <c r="A118" s="1767" t="s">
        <v>1399</v>
      </c>
      <c r="B118" s="1771" t="s">
        <v>1151</v>
      </c>
      <c r="C118" s="1772">
        <v>0.123</v>
      </c>
      <c r="D118" s="1772">
        <v>0.123</v>
      </c>
      <c r="E118" s="1772">
        <v>0.11600000000000001</v>
      </c>
      <c r="F118" s="1773">
        <v>0.13</v>
      </c>
    </row>
    <row r="119" spans="1:6" ht="14.25" thickBot="1">
      <c r="A119" s="1767" t="s">
        <v>1399</v>
      </c>
      <c r="B119" s="1771" t="s">
        <v>1161</v>
      </c>
      <c r="C119" s="1772">
        <v>0.127</v>
      </c>
      <c r="D119" s="1772">
        <v>0.127</v>
      </c>
      <c r="E119" s="1772">
        <v>0.124</v>
      </c>
      <c r="F119" s="1773">
        <v>0.13</v>
      </c>
    </row>
    <row r="120" spans="1:6" ht="14.25" thickBot="1">
      <c r="A120" s="1767" t="s">
        <v>1399</v>
      </c>
      <c r="B120" s="1771" t="s">
        <v>1171</v>
      </c>
      <c r="C120" s="1772">
        <v>0.125</v>
      </c>
      <c r="D120" s="1772">
        <v>0.125</v>
      </c>
      <c r="E120" s="1772">
        <v>0.122</v>
      </c>
      <c r="F120" s="1773">
        <v>0.13</v>
      </c>
    </row>
    <row r="121" spans="1:6" ht="14.25" thickBot="1">
      <c r="A121" s="1767" t="s">
        <v>1399</v>
      </c>
      <c r="B121" s="1771" t="s">
        <v>1181</v>
      </c>
      <c r="C121" s="1772">
        <v>0.13</v>
      </c>
      <c r="D121" s="1772">
        <v>0.13</v>
      </c>
      <c r="E121" s="1772">
        <v>0.13</v>
      </c>
      <c r="F121" s="1773">
        <v>0.13</v>
      </c>
    </row>
    <row r="122" spans="1:6" ht="14.25" thickBot="1">
      <c r="A122" s="1767" t="s">
        <v>1399</v>
      </c>
      <c r="B122" s="1771" t="s">
        <v>1191</v>
      </c>
      <c r="C122" s="1772">
        <v>0.13</v>
      </c>
      <c r="D122" s="1772">
        <v>0.13</v>
      </c>
      <c r="E122" s="1772">
        <v>0.125</v>
      </c>
      <c r="F122" s="1773">
        <v>0.13</v>
      </c>
    </row>
    <row r="123" spans="1:6" ht="14.25" thickBot="1">
      <c r="A123" s="1767" t="s">
        <v>1399</v>
      </c>
      <c r="B123" s="1771" t="s">
        <v>1201</v>
      </c>
      <c r="C123" s="1772">
        <v>0.129</v>
      </c>
      <c r="D123" s="1772">
        <v>0.129</v>
      </c>
      <c r="E123" s="1772">
        <v>0.123</v>
      </c>
      <c r="F123" s="1773">
        <v>0.13</v>
      </c>
    </row>
    <row r="124" spans="1:6" ht="14.25" thickBot="1">
      <c r="A124" s="1767" t="s">
        <v>1399</v>
      </c>
      <c r="B124" s="1771" t="s">
        <v>1211</v>
      </c>
      <c r="C124" s="1772">
        <v>0.10199999999999999</v>
      </c>
      <c r="D124" s="1772">
        <v>0.10100000000000001</v>
      </c>
      <c r="E124" s="1772">
        <v>0.08</v>
      </c>
      <c r="F124" s="1780"/>
    </row>
    <row r="125" spans="1:6" ht="14.25" thickBot="1">
      <c r="A125" s="1767" t="s">
        <v>1399</v>
      </c>
      <c r="B125" s="1771" t="s">
        <v>1221</v>
      </c>
      <c r="C125" s="1772">
        <v>0.13</v>
      </c>
      <c r="D125" s="1772">
        <v>0.13</v>
      </c>
      <c r="E125" s="1772">
        <v>0.129</v>
      </c>
      <c r="F125" s="1780"/>
    </row>
    <row r="126" spans="1:6" ht="14.25" thickBot="1">
      <c r="A126" s="1767" t="s">
        <v>1399</v>
      </c>
      <c r="B126" s="1771" t="s">
        <v>1231</v>
      </c>
      <c r="C126" s="1772">
        <v>0.13</v>
      </c>
      <c r="D126" s="1772">
        <v>0.13</v>
      </c>
      <c r="E126" s="1772">
        <v>0.126</v>
      </c>
      <c r="F126" s="1780"/>
    </row>
    <row r="127" spans="1:6" ht="14.25" thickBot="1">
      <c r="A127" s="1767" t="s">
        <v>1399</v>
      </c>
      <c r="B127" s="1771" t="s">
        <v>1241</v>
      </c>
      <c r="C127" s="1772">
        <v>0.125</v>
      </c>
      <c r="D127" s="1772">
        <v>0.125</v>
      </c>
      <c r="E127" s="1772">
        <v>0.121</v>
      </c>
      <c r="F127" s="1780"/>
    </row>
    <row r="128" spans="1:6" ht="14.25" thickBot="1">
      <c r="A128" s="1767" t="s">
        <v>1399</v>
      </c>
      <c r="B128" s="1771" t="s">
        <v>1251</v>
      </c>
      <c r="C128" s="1772">
        <v>0.12</v>
      </c>
      <c r="D128" s="1772">
        <v>0.12</v>
      </c>
      <c r="E128" s="1772">
        <v>0.105</v>
      </c>
      <c r="F128" s="1780"/>
    </row>
    <row r="129" spans="1:6" ht="14.25" thickBot="1">
      <c r="A129" s="1767" t="s">
        <v>1399</v>
      </c>
      <c r="B129" s="1771" t="s">
        <v>1260</v>
      </c>
      <c r="C129" s="1772">
        <v>0.13</v>
      </c>
      <c r="D129" s="1772">
        <v>0.13</v>
      </c>
      <c r="E129" s="1772">
        <v>0.126</v>
      </c>
      <c r="F129" s="1780"/>
    </row>
    <row r="130" spans="1:6" ht="14.25" thickBot="1">
      <c r="A130" s="1767" t="s">
        <v>1399</v>
      </c>
      <c r="B130" s="1771" t="s">
        <v>1269</v>
      </c>
      <c r="C130" s="1772">
        <v>0.125</v>
      </c>
      <c r="D130" s="1772">
        <v>0.125</v>
      </c>
      <c r="E130" s="1772">
        <v>0.122</v>
      </c>
      <c r="F130" s="1780"/>
    </row>
    <row r="131" spans="1:6" ht="14.25" thickBot="1">
      <c r="A131" s="1767" t="s">
        <v>1399</v>
      </c>
      <c r="B131" s="1771" t="s">
        <v>1277</v>
      </c>
      <c r="C131" s="1772">
        <v>0.127</v>
      </c>
      <c r="D131" s="1772">
        <v>0.126</v>
      </c>
      <c r="E131" s="1772">
        <v>0.123</v>
      </c>
      <c r="F131" s="1780"/>
    </row>
    <row r="132" spans="1:6" ht="14.25" thickBot="1">
      <c r="A132" s="1767" t="s">
        <v>1399</v>
      </c>
      <c r="B132" s="1771" t="s">
        <v>1284</v>
      </c>
      <c r="C132" s="1772">
        <v>9.0999999999999998E-2</v>
      </c>
      <c r="D132" s="1772">
        <v>0.121</v>
      </c>
      <c r="E132" s="1772">
        <v>9.9000000000000005E-2</v>
      </c>
      <c r="F132" s="1780"/>
    </row>
    <row r="133" spans="1:6" ht="14.25" thickBot="1">
      <c r="A133" s="1767" t="s">
        <v>1399</v>
      </c>
      <c r="B133" s="1771" t="s">
        <v>1291</v>
      </c>
      <c r="C133" s="1772">
        <v>0.13</v>
      </c>
      <c r="D133" s="1772">
        <v>0.13</v>
      </c>
      <c r="E133" s="1772">
        <v>0.129</v>
      </c>
      <c r="F133" s="1780"/>
    </row>
    <row r="134" spans="1:6" ht="14.25" thickBot="1">
      <c r="A134" s="1767" t="s">
        <v>1399</v>
      </c>
      <c r="B134" s="1771" t="s">
        <v>2095</v>
      </c>
      <c r="C134" s="1772">
        <v>6.8000000000000005E-2</v>
      </c>
      <c r="D134" s="1772">
        <v>6.5000000000000002E-2</v>
      </c>
      <c r="E134" s="1772">
        <v>6.5000000000000002E-2</v>
      </c>
      <c r="F134" s="1773">
        <v>0.13</v>
      </c>
    </row>
    <row r="135" spans="1:6" ht="14.25" thickBot="1">
      <c r="A135" s="1767" t="s">
        <v>1399</v>
      </c>
      <c r="B135" s="1771" t="s">
        <v>1305</v>
      </c>
      <c r="C135" s="1772">
        <v>0.123</v>
      </c>
      <c r="D135" s="1772">
        <v>0.123</v>
      </c>
      <c r="E135" s="1772">
        <v>0.11</v>
      </c>
      <c r="F135" s="1780"/>
    </row>
    <row r="136" spans="1:6" ht="14.25" thickBot="1">
      <c r="A136" s="1767" t="s">
        <v>1399</v>
      </c>
      <c r="B136" s="1771" t="s">
        <v>1312</v>
      </c>
      <c r="C136" s="1772">
        <v>0.13</v>
      </c>
      <c r="D136" s="1772">
        <v>0.13</v>
      </c>
      <c r="E136" s="1772">
        <v>0.125</v>
      </c>
      <c r="F136" s="1780"/>
    </row>
    <row r="137" spans="1:6" ht="14.25" thickBot="1">
      <c r="A137" s="1767" t="s">
        <v>1399</v>
      </c>
      <c r="B137" s="1771" t="s">
        <v>1319</v>
      </c>
      <c r="C137" s="1772">
        <v>0.121</v>
      </c>
      <c r="D137" s="1772">
        <v>0.122</v>
      </c>
      <c r="E137" s="1772">
        <v>0.115</v>
      </c>
      <c r="F137" s="1780"/>
    </row>
    <row r="138" spans="1:6" ht="14.25" thickBot="1">
      <c r="A138" s="1767" t="s">
        <v>1399</v>
      </c>
      <c r="B138" s="1771" t="s">
        <v>2096</v>
      </c>
      <c r="C138" s="1772">
        <v>0.105</v>
      </c>
      <c r="D138" s="1772">
        <v>0.125</v>
      </c>
      <c r="E138" s="1772">
        <v>0.112</v>
      </c>
      <c r="F138" s="1780"/>
    </row>
    <row r="139" spans="1:6" ht="14.25" thickBot="1">
      <c r="A139" s="1767" t="s">
        <v>1399</v>
      </c>
      <c r="B139" s="1771" t="s">
        <v>2097</v>
      </c>
      <c r="C139" s="1772">
        <v>0.127</v>
      </c>
      <c r="D139" s="1772">
        <v>0.127</v>
      </c>
      <c r="E139" s="1772">
        <v>0.122</v>
      </c>
      <c r="F139" s="1773">
        <v>0.13</v>
      </c>
    </row>
    <row r="140" spans="1:6" ht="14.25" thickBot="1">
      <c r="A140" s="1767" t="s">
        <v>1399</v>
      </c>
      <c r="B140" s="1771" t="s">
        <v>2098</v>
      </c>
      <c r="C140" s="1772">
        <v>0.125</v>
      </c>
      <c r="D140" s="1772">
        <v>0.125</v>
      </c>
      <c r="E140" s="1772">
        <v>0.11899999999999999</v>
      </c>
      <c r="F140" s="1773">
        <v>0.13</v>
      </c>
    </row>
    <row r="141" spans="1:6" ht="14.25" thickBot="1">
      <c r="A141" s="1767" t="s">
        <v>1399</v>
      </c>
      <c r="B141" s="1771" t="s">
        <v>1338</v>
      </c>
      <c r="C141" s="1772">
        <v>0.125</v>
      </c>
      <c r="D141" s="1772">
        <v>0.125</v>
      </c>
      <c r="E141" s="1772">
        <v>0.11700000000000001</v>
      </c>
      <c r="F141" s="1780"/>
    </row>
    <row r="142" spans="1:6" ht="14.25" thickBot="1">
      <c r="A142" s="1767" t="s">
        <v>1399</v>
      </c>
      <c r="B142" s="1771" t="s">
        <v>1343</v>
      </c>
      <c r="C142" s="1772">
        <v>0.125</v>
      </c>
      <c r="D142" s="1772">
        <v>0.125</v>
      </c>
      <c r="E142" s="1772">
        <v>0.115</v>
      </c>
      <c r="F142" s="1780"/>
    </row>
    <row r="143" spans="1:6" ht="14.25" thickBot="1">
      <c r="A143" s="1767" t="s">
        <v>1399</v>
      </c>
      <c r="B143" s="1771" t="s">
        <v>1348</v>
      </c>
      <c r="C143" s="1772">
        <v>0.121</v>
      </c>
      <c r="D143" s="1772">
        <v>0.121</v>
      </c>
      <c r="E143" s="1772">
        <v>0.108</v>
      </c>
      <c r="F143" s="1780"/>
    </row>
    <row r="144" spans="1:6" ht="14.25" thickBot="1">
      <c r="A144" s="1767" t="s">
        <v>1399</v>
      </c>
      <c r="B144" s="1784" t="s">
        <v>2099</v>
      </c>
      <c r="C144" s="1785">
        <v>0.126</v>
      </c>
      <c r="D144" s="1785">
        <v>0.126</v>
      </c>
      <c r="E144" s="1785">
        <v>0.121</v>
      </c>
      <c r="F144" s="1780"/>
    </row>
    <row r="145" spans="1:6" ht="14.25" thickBot="1">
      <c r="A145" s="1775" t="s">
        <v>1399</v>
      </c>
      <c r="B145" s="1786" t="s">
        <v>2100</v>
      </c>
      <c r="C145" s="1787"/>
      <c r="D145" s="1787"/>
      <c r="E145" s="1787"/>
      <c r="F145" s="1788">
        <v>0.05</v>
      </c>
    </row>
    <row r="146" spans="1:6" ht="24.75" thickBot="1">
      <c r="A146" s="1789" t="s">
        <v>1399</v>
      </c>
      <c r="B146" s="1774" t="s">
        <v>2101</v>
      </c>
      <c r="C146" s="1781"/>
      <c r="D146" s="1781"/>
      <c r="E146" s="1781"/>
      <c r="F146" s="1790">
        <v>0.05</v>
      </c>
    </row>
    <row r="147" spans="1:6" ht="24.75" thickBot="1">
      <c r="A147" s="1767" t="s">
        <v>1399</v>
      </c>
      <c r="B147" s="1771" t="s">
        <v>2102</v>
      </c>
      <c r="C147" s="1781"/>
      <c r="D147" s="1781"/>
      <c r="E147" s="1781"/>
      <c r="F147" s="1773">
        <v>0.05</v>
      </c>
    </row>
    <row r="148" spans="1:6" ht="24.75" thickBot="1">
      <c r="A148" s="1767" t="s">
        <v>1399</v>
      </c>
      <c r="B148" s="1771" t="s">
        <v>2103</v>
      </c>
      <c r="C148" s="1781"/>
      <c r="D148" s="1781"/>
      <c r="E148" s="1781"/>
      <c r="F148" s="1773">
        <v>0.05</v>
      </c>
    </row>
    <row r="149" spans="1:6" ht="24.75" thickBot="1">
      <c r="A149" s="1767" t="s">
        <v>1399</v>
      </c>
      <c r="B149" s="1771" t="s">
        <v>2104</v>
      </c>
      <c r="C149" s="1781"/>
      <c r="D149" s="1781"/>
      <c r="E149" s="1781"/>
      <c r="F149" s="1773">
        <v>0.05</v>
      </c>
    </row>
    <row r="150" spans="1:6" ht="24.75" thickBot="1">
      <c r="A150" s="1767" t="s">
        <v>1399</v>
      </c>
      <c r="B150" s="1771" t="s">
        <v>2105</v>
      </c>
      <c r="C150" s="1781"/>
      <c r="D150" s="1781"/>
      <c r="E150" s="1781"/>
      <c r="F150" s="1773">
        <v>0.05</v>
      </c>
    </row>
    <row r="151" spans="1:6" ht="24.75" thickBot="1">
      <c r="A151" s="1767" t="s">
        <v>1399</v>
      </c>
      <c r="B151" s="1771" t="s">
        <v>2106</v>
      </c>
      <c r="C151" s="1781"/>
      <c r="D151" s="1781"/>
      <c r="E151" s="1781"/>
      <c r="F151" s="1773">
        <v>0.05</v>
      </c>
    </row>
    <row r="152" spans="1:6" ht="24.75" thickBot="1">
      <c r="A152" s="1767" t="s">
        <v>1399</v>
      </c>
      <c r="B152" s="1771" t="s">
        <v>1381</v>
      </c>
      <c r="C152" s="1781"/>
      <c r="D152" s="1781"/>
      <c r="E152" s="1781"/>
      <c r="F152" s="1773">
        <v>0.05</v>
      </c>
    </row>
    <row r="153" spans="1:6" ht="14.25" thickBot="1">
      <c r="A153" s="1767" t="s">
        <v>1399</v>
      </c>
      <c r="B153" s="1771" t="s">
        <v>2107</v>
      </c>
      <c r="C153" s="1781"/>
      <c r="D153" s="1781"/>
      <c r="E153" s="1781"/>
      <c r="F153" s="1773">
        <v>0.05</v>
      </c>
    </row>
    <row r="154" spans="1:6" ht="14.25" thickBot="1">
      <c r="A154" s="1767" t="s">
        <v>1399</v>
      </c>
      <c r="B154" s="1771" t="s">
        <v>2108</v>
      </c>
      <c r="C154" s="1781"/>
      <c r="D154" s="1781"/>
      <c r="E154" s="1781"/>
      <c r="F154" s="1773">
        <v>0.05</v>
      </c>
    </row>
    <row r="155" spans="1:6" ht="24.75" thickBot="1">
      <c r="A155" s="1767" t="s">
        <v>1399</v>
      </c>
      <c r="B155" s="1771" t="s">
        <v>2109</v>
      </c>
      <c r="C155" s="1781"/>
      <c r="D155" s="1781"/>
      <c r="E155" s="1781"/>
      <c r="F155" s="1773">
        <v>0.05</v>
      </c>
    </row>
    <row r="156" spans="1:6" ht="24.75" thickBot="1">
      <c r="A156" s="1767" t="s">
        <v>1399</v>
      </c>
      <c r="B156" s="1771" t="s">
        <v>2110</v>
      </c>
      <c r="C156" s="1781"/>
      <c r="D156" s="1781"/>
      <c r="E156" s="1781"/>
      <c r="F156" s="1773">
        <v>0.05</v>
      </c>
    </row>
    <row r="157" spans="1:6" ht="14.25" thickBot="1">
      <c r="A157" s="1775" t="s">
        <v>1399</v>
      </c>
      <c r="B157" s="1782" t="s">
        <v>2111</v>
      </c>
      <c r="C157" s="1778"/>
      <c r="D157" s="1778"/>
      <c r="E157" s="1778"/>
      <c r="F157" s="1783">
        <v>0.05</v>
      </c>
    </row>
    <row r="158" spans="1:6" ht="14.25" thickBot="1">
      <c r="A158" s="1767" t="s">
        <v>1401</v>
      </c>
      <c r="B158" s="1768" t="s">
        <v>2112</v>
      </c>
      <c r="C158" s="1769">
        <v>0.13</v>
      </c>
      <c r="D158" s="1769">
        <v>0.13</v>
      </c>
      <c r="E158" s="1769">
        <v>0.13</v>
      </c>
      <c r="F158" s="1770">
        <v>0.13</v>
      </c>
    </row>
    <row r="159" spans="1:6" ht="14.25" thickBot="1">
      <c r="A159" s="1767" t="s">
        <v>1401</v>
      </c>
      <c r="B159" s="1771" t="s">
        <v>1066</v>
      </c>
      <c r="C159" s="1772">
        <v>0.13</v>
      </c>
      <c r="D159" s="1772">
        <v>0.13</v>
      </c>
      <c r="E159" s="1772">
        <v>0.13</v>
      </c>
      <c r="F159" s="1773">
        <v>0.13</v>
      </c>
    </row>
    <row r="160" spans="1:6" ht="14.25" thickBot="1">
      <c r="A160" s="1767" t="s">
        <v>1401</v>
      </c>
      <c r="B160" s="1771" t="s">
        <v>1080</v>
      </c>
      <c r="C160" s="1772">
        <v>0.13</v>
      </c>
      <c r="D160" s="1772">
        <v>0.13</v>
      </c>
      <c r="E160" s="1772">
        <v>0.129</v>
      </c>
      <c r="F160" s="1773">
        <v>0.13</v>
      </c>
    </row>
    <row r="161" spans="1:6" ht="14.25" thickBot="1">
      <c r="A161" s="1767" t="s">
        <v>1401</v>
      </c>
      <c r="B161" s="1771" t="s">
        <v>1093</v>
      </c>
      <c r="C161" s="1772">
        <v>0.128</v>
      </c>
      <c r="D161" s="1772">
        <v>0.128</v>
      </c>
      <c r="E161" s="1772">
        <v>0.125</v>
      </c>
      <c r="F161" s="1773">
        <v>0.13</v>
      </c>
    </row>
    <row r="162" spans="1:6" ht="14.25" thickBot="1">
      <c r="A162" s="1767" t="s">
        <v>1401</v>
      </c>
      <c r="B162" s="1771" t="s">
        <v>1107</v>
      </c>
      <c r="C162" s="1772">
        <v>0.122</v>
      </c>
      <c r="D162" s="1772">
        <v>0.122</v>
      </c>
      <c r="E162" s="1772">
        <v>0.126</v>
      </c>
      <c r="F162" s="1773">
        <v>0.122</v>
      </c>
    </row>
    <row r="163" spans="1:6" ht="14.25" thickBot="1">
      <c r="A163" s="1767" t="s">
        <v>1401</v>
      </c>
      <c r="B163" s="1771" t="s">
        <v>1118</v>
      </c>
      <c r="C163" s="1772">
        <v>0.13</v>
      </c>
      <c r="D163" s="1772">
        <v>0.13</v>
      </c>
      <c r="E163" s="1772">
        <v>0.125</v>
      </c>
      <c r="F163" s="1773">
        <v>0.13</v>
      </c>
    </row>
    <row r="164" spans="1:6" ht="14.25" thickBot="1">
      <c r="A164" s="1767" t="s">
        <v>1401</v>
      </c>
      <c r="B164" s="1771" t="s">
        <v>1129</v>
      </c>
      <c r="C164" s="1772">
        <v>0.13</v>
      </c>
      <c r="D164" s="1772">
        <v>0.13</v>
      </c>
      <c r="E164" s="1772">
        <v>0.13</v>
      </c>
      <c r="F164" s="1773">
        <v>0.13</v>
      </c>
    </row>
    <row r="165" spans="1:6" ht="14.25" thickBot="1">
      <c r="A165" s="1767" t="s">
        <v>1401</v>
      </c>
      <c r="B165" s="1771" t="s">
        <v>1140</v>
      </c>
      <c r="C165" s="1772">
        <v>0.13</v>
      </c>
      <c r="D165" s="1772">
        <v>0.13</v>
      </c>
      <c r="E165" s="1772">
        <v>0.124</v>
      </c>
      <c r="F165" s="1773">
        <v>0.13</v>
      </c>
    </row>
    <row r="166" spans="1:6" ht="14.25" thickBot="1">
      <c r="A166" s="1767" t="s">
        <v>1401</v>
      </c>
      <c r="B166" s="1771" t="s">
        <v>1152</v>
      </c>
      <c r="C166" s="1772">
        <v>0.13</v>
      </c>
      <c r="D166" s="1772">
        <v>0.13</v>
      </c>
      <c r="E166" s="1772">
        <v>0.13</v>
      </c>
      <c r="F166" s="1773">
        <v>0.13</v>
      </c>
    </row>
    <row r="167" spans="1:6" ht="14.25" thickBot="1">
      <c r="A167" s="1767" t="s">
        <v>1401</v>
      </c>
      <c r="B167" s="1771" t="s">
        <v>1162</v>
      </c>
      <c r="C167" s="1772">
        <v>0.125</v>
      </c>
      <c r="D167" s="1772">
        <v>0.125</v>
      </c>
      <c r="E167" s="1772">
        <v>0.121</v>
      </c>
      <c r="F167" s="1780"/>
    </row>
    <row r="168" spans="1:6" ht="14.25" thickBot="1">
      <c r="A168" s="1767" t="s">
        <v>1401</v>
      </c>
      <c r="B168" s="1771" t="s">
        <v>1172</v>
      </c>
      <c r="C168" s="1772">
        <v>0.13</v>
      </c>
      <c r="D168" s="1772">
        <v>0.13</v>
      </c>
      <c r="E168" s="1772">
        <v>0.126</v>
      </c>
      <c r="F168" s="1780"/>
    </row>
    <row r="169" spans="1:6" ht="14.25" thickBot="1">
      <c r="A169" s="1767" t="s">
        <v>1401</v>
      </c>
      <c r="B169" s="1771" t="s">
        <v>1182</v>
      </c>
      <c r="C169" s="1772">
        <v>0.128</v>
      </c>
      <c r="D169" s="1772">
        <v>0.129</v>
      </c>
      <c r="E169" s="1772">
        <v>0.13</v>
      </c>
      <c r="F169" s="1780"/>
    </row>
    <row r="170" spans="1:6" ht="14.25" thickBot="1">
      <c r="A170" s="1767" t="s">
        <v>1401</v>
      </c>
      <c r="B170" s="1771" t="s">
        <v>1192</v>
      </c>
      <c r="C170" s="1772">
        <v>0.14099999999999999</v>
      </c>
      <c r="D170" s="1772">
        <v>0.13</v>
      </c>
      <c r="E170" s="1772">
        <v>0.125</v>
      </c>
      <c r="F170" s="1780"/>
    </row>
    <row r="171" spans="1:6" ht="14.25" thickBot="1">
      <c r="A171" s="1767" t="s">
        <v>1401</v>
      </c>
      <c r="B171" s="1771" t="s">
        <v>2113</v>
      </c>
      <c r="C171" s="1772">
        <v>0.127</v>
      </c>
      <c r="D171" s="1772">
        <v>0.126</v>
      </c>
      <c r="E171" s="1772">
        <v>0.126</v>
      </c>
      <c r="F171" s="1773">
        <v>0.11799999999999999</v>
      </c>
    </row>
    <row r="172" spans="1:6" ht="14.25" thickBot="1">
      <c r="A172" s="1767" t="s">
        <v>1401</v>
      </c>
      <c r="B172" s="1771" t="s">
        <v>2114</v>
      </c>
      <c r="C172" s="1772">
        <v>0.13</v>
      </c>
      <c r="D172" s="1772">
        <v>0.13</v>
      </c>
      <c r="E172" s="1772">
        <v>0.13</v>
      </c>
      <c r="F172" s="1780"/>
    </row>
    <row r="173" spans="1:6" ht="14.25" thickBot="1">
      <c r="A173" s="1767" t="s">
        <v>1401</v>
      </c>
      <c r="B173" s="1771" t="s">
        <v>1222</v>
      </c>
      <c r="C173" s="1772">
        <v>0.13</v>
      </c>
      <c r="D173" s="1772">
        <v>0.13</v>
      </c>
      <c r="E173" s="1772">
        <v>0.13</v>
      </c>
      <c r="F173" s="1780"/>
    </row>
    <row r="174" spans="1:6" ht="14.25" thickBot="1">
      <c r="A174" s="1767" t="s">
        <v>1401</v>
      </c>
      <c r="B174" s="1771" t="s">
        <v>2115</v>
      </c>
      <c r="C174" s="1772">
        <v>0.13</v>
      </c>
      <c r="D174" s="1772">
        <v>0.13</v>
      </c>
      <c r="E174" s="1772">
        <v>0.13</v>
      </c>
      <c r="F174" s="1773">
        <v>0.13</v>
      </c>
    </row>
    <row r="175" spans="1:6" ht="14.25" thickBot="1">
      <c r="A175" s="1767" t="s">
        <v>1401</v>
      </c>
      <c r="B175" s="1771" t="s">
        <v>2116</v>
      </c>
      <c r="C175" s="1772">
        <v>0.13</v>
      </c>
      <c r="D175" s="1772">
        <v>0.13</v>
      </c>
      <c r="E175" s="1772">
        <v>0.13</v>
      </c>
      <c r="F175" s="1773">
        <v>0.13</v>
      </c>
    </row>
    <row r="176" spans="1:6" ht="14.25" thickBot="1">
      <c r="A176" s="1767" t="s">
        <v>1401</v>
      </c>
      <c r="B176" s="1771" t="s">
        <v>1252</v>
      </c>
      <c r="C176" s="1772">
        <v>0.13</v>
      </c>
      <c r="D176" s="1772">
        <v>0.13</v>
      </c>
      <c r="E176" s="1772">
        <v>0.13</v>
      </c>
      <c r="F176" s="1773">
        <v>0.13</v>
      </c>
    </row>
    <row r="177" spans="1:6" ht="14.25" thickBot="1">
      <c r="A177" s="1767" t="s">
        <v>1401</v>
      </c>
      <c r="B177" s="1771" t="s">
        <v>2117</v>
      </c>
      <c r="C177" s="1772">
        <v>0.13</v>
      </c>
      <c r="D177" s="1772">
        <v>0.13</v>
      </c>
      <c r="E177" s="1772">
        <v>0.13</v>
      </c>
      <c r="F177" s="1773">
        <v>0.13</v>
      </c>
    </row>
    <row r="178" spans="1:6" ht="14.25" thickBot="1">
      <c r="A178" s="1767" t="s">
        <v>1401</v>
      </c>
      <c r="B178" s="1771" t="s">
        <v>1270</v>
      </c>
      <c r="C178" s="1772">
        <v>0.13</v>
      </c>
      <c r="D178" s="1772">
        <v>0.13</v>
      </c>
      <c r="E178" s="1772">
        <v>0.13</v>
      </c>
      <c r="F178" s="1773">
        <v>0.127</v>
      </c>
    </row>
    <row r="179" spans="1:6" ht="14.25" thickBot="1">
      <c r="A179" s="1767" t="s">
        <v>1401</v>
      </c>
      <c r="B179" s="1771" t="s">
        <v>1278</v>
      </c>
      <c r="C179" s="1772">
        <v>0.13</v>
      </c>
      <c r="D179" s="1772">
        <v>0.13</v>
      </c>
      <c r="E179" s="1772">
        <v>0.13</v>
      </c>
      <c r="F179" s="1780"/>
    </row>
    <row r="180" spans="1:6" ht="14.25" thickBot="1">
      <c r="A180" s="1767" t="s">
        <v>1401</v>
      </c>
      <c r="B180" s="1771" t="s">
        <v>2118</v>
      </c>
      <c r="C180" s="1772">
        <v>0.13</v>
      </c>
      <c r="D180" s="1772">
        <v>0.13</v>
      </c>
      <c r="E180" s="1772">
        <v>0.125</v>
      </c>
      <c r="F180" s="1773">
        <v>0.13</v>
      </c>
    </row>
    <row r="181" spans="1:6" ht="14.25" thickBot="1">
      <c r="A181" s="1767" t="s">
        <v>1401</v>
      </c>
      <c r="B181" s="1771" t="s">
        <v>1292</v>
      </c>
      <c r="C181" s="1772">
        <v>0.122</v>
      </c>
      <c r="D181" s="1772">
        <v>0.123</v>
      </c>
      <c r="E181" s="1772">
        <v>0.126</v>
      </c>
      <c r="F181" s="1773">
        <v>0.121</v>
      </c>
    </row>
    <row r="182" spans="1:6" ht="14.25" thickBot="1">
      <c r="A182" s="1767" t="s">
        <v>1401</v>
      </c>
      <c r="B182" s="1771" t="s">
        <v>1299</v>
      </c>
      <c r="C182" s="1772">
        <v>0.125</v>
      </c>
      <c r="D182" s="1772">
        <v>0.125</v>
      </c>
      <c r="E182" s="1772">
        <v>0.11700000000000001</v>
      </c>
      <c r="F182" s="1773">
        <v>0.13</v>
      </c>
    </row>
    <row r="183" spans="1:6" ht="14.25" thickBot="1">
      <c r="A183" s="1767" t="s">
        <v>1401</v>
      </c>
      <c r="B183" s="1771" t="s">
        <v>1306</v>
      </c>
      <c r="C183" s="1772">
        <v>0.127</v>
      </c>
      <c r="D183" s="1772">
        <v>0.127</v>
      </c>
      <c r="E183" s="1772">
        <v>0.128</v>
      </c>
      <c r="F183" s="1780"/>
    </row>
    <row r="184" spans="1:6" ht="14.25" thickBot="1">
      <c r="A184" s="1767" t="s">
        <v>1401</v>
      </c>
      <c r="B184" s="1771" t="s">
        <v>1313</v>
      </c>
      <c r="C184" s="1772">
        <v>0.125</v>
      </c>
      <c r="D184" s="1772">
        <v>0.125</v>
      </c>
      <c r="E184" s="1772">
        <v>0.127</v>
      </c>
      <c r="F184" s="1780"/>
    </row>
    <row r="185" spans="1:6" ht="14.25" thickBot="1">
      <c r="A185" s="1767" t="s">
        <v>1401</v>
      </c>
      <c r="B185" s="1771" t="s">
        <v>2119</v>
      </c>
      <c r="C185" s="1772">
        <v>0.127</v>
      </c>
      <c r="D185" s="1772">
        <v>0.127</v>
      </c>
      <c r="E185" s="1772">
        <v>0.128</v>
      </c>
      <c r="F185" s="1773">
        <v>0.13</v>
      </c>
    </row>
    <row r="186" spans="1:6" ht="24.75" thickBot="1">
      <c r="A186" s="1767" t="s">
        <v>1401</v>
      </c>
      <c r="B186" s="1771" t="s">
        <v>2120</v>
      </c>
      <c r="C186" s="1781"/>
      <c r="D186" s="1781"/>
      <c r="E186" s="1781"/>
      <c r="F186" s="1773">
        <v>0.05</v>
      </c>
    </row>
    <row r="187" spans="1:6" ht="14.25" thickBot="1">
      <c r="A187" s="1767" t="s">
        <v>1401</v>
      </c>
      <c r="B187" s="1771" t="s">
        <v>2121</v>
      </c>
      <c r="C187" s="1781"/>
      <c r="D187" s="1781"/>
      <c r="E187" s="1781"/>
      <c r="F187" s="1773">
        <v>0.05</v>
      </c>
    </row>
    <row r="188" spans="1:6" ht="14.25" thickBot="1">
      <c r="A188" s="1767" t="s">
        <v>1401</v>
      </c>
      <c r="B188" s="1771" t="s">
        <v>2122</v>
      </c>
      <c r="C188" s="1781"/>
      <c r="D188" s="1781"/>
      <c r="E188" s="1781"/>
      <c r="F188" s="1773">
        <v>0.05</v>
      </c>
    </row>
    <row r="189" spans="1:6" ht="24.75" thickBot="1">
      <c r="A189" s="1767" t="s">
        <v>1401</v>
      </c>
      <c r="B189" s="1771" t="s">
        <v>2123</v>
      </c>
      <c r="C189" s="1781"/>
      <c r="D189" s="1781"/>
      <c r="E189" s="1781"/>
      <c r="F189" s="1773">
        <v>0.05</v>
      </c>
    </row>
    <row r="190" spans="1:6" ht="24.75" thickBot="1">
      <c r="A190" s="1767" t="s">
        <v>1401</v>
      </c>
      <c r="B190" s="1771" t="s">
        <v>2124</v>
      </c>
      <c r="C190" s="1781"/>
      <c r="D190" s="1781"/>
      <c r="E190" s="1781"/>
      <c r="F190" s="1773">
        <v>0.05</v>
      </c>
    </row>
    <row r="191" spans="1:6" ht="24.75" thickBot="1">
      <c r="A191" s="1767" t="s">
        <v>1401</v>
      </c>
      <c r="B191" s="1771" t="s">
        <v>2125</v>
      </c>
      <c r="C191" s="1781"/>
      <c r="D191" s="1781"/>
      <c r="E191" s="1781"/>
      <c r="F191" s="1773">
        <v>0.05</v>
      </c>
    </row>
    <row r="192" spans="1:6" ht="24.75" thickBot="1">
      <c r="A192" s="1767" t="s">
        <v>1401</v>
      </c>
      <c r="B192" s="1771" t="s">
        <v>2126</v>
      </c>
      <c r="C192" s="1781"/>
      <c r="D192" s="1781"/>
      <c r="E192" s="1781"/>
      <c r="F192" s="1773">
        <v>0.05</v>
      </c>
    </row>
    <row r="193" spans="1:6" ht="24.75" thickBot="1">
      <c r="A193" s="1767" t="s">
        <v>1401</v>
      </c>
      <c r="B193" s="1771" t="s">
        <v>2127</v>
      </c>
      <c r="C193" s="1781"/>
      <c r="D193" s="1781"/>
      <c r="E193" s="1781"/>
      <c r="F193" s="1773">
        <v>0.05</v>
      </c>
    </row>
    <row r="194" spans="1:6" ht="24.75" thickBot="1">
      <c r="A194" s="1767" t="s">
        <v>1401</v>
      </c>
      <c r="B194" s="1771" t="s">
        <v>2128</v>
      </c>
      <c r="C194" s="1781"/>
      <c r="D194" s="1781"/>
      <c r="E194" s="1781"/>
      <c r="F194" s="1773">
        <v>0.05</v>
      </c>
    </row>
    <row r="195" spans="1:6" ht="14.25" thickBot="1">
      <c r="A195" s="1767" t="s">
        <v>1401</v>
      </c>
      <c r="B195" s="1771" t="s">
        <v>2129</v>
      </c>
      <c r="C195" s="1781"/>
      <c r="D195" s="1781"/>
      <c r="E195" s="1781"/>
      <c r="F195" s="1773">
        <v>0.05</v>
      </c>
    </row>
    <row r="196" spans="1:6" ht="24.75" thickBot="1">
      <c r="A196" s="1767" t="s">
        <v>1401</v>
      </c>
      <c r="B196" s="1771" t="s">
        <v>2130</v>
      </c>
      <c r="C196" s="1781"/>
      <c r="D196" s="1781"/>
      <c r="E196" s="1781"/>
      <c r="F196" s="1773">
        <v>0.05</v>
      </c>
    </row>
    <row r="197" spans="1:6" ht="24.75" thickBot="1">
      <c r="A197" s="1767" t="s">
        <v>1401</v>
      </c>
      <c r="B197" s="1771" t="s">
        <v>2131</v>
      </c>
      <c r="C197" s="1781"/>
      <c r="D197" s="1781"/>
      <c r="E197" s="1781"/>
      <c r="F197" s="1773">
        <v>0.05</v>
      </c>
    </row>
    <row r="198" spans="1:6" ht="24.75" thickBot="1">
      <c r="A198" s="1767" t="s">
        <v>1401</v>
      </c>
      <c r="B198" s="1771" t="s">
        <v>2132</v>
      </c>
      <c r="C198" s="1781"/>
      <c r="D198" s="1781"/>
      <c r="E198" s="1781"/>
      <c r="F198" s="1773">
        <v>0.05</v>
      </c>
    </row>
    <row r="199" spans="1:6" ht="24.75" thickBot="1">
      <c r="A199" s="1767" t="s">
        <v>1401</v>
      </c>
      <c r="B199" s="1771" t="s">
        <v>2133</v>
      </c>
      <c r="C199" s="1781"/>
      <c r="D199" s="1781"/>
      <c r="E199" s="1781"/>
      <c r="F199" s="1773">
        <v>0.05</v>
      </c>
    </row>
    <row r="200" spans="1:6" ht="24.75" thickBot="1">
      <c r="A200" s="1767" t="s">
        <v>1401</v>
      </c>
      <c r="B200" s="1771" t="s">
        <v>2134</v>
      </c>
      <c r="C200" s="1781"/>
      <c r="D200" s="1781"/>
      <c r="E200" s="1781"/>
      <c r="F200" s="1773">
        <v>0.05</v>
      </c>
    </row>
    <row r="201" spans="1:6" ht="24.75" thickBot="1">
      <c r="A201" s="1767" t="s">
        <v>1401</v>
      </c>
      <c r="B201" s="1771" t="s">
        <v>2135</v>
      </c>
      <c r="C201" s="1781"/>
      <c r="D201" s="1781"/>
      <c r="E201" s="1781"/>
      <c r="F201" s="1773">
        <v>0.05</v>
      </c>
    </row>
    <row r="202" spans="1:6" ht="24.75" thickBot="1">
      <c r="A202" s="1767" t="s">
        <v>1401</v>
      </c>
      <c r="B202" s="1771" t="s">
        <v>2136</v>
      </c>
      <c r="C202" s="1781"/>
      <c r="D202" s="1781"/>
      <c r="E202" s="1781"/>
      <c r="F202" s="1773">
        <v>0.05</v>
      </c>
    </row>
    <row r="203" spans="1:6" ht="24.75" thickBot="1">
      <c r="A203" s="1767" t="s">
        <v>1401</v>
      </c>
      <c r="B203" s="1771" t="s">
        <v>2137</v>
      </c>
      <c r="C203" s="1781"/>
      <c r="D203" s="1781"/>
      <c r="E203" s="1781"/>
      <c r="F203" s="1773">
        <v>0.05</v>
      </c>
    </row>
    <row r="204" spans="1:6" ht="14.25" thickBot="1">
      <c r="A204" s="1767" t="s">
        <v>1401</v>
      </c>
      <c r="B204" s="1771" t="s">
        <v>2138</v>
      </c>
      <c r="C204" s="1781"/>
      <c r="D204" s="1781"/>
      <c r="E204" s="1781"/>
      <c r="F204" s="1773">
        <v>0.05</v>
      </c>
    </row>
    <row r="205" spans="1:6" ht="14.25" thickBot="1">
      <c r="A205" s="1775" t="s">
        <v>1401</v>
      </c>
      <c r="B205" s="1782" t="s">
        <v>2139</v>
      </c>
      <c r="C205" s="1778"/>
      <c r="D205" s="1778"/>
      <c r="E205" s="1778"/>
      <c r="F205" s="1783">
        <v>0.05</v>
      </c>
    </row>
    <row r="206" spans="1:6" ht="14.25" thickBot="1">
      <c r="A206" s="1767" t="s">
        <v>1403</v>
      </c>
      <c r="B206" s="1768" t="s">
        <v>2140</v>
      </c>
      <c r="C206" s="1769">
        <v>0.15</v>
      </c>
      <c r="D206" s="1769">
        <v>0.15</v>
      </c>
      <c r="E206" s="1769">
        <v>0.15</v>
      </c>
      <c r="F206" s="1770">
        <v>0.15</v>
      </c>
    </row>
    <row r="207" spans="1:6" ht="14.25" thickBot="1">
      <c r="A207" s="1767" t="s">
        <v>1403</v>
      </c>
      <c r="B207" s="1771" t="s">
        <v>1067</v>
      </c>
      <c r="C207" s="1772">
        <v>0.15</v>
      </c>
      <c r="D207" s="1772">
        <v>0.15</v>
      </c>
      <c r="E207" s="1772">
        <v>0.15</v>
      </c>
      <c r="F207" s="1773">
        <v>0.14399999999999999</v>
      </c>
    </row>
    <row r="208" spans="1:6" ht="14.25" thickBot="1">
      <c r="A208" s="1767" t="s">
        <v>1403</v>
      </c>
      <c r="B208" s="1771" t="s">
        <v>1081</v>
      </c>
      <c r="C208" s="1772">
        <v>0.15</v>
      </c>
      <c r="D208" s="1772">
        <v>0.15</v>
      </c>
      <c r="E208" s="1772">
        <v>0.15</v>
      </c>
      <c r="F208" s="1773">
        <v>0.15</v>
      </c>
    </row>
    <row r="209" spans="1:6" ht="14.25" thickBot="1">
      <c r="A209" s="1767" t="s">
        <v>1403</v>
      </c>
      <c r="B209" s="1771" t="s">
        <v>1094</v>
      </c>
      <c r="C209" s="1772">
        <v>0.13700000000000001</v>
      </c>
      <c r="D209" s="1772">
        <v>0.13700000000000001</v>
      </c>
      <c r="E209" s="1772">
        <v>0.14000000000000001</v>
      </c>
      <c r="F209" s="1773">
        <v>0.11700000000000001</v>
      </c>
    </row>
    <row r="210" spans="1:6" ht="14.25" thickBot="1">
      <c r="A210" s="1767" t="s">
        <v>1403</v>
      </c>
      <c r="B210" s="1771" t="s">
        <v>2141</v>
      </c>
      <c r="C210" s="1772">
        <v>0.15</v>
      </c>
      <c r="D210" s="1772">
        <v>0.15</v>
      </c>
      <c r="E210" s="1772">
        <v>0.15</v>
      </c>
      <c r="F210" s="1773">
        <v>0.13800000000000001</v>
      </c>
    </row>
    <row r="211" spans="1:6" ht="14.25" thickBot="1">
      <c r="A211" s="1767" t="s">
        <v>1403</v>
      </c>
      <c r="B211" s="1771" t="s">
        <v>2142</v>
      </c>
      <c r="C211" s="1772">
        <v>0.13700000000000001</v>
      </c>
      <c r="D211" s="1772">
        <v>0.13500000000000001</v>
      </c>
      <c r="E211" s="1772">
        <v>0.13600000000000001</v>
      </c>
      <c r="F211" s="1773">
        <v>0.1</v>
      </c>
    </row>
    <row r="212" spans="1:6" ht="14.25" thickBot="1">
      <c r="A212" s="1767" t="s">
        <v>1403</v>
      </c>
      <c r="B212" s="1771" t="s">
        <v>2143</v>
      </c>
      <c r="C212" s="1772">
        <v>0.15</v>
      </c>
      <c r="D212" s="1772">
        <v>0.15</v>
      </c>
      <c r="E212" s="1772">
        <v>0.14799999999999999</v>
      </c>
      <c r="F212" s="1773">
        <v>0.13600000000000001</v>
      </c>
    </row>
    <row r="213" spans="1:6" ht="14.25" thickBot="1">
      <c r="A213" s="1767" t="s">
        <v>1403</v>
      </c>
      <c r="B213" s="1771" t="s">
        <v>1141</v>
      </c>
      <c r="C213" s="1772">
        <v>0.15</v>
      </c>
      <c r="D213" s="1772">
        <v>0.15</v>
      </c>
      <c r="E213" s="1772">
        <v>0.15</v>
      </c>
      <c r="F213" s="1773">
        <v>0.13800000000000001</v>
      </c>
    </row>
    <row r="214" spans="1:6" ht="14.25" thickBot="1">
      <c r="A214" s="1767" t="s">
        <v>1403</v>
      </c>
      <c r="B214" s="1771" t="s">
        <v>1153</v>
      </c>
      <c r="C214" s="1772">
        <v>9.0999999999999998E-2</v>
      </c>
      <c r="D214" s="1772">
        <v>0.09</v>
      </c>
      <c r="E214" s="1772">
        <v>9.1999999999999998E-2</v>
      </c>
      <c r="F214" s="1780"/>
    </row>
    <row r="215" spans="1:6" ht="14.25" thickBot="1">
      <c r="A215" s="1767" t="s">
        <v>1403</v>
      </c>
      <c r="B215" s="1771" t="s">
        <v>2144</v>
      </c>
      <c r="C215" s="1772">
        <v>0.15</v>
      </c>
      <c r="D215" s="1772">
        <v>0.15</v>
      </c>
      <c r="E215" s="1772">
        <v>0.15</v>
      </c>
      <c r="F215" s="1773">
        <v>0.15</v>
      </c>
    </row>
    <row r="216" spans="1:6" ht="14.25" thickBot="1">
      <c r="A216" s="1767" t="s">
        <v>1403</v>
      </c>
      <c r="B216" s="1771" t="s">
        <v>1173</v>
      </c>
      <c r="C216" s="1772">
        <v>0.14699999999999999</v>
      </c>
      <c r="D216" s="1772">
        <v>0.14699999999999999</v>
      </c>
      <c r="E216" s="1772">
        <v>0.15</v>
      </c>
      <c r="F216" s="1773">
        <v>0.14000000000000001</v>
      </c>
    </row>
    <row r="217" spans="1:6" ht="14.25" thickBot="1">
      <c r="A217" s="1767" t="s">
        <v>1403</v>
      </c>
      <c r="B217" s="1771" t="s">
        <v>1183</v>
      </c>
      <c r="C217" s="1772">
        <v>0.15</v>
      </c>
      <c r="D217" s="1772">
        <v>0.15</v>
      </c>
      <c r="E217" s="1772">
        <v>0.15</v>
      </c>
      <c r="F217" s="1773">
        <v>0.15</v>
      </c>
    </row>
    <row r="218" spans="1:6" ht="14.25" thickBot="1">
      <c r="A218" s="1767" t="s">
        <v>1403</v>
      </c>
      <c r="B218" s="1771" t="s">
        <v>2145</v>
      </c>
      <c r="C218" s="1772">
        <v>0.15</v>
      </c>
      <c r="D218" s="1772">
        <v>0.15</v>
      </c>
      <c r="E218" s="1772">
        <v>0.15</v>
      </c>
      <c r="F218" s="1773">
        <v>0.15</v>
      </c>
    </row>
    <row r="219" spans="1:6" ht="14.25" thickBot="1">
      <c r="A219" s="1767" t="s">
        <v>1403</v>
      </c>
      <c r="B219" s="1771" t="s">
        <v>1203</v>
      </c>
      <c r="C219" s="1772">
        <v>0.15</v>
      </c>
      <c r="D219" s="1772">
        <v>0.15</v>
      </c>
      <c r="E219" s="1772">
        <v>0.15</v>
      </c>
      <c r="F219" s="1773">
        <v>0.14799999999999999</v>
      </c>
    </row>
    <row r="220" spans="1:6" ht="14.25" thickBot="1">
      <c r="A220" s="1767" t="s">
        <v>1403</v>
      </c>
      <c r="B220" s="1771" t="s">
        <v>2146</v>
      </c>
      <c r="C220" s="1772">
        <v>0.15</v>
      </c>
      <c r="D220" s="1772">
        <v>0.15</v>
      </c>
      <c r="E220" s="1772">
        <v>0.15</v>
      </c>
      <c r="F220" s="1773">
        <v>0.15</v>
      </c>
    </row>
    <row r="221" spans="1:6" ht="14.25" thickBot="1">
      <c r="A221" s="1767" t="s">
        <v>1403</v>
      </c>
      <c r="B221" s="1771" t="s">
        <v>1223</v>
      </c>
      <c r="C221" s="1772"/>
      <c r="D221" s="1781"/>
      <c r="E221" s="1781"/>
      <c r="F221" s="1773">
        <v>0.14799999999999999</v>
      </c>
    </row>
    <row r="222" spans="1:6" ht="14.25" thickBot="1">
      <c r="A222" s="1767" t="s">
        <v>1403</v>
      </c>
      <c r="B222" s="1771" t="s">
        <v>1233</v>
      </c>
      <c r="C222" s="1772"/>
      <c r="D222" s="1781"/>
      <c r="E222" s="1781"/>
      <c r="F222" s="1773">
        <v>0.1</v>
      </c>
    </row>
    <row r="223" spans="1:6" ht="14.25" thickBot="1">
      <c r="A223" s="1767" t="s">
        <v>1403</v>
      </c>
      <c r="B223" s="1771" t="s">
        <v>1243</v>
      </c>
      <c r="C223" s="1772"/>
      <c r="D223" s="1781"/>
      <c r="E223" s="1781"/>
      <c r="F223" s="1773">
        <v>0.15</v>
      </c>
    </row>
    <row r="224" spans="1:6" ht="14.25" thickBot="1">
      <c r="A224" s="1767" t="s">
        <v>1403</v>
      </c>
      <c r="B224" s="1771" t="s">
        <v>1253</v>
      </c>
      <c r="C224" s="1772"/>
      <c r="D224" s="1781"/>
      <c r="E224" s="1781"/>
      <c r="F224" s="1773">
        <v>0.15</v>
      </c>
    </row>
    <row r="225" spans="1:6" ht="14.25" thickBot="1">
      <c r="A225" s="1767" t="s">
        <v>1403</v>
      </c>
      <c r="B225" s="1771" t="s">
        <v>2147</v>
      </c>
      <c r="C225" s="1772">
        <v>0.15</v>
      </c>
      <c r="D225" s="1772">
        <v>0.15</v>
      </c>
      <c r="E225" s="1772">
        <v>0.15</v>
      </c>
      <c r="F225" s="1773">
        <v>0.15</v>
      </c>
    </row>
    <row r="226" spans="1:6" ht="14.25" thickBot="1">
      <c r="A226" s="1767" t="s">
        <v>1403</v>
      </c>
      <c r="B226" s="1771" t="s">
        <v>1271</v>
      </c>
      <c r="C226" s="1772">
        <v>0.15</v>
      </c>
      <c r="D226" s="1772">
        <v>0.15</v>
      </c>
      <c r="E226" s="1772">
        <v>0.15</v>
      </c>
      <c r="F226" s="1773">
        <v>0.14799999999999999</v>
      </c>
    </row>
    <row r="227" spans="1:6" ht="14.25" thickBot="1">
      <c r="A227" s="1767" t="s">
        <v>1403</v>
      </c>
      <c r="B227" s="1771" t="s">
        <v>2148</v>
      </c>
      <c r="C227" s="1772">
        <v>0.15</v>
      </c>
      <c r="D227" s="1772">
        <v>0.15</v>
      </c>
      <c r="E227" s="1772">
        <v>0.15</v>
      </c>
      <c r="F227" s="1773">
        <v>0.15</v>
      </c>
    </row>
    <row r="228" spans="1:6" ht="14.25" thickBot="1">
      <c r="A228" s="1767" t="s">
        <v>1403</v>
      </c>
      <c r="B228" s="1771" t="s">
        <v>1286</v>
      </c>
      <c r="C228" s="1772">
        <v>0.15</v>
      </c>
      <c r="D228" s="1772">
        <v>0.15</v>
      </c>
      <c r="E228" s="1772">
        <v>0.15</v>
      </c>
      <c r="F228" s="1773">
        <v>0.15</v>
      </c>
    </row>
    <row r="229" spans="1:6" ht="14.25" thickBot="1">
      <c r="A229" s="1767" t="s">
        <v>1403</v>
      </c>
      <c r="B229" s="1771" t="s">
        <v>1293</v>
      </c>
      <c r="C229" s="1772">
        <v>0.15</v>
      </c>
      <c r="D229" s="1772">
        <v>0.15</v>
      </c>
      <c r="E229" s="1772">
        <v>0.15</v>
      </c>
      <c r="F229" s="1780"/>
    </row>
    <row r="230" spans="1:6" ht="14.25" thickBot="1">
      <c r="A230" s="1767" t="s">
        <v>1403</v>
      </c>
      <c r="B230" s="1771" t="s">
        <v>1300</v>
      </c>
      <c r="C230" s="1772">
        <v>0.14499999999999999</v>
      </c>
      <c r="D230" s="1772">
        <v>0.14499999999999999</v>
      </c>
      <c r="E230" s="1772">
        <v>0.14399999999999999</v>
      </c>
      <c r="F230" s="1780"/>
    </row>
    <row r="231" spans="1:6" ht="14.25" thickBot="1">
      <c r="A231" s="1767" t="s">
        <v>1403</v>
      </c>
      <c r="B231" s="1771" t="s">
        <v>2149</v>
      </c>
      <c r="C231" s="1772">
        <v>0.128</v>
      </c>
      <c r="D231" s="1772">
        <v>0.125</v>
      </c>
      <c r="E231" s="1772">
        <v>0.13200000000000001</v>
      </c>
      <c r="F231" s="1780"/>
    </row>
    <row r="232" spans="1:6" ht="14.25" thickBot="1">
      <c r="A232" s="1767" t="s">
        <v>1403</v>
      </c>
      <c r="B232" s="1771" t="s">
        <v>2150</v>
      </c>
      <c r="C232" s="1772">
        <v>0.14499999999999999</v>
      </c>
      <c r="D232" s="1772">
        <v>0.14399999999999999</v>
      </c>
      <c r="E232" s="1772">
        <v>0.14599999999999999</v>
      </c>
      <c r="F232" s="1773">
        <v>0.13800000000000001</v>
      </c>
    </row>
    <row r="233" spans="1:6" ht="14.25" thickBot="1">
      <c r="A233" s="1767" t="s">
        <v>1403</v>
      </c>
      <c r="B233" s="1771" t="s">
        <v>2151</v>
      </c>
      <c r="C233" s="1772">
        <v>0.14499999999999999</v>
      </c>
      <c r="D233" s="1772">
        <v>0.14299999999999999</v>
      </c>
      <c r="E233" s="1772">
        <v>0.14199999999999999</v>
      </c>
      <c r="F233" s="1780"/>
    </row>
    <row r="234" spans="1:6" ht="14.25" thickBot="1">
      <c r="A234" s="1767" t="s">
        <v>1403</v>
      </c>
      <c r="B234" s="1771" t="s">
        <v>2152</v>
      </c>
      <c r="C234" s="1772">
        <v>0.14000000000000001</v>
      </c>
      <c r="D234" s="1772">
        <v>0.14000000000000001</v>
      </c>
      <c r="E234" s="1772">
        <v>0.14399999999999999</v>
      </c>
      <c r="F234" s="1780"/>
    </row>
    <row r="235" spans="1:6" ht="14.25" thickBot="1">
      <c r="A235" s="1767" t="s">
        <v>1403</v>
      </c>
      <c r="B235" s="1771" t="s">
        <v>2153</v>
      </c>
      <c r="C235" s="1772">
        <v>0.14099999999999999</v>
      </c>
      <c r="D235" s="1772">
        <v>0.14199999999999999</v>
      </c>
      <c r="E235" s="1772">
        <v>0.14499999999999999</v>
      </c>
      <c r="F235" s="1773">
        <v>0.15</v>
      </c>
    </row>
    <row r="236" spans="1:6" ht="14.25" thickBot="1">
      <c r="A236" s="1767" t="s">
        <v>1403</v>
      </c>
      <c r="B236" s="1771" t="s">
        <v>1335</v>
      </c>
      <c r="C236" s="1781"/>
      <c r="D236" s="1781"/>
      <c r="E236" s="1781"/>
      <c r="F236" s="1773">
        <v>0.14299999999999999</v>
      </c>
    </row>
    <row r="237" spans="1:6" ht="24.75" thickBot="1">
      <c r="A237" s="1767" t="s">
        <v>1403</v>
      </c>
      <c r="B237" s="1771" t="s">
        <v>2154</v>
      </c>
      <c r="C237" s="1781"/>
      <c r="D237" s="1781"/>
      <c r="E237" s="1781"/>
      <c r="F237" s="1773">
        <v>0.05</v>
      </c>
    </row>
    <row r="238" spans="1:6" ht="24.75" thickBot="1">
      <c r="A238" s="1767" t="s">
        <v>1403</v>
      </c>
      <c r="B238" s="1771" t="s">
        <v>2155</v>
      </c>
      <c r="C238" s="1781"/>
      <c r="D238" s="1781"/>
      <c r="E238" s="1781"/>
      <c r="F238" s="1773">
        <v>0.05</v>
      </c>
    </row>
    <row r="239" spans="1:6" ht="24.75" thickBot="1">
      <c r="A239" s="1767" t="s">
        <v>1403</v>
      </c>
      <c r="B239" s="1771" t="s">
        <v>2156</v>
      </c>
      <c r="C239" s="1781"/>
      <c r="D239" s="1781"/>
      <c r="E239" s="1781"/>
      <c r="F239" s="1773">
        <v>0.05</v>
      </c>
    </row>
    <row r="240" spans="1:6" ht="24.75" thickBot="1">
      <c r="A240" s="1767" t="s">
        <v>1403</v>
      </c>
      <c r="B240" s="1771" t="s">
        <v>2157</v>
      </c>
      <c r="C240" s="1781"/>
      <c r="D240" s="1781"/>
      <c r="E240" s="1781"/>
      <c r="F240" s="1773">
        <v>0.05</v>
      </c>
    </row>
    <row r="241" spans="1:6" ht="24.75" thickBot="1">
      <c r="A241" s="1767" t="s">
        <v>1403</v>
      </c>
      <c r="B241" s="1771" t="s">
        <v>2158</v>
      </c>
      <c r="C241" s="1781"/>
      <c r="D241" s="1781"/>
      <c r="E241" s="1781"/>
      <c r="F241" s="1773">
        <v>0.05</v>
      </c>
    </row>
    <row r="242" spans="1:6" ht="24.75" thickBot="1">
      <c r="A242" s="1767" t="s">
        <v>1403</v>
      </c>
      <c r="B242" s="1771" t="s">
        <v>2159</v>
      </c>
      <c r="C242" s="1781"/>
      <c r="D242" s="1781"/>
      <c r="E242" s="1781"/>
      <c r="F242" s="1773">
        <v>0.05</v>
      </c>
    </row>
    <row r="243" spans="1:6" ht="24.75" thickBot="1">
      <c r="A243" s="1767" t="s">
        <v>1403</v>
      </c>
      <c r="B243" s="1771" t="s">
        <v>2160</v>
      </c>
      <c r="C243" s="1781"/>
      <c r="D243" s="1781"/>
      <c r="E243" s="1781"/>
      <c r="F243" s="1773">
        <v>0.05</v>
      </c>
    </row>
    <row r="244" spans="1:6" ht="24.75" thickBot="1">
      <c r="A244" s="1775" t="s">
        <v>1403</v>
      </c>
      <c r="B244" s="1782" t="s">
        <v>2161</v>
      </c>
      <c r="C244" s="1778"/>
      <c r="D244" s="1778"/>
      <c r="E244" s="1778"/>
      <c r="F244" s="1783">
        <v>0.05</v>
      </c>
    </row>
    <row r="245" spans="1:6" ht="14.25" thickBot="1">
      <c r="A245" s="1767" t="s">
        <v>1405</v>
      </c>
      <c r="B245" s="1768" t="s">
        <v>2162</v>
      </c>
      <c r="C245" s="1769">
        <v>0.15</v>
      </c>
      <c r="D245" s="1769">
        <v>0.15</v>
      </c>
      <c r="E245" s="1769">
        <v>0.15</v>
      </c>
      <c r="F245" s="1770">
        <v>0.14299999999999999</v>
      </c>
    </row>
    <row r="246" spans="1:6" ht="14.25" thickBot="1">
      <c r="A246" s="1767" t="s">
        <v>1405</v>
      </c>
      <c r="B246" s="1771" t="s">
        <v>1068</v>
      </c>
      <c r="C246" s="1772">
        <v>0.15</v>
      </c>
      <c r="D246" s="1772">
        <v>0.15</v>
      </c>
      <c r="E246" s="1772">
        <v>0.15</v>
      </c>
      <c r="F246" s="1773">
        <v>0.114</v>
      </c>
    </row>
    <row r="247" spans="1:6" ht="14.25" thickBot="1">
      <c r="A247" s="1767" t="s">
        <v>1405</v>
      </c>
      <c r="B247" s="1771" t="s">
        <v>2163</v>
      </c>
      <c r="C247" s="1772">
        <v>0.15</v>
      </c>
      <c r="D247" s="1772">
        <v>0.15</v>
      </c>
      <c r="E247" s="1772">
        <v>0.15</v>
      </c>
      <c r="F247" s="1773">
        <v>0.15</v>
      </c>
    </row>
    <row r="248" spans="1:6" ht="14.25" thickBot="1">
      <c r="A248" s="1767" t="s">
        <v>1405</v>
      </c>
      <c r="B248" s="1771" t="s">
        <v>2164</v>
      </c>
      <c r="C248" s="1772">
        <v>0.15</v>
      </c>
      <c r="D248" s="1772">
        <v>0.15</v>
      </c>
      <c r="E248" s="1772">
        <v>0.15</v>
      </c>
      <c r="F248" s="1773">
        <v>0.14000000000000001</v>
      </c>
    </row>
    <row r="249" spans="1:6" ht="14.25" thickBot="1">
      <c r="A249" s="1767" t="s">
        <v>1405</v>
      </c>
      <c r="B249" s="1771" t="s">
        <v>2165</v>
      </c>
      <c r="C249" s="1772">
        <v>0.15</v>
      </c>
      <c r="D249" s="1772">
        <v>0.14899999999999999</v>
      </c>
      <c r="E249" s="1772">
        <v>0.15</v>
      </c>
      <c r="F249" s="1773">
        <v>0.1</v>
      </c>
    </row>
    <row r="250" spans="1:6" ht="14.25" thickBot="1">
      <c r="A250" s="1767" t="s">
        <v>1405</v>
      </c>
      <c r="B250" s="1771" t="s">
        <v>2166</v>
      </c>
      <c r="C250" s="1772">
        <v>0.15</v>
      </c>
      <c r="D250" s="1772">
        <v>0.15</v>
      </c>
      <c r="E250" s="1772">
        <v>0.15</v>
      </c>
      <c r="F250" s="1773">
        <v>0.14399999999999999</v>
      </c>
    </row>
    <row r="251" spans="1:6" ht="14.25" thickBot="1">
      <c r="A251" s="1767" t="s">
        <v>1405</v>
      </c>
      <c r="B251" s="1771" t="s">
        <v>1131</v>
      </c>
      <c r="C251" s="1772">
        <v>0.15</v>
      </c>
      <c r="D251" s="1772">
        <v>0.15</v>
      </c>
      <c r="E251" s="1772">
        <v>0.15</v>
      </c>
      <c r="F251" s="1773">
        <v>0.14299999999999999</v>
      </c>
    </row>
    <row r="252" spans="1:6" ht="14.25" thickBot="1">
      <c r="A252" s="1767" t="s">
        <v>1405</v>
      </c>
      <c r="B252" s="1771" t="s">
        <v>1142</v>
      </c>
      <c r="C252" s="1772">
        <v>0.15</v>
      </c>
      <c r="D252" s="1772">
        <v>0.15</v>
      </c>
      <c r="E252" s="1772">
        <v>0.15</v>
      </c>
      <c r="F252" s="1773">
        <v>0.1</v>
      </c>
    </row>
    <row r="253" spans="1:6" ht="14.25" thickBot="1">
      <c r="A253" s="1767" t="s">
        <v>1405</v>
      </c>
      <c r="B253" s="1771" t="s">
        <v>1154</v>
      </c>
      <c r="C253" s="1772">
        <v>0.15</v>
      </c>
      <c r="D253" s="1772">
        <v>0.15</v>
      </c>
      <c r="E253" s="1772">
        <v>0.15</v>
      </c>
      <c r="F253" s="1773">
        <v>0.1</v>
      </c>
    </row>
    <row r="254" spans="1:6" ht="14.25" thickBot="1">
      <c r="A254" s="1767" t="s">
        <v>1405</v>
      </c>
      <c r="B254" s="1771" t="s">
        <v>1164</v>
      </c>
      <c r="C254" s="1781"/>
      <c r="D254" s="1781"/>
      <c r="E254" s="1781"/>
      <c r="F254" s="1773">
        <v>0.15</v>
      </c>
    </row>
    <row r="255" spans="1:6" ht="14.25" thickBot="1">
      <c r="A255" s="1767" t="s">
        <v>1405</v>
      </c>
      <c r="B255" s="1771" t="s">
        <v>1174</v>
      </c>
      <c r="C255" s="1781"/>
      <c r="D255" s="1781"/>
      <c r="E255" s="1781"/>
      <c r="F255" s="1773">
        <v>0.14299999999999999</v>
      </c>
    </row>
    <row r="256" spans="1:6" ht="14.25" thickBot="1">
      <c r="A256" s="1767" t="s">
        <v>1405</v>
      </c>
      <c r="B256" s="1771" t="s">
        <v>2167</v>
      </c>
      <c r="C256" s="1772">
        <v>0.14599999999999999</v>
      </c>
      <c r="D256" s="1772">
        <v>0.14699999999999999</v>
      </c>
      <c r="E256" s="1772">
        <v>0.15</v>
      </c>
      <c r="F256" s="1773">
        <v>0.13200000000000001</v>
      </c>
    </row>
    <row r="257" spans="1:6" ht="14.25" thickBot="1">
      <c r="A257" s="1767" t="s">
        <v>1405</v>
      </c>
      <c r="B257" s="1771" t="s">
        <v>1194</v>
      </c>
      <c r="C257" s="1772">
        <v>0.15</v>
      </c>
      <c r="D257" s="1772">
        <v>0.15</v>
      </c>
      <c r="E257" s="1772">
        <v>0.15</v>
      </c>
      <c r="F257" s="1773">
        <v>0.13900000000000001</v>
      </c>
    </row>
    <row r="258" spans="1:6" ht="14.25" thickBot="1">
      <c r="A258" s="1767" t="s">
        <v>1405</v>
      </c>
      <c r="B258" s="1771" t="s">
        <v>1204</v>
      </c>
      <c r="C258" s="1772">
        <v>0.15</v>
      </c>
      <c r="D258" s="1772">
        <v>0.15</v>
      </c>
      <c r="E258" s="1772">
        <v>0.15</v>
      </c>
      <c r="F258" s="1773">
        <v>0.13</v>
      </c>
    </row>
    <row r="259" spans="1:6" ht="14.25" thickBot="1">
      <c r="A259" s="1767" t="s">
        <v>1405</v>
      </c>
      <c r="B259" s="1771" t="s">
        <v>2168</v>
      </c>
      <c r="C259" s="1772">
        <v>0.14799999999999999</v>
      </c>
      <c r="D259" s="1772">
        <v>0.14899999999999999</v>
      </c>
      <c r="E259" s="1772">
        <v>0.15</v>
      </c>
      <c r="F259" s="1773">
        <v>0.13700000000000001</v>
      </c>
    </row>
    <row r="260" spans="1:6" ht="14.25" thickBot="1">
      <c r="A260" s="1767" t="s">
        <v>1405</v>
      </c>
      <c r="B260" s="1771" t="s">
        <v>1224</v>
      </c>
      <c r="C260" s="1772">
        <v>0.15</v>
      </c>
      <c r="D260" s="1772">
        <v>0.15</v>
      </c>
      <c r="E260" s="1772">
        <v>0.15</v>
      </c>
      <c r="F260" s="1773">
        <v>0.14199999999999999</v>
      </c>
    </row>
    <row r="261" spans="1:6" ht="14.25" thickBot="1">
      <c r="A261" s="1767" t="s">
        <v>1405</v>
      </c>
      <c r="B261" s="1771" t="s">
        <v>1234</v>
      </c>
      <c r="C261" s="1772">
        <v>0.15</v>
      </c>
      <c r="D261" s="1772">
        <v>0.15</v>
      </c>
      <c r="E261" s="1772">
        <v>0.14899999999999999</v>
      </c>
      <c r="F261" s="1773">
        <v>0.14799999999999999</v>
      </c>
    </row>
    <row r="262" spans="1:6" ht="14.25" thickBot="1">
      <c r="A262" s="1767" t="s">
        <v>1405</v>
      </c>
      <c r="B262" s="1771" t="s">
        <v>1244</v>
      </c>
      <c r="C262" s="1772">
        <v>0.15</v>
      </c>
      <c r="D262" s="1772">
        <v>0.15</v>
      </c>
      <c r="E262" s="1772">
        <v>0.15</v>
      </c>
      <c r="F262" s="1780"/>
    </row>
    <row r="263" spans="1:6" ht="14.25" thickBot="1">
      <c r="A263" s="1767" t="s">
        <v>1405</v>
      </c>
      <c r="B263" s="1771" t="s">
        <v>2169</v>
      </c>
      <c r="C263" s="1772">
        <v>0.14899999999999999</v>
      </c>
      <c r="D263" s="1772">
        <v>0.14899999999999999</v>
      </c>
      <c r="E263" s="1772">
        <v>0.15</v>
      </c>
      <c r="F263" s="1773">
        <v>0.13</v>
      </c>
    </row>
    <row r="264" spans="1:6" ht="14.25" thickBot="1">
      <c r="A264" s="1767" t="s">
        <v>1405</v>
      </c>
      <c r="B264" s="1771" t="s">
        <v>1263</v>
      </c>
      <c r="C264" s="1772">
        <v>0.14799999999999999</v>
      </c>
      <c r="D264" s="1772">
        <v>0.14699999999999999</v>
      </c>
      <c r="E264" s="1772">
        <v>0.15</v>
      </c>
      <c r="F264" s="1773">
        <v>7.8E-2</v>
      </c>
    </row>
    <row r="265" spans="1:6" ht="14.25" thickBot="1">
      <c r="A265" s="1767" t="s">
        <v>1405</v>
      </c>
      <c r="B265" s="1771" t="s">
        <v>1272</v>
      </c>
      <c r="C265" s="1772">
        <v>0.15</v>
      </c>
      <c r="D265" s="1772">
        <v>0.15</v>
      </c>
      <c r="E265" s="1772">
        <v>0.15</v>
      </c>
      <c r="F265" s="1773">
        <v>7.3999999999999996E-2</v>
      </c>
    </row>
    <row r="266" spans="1:6" ht="14.25" thickBot="1">
      <c r="A266" s="1767" t="s">
        <v>1405</v>
      </c>
      <c r="B266" s="1771" t="s">
        <v>1280</v>
      </c>
      <c r="C266" s="1772">
        <v>0.14699999999999999</v>
      </c>
      <c r="D266" s="1772">
        <v>0.14699999999999999</v>
      </c>
      <c r="E266" s="1772">
        <v>0.15</v>
      </c>
      <c r="F266" s="1773">
        <v>0.14299999999999999</v>
      </c>
    </row>
    <row r="267" spans="1:6" ht="14.25" thickBot="1">
      <c r="A267" s="1767" t="s">
        <v>1405</v>
      </c>
      <c r="B267" s="1771" t="s">
        <v>1287</v>
      </c>
      <c r="C267" s="1772">
        <v>0.14199999999999999</v>
      </c>
      <c r="D267" s="1772">
        <v>0.14299999999999999</v>
      </c>
      <c r="E267" s="1772">
        <v>0.15</v>
      </c>
      <c r="F267" s="1780"/>
    </row>
    <row r="268" spans="1:6" ht="14.25" thickBot="1">
      <c r="A268" s="1767" t="s">
        <v>1405</v>
      </c>
      <c r="B268" s="1771" t="s">
        <v>2170</v>
      </c>
      <c r="C268" s="1772">
        <v>0.15</v>
      </c>
      <c r="D268" s="1772">
        <v>0.15</v>
      </c>
      <c r="E268" s="1772">
        <v>0.15</v>
      </c>
      <c r="F268" s="1773">
        <v>0.13</v>
      </c>
    </row>
    <row r="269" spans="1:6" ht="14.25" thickBot="1">
      <c r="A269" s="1767" t="s">
        <v>1405</v>
      </c>
      <c r="B269" s="1771" t="s">
        <v>1301</v>
      </c>
      <c r="C269" s="1772">
        <v>0.15</v>
      </c>
      <c r="D269" s="1772">
        <v>0.15</v>
      </c>
      <c r="E269" s="1772">
        <v>0.15</v>
      </c>
      <c r="F269" s="1773">
        <v>0.14299999999999999</v>
      </c>
    </row>
    <row r="270" spans="1:6" ht="14.25" thickBot="1">
      <c r="A270" s="1767" t="s">
        <v>1405</v>
      </c>
      <c r="B270" s="1771" t="s">
        <v>1308</v>
      </c>
      <c r="C270" s="1772">
        <v>0.14499999999999999</v>
      </c>
      <c r="D270" s="1772">
        <v>0.14499999999999999</v>
      </c>
      <c r="E270" s="1772">
        <v>0.15</v>
      </c>
      <c r="F270" s="1773">
        <v>0.14699999999999999</v>
      </c>
    </row>
    <row r="271" spans="1:6" ht="14.25" thickBot="1">
      <c r="A271" s="1767" t="s">
        <v>1405</v>
      </c>
      <c r="B271" s="1771" t="s">
        <v>1315</v>
      </c>
      <c r="C271" s="1772">
        <v>0.15</v>
      </c>
      <c r="D271" s="1772">
        <v>0.15</v>
      </c>
      <c r="E271" s="1772">
        <v>0.15</v>
      </c>
      <c r="F271" s="1773">
        <v>0.13800000000000001</v>
      </c>
    </row>
    <row r="272" spans="1:6" ht="14.25" thickBot="1">
      <c r="A272" s="1767" t="s">
        <v>1405</v>
      </c>
      <c r="B272" s="1771" t="s">
        <v>1322</v>
      </c>
      <c r="C272" s="1781"/>
      <c r="D272" s="1781"/>
      <c r="E272" s="1781"/>
      <c r="F272" s="1773">
        <v>0.14000000000000001</v>
      </c>
    </row>
    <row r="273" spans="1:6" ht="14.25" thickBot="1">
      <c r="A273" s="1767" t="s">
        <v>1405</v>
      </c>
      <c r="B273" s="1771" t="s">
        <v>2171</v>
      </c>
      <c r="C273" s="1772">
        <v>0.14199999999999999</v>
      </c>
      <c r="D273" s="1772">
        <v>0.14299999999999999</v>
      </c>
      <c r="E273" s="1772">
        <v>0.15</v>
      </c>
      <c r="F273" s="1773">
        <v>0.1</v>
      </c>
    </row>
    <row r="274" spans="1:6" ht="14.25" thickBot="1">
      <c r="A274" s="1767" t="s">
        <v>1405</v>
      </c>
      <c r="B274" s="1771" t="s">
        <v>2172</v>
      </c>
      <c r="C274" s="1772">
        <v>0.14799999999999999</v>
      </c>
      <c r="D274" s="1772">
        <v>0.14799999999999999</v>
      </c>
      <c r="E274" s="1772">
        <v>0.15</v>
      </c>
      <c r="F274" s="1773">
        <v>6.7000000000000004E-2</v>
      </c>
    </row>
    <row r="275" spans="1:6" ht="14.25" thickBot="1">
      <c r="A275" s="1767" t="s">
        <v>1405</v>
      </c>
      <c r="B275" s="1771" t="s">
        <v>2173</v>
      </c>
      <c r="C275" s="1772">
        <v>0.15</v>
      </c>
      <c r="D275" s="1772">
        <v>0.15</v>
      </c>
      <c r="E275" s="1772">
        <v>0.15</v>
      </c>
      <c r="F275" s="1773">
        <v>0.15</v>
      </c>
    </row>
    <row r="276" spans="1:6" ht="14.25" thickBot="1">
      <c r="A276" s="1767" t="s">
        <v>1405</v>
      </c>
      <c r="B276" s="1771" t="s">
        <v>2174</v>
      </c>
      <c r="C276" s="1772">
        <v>0.14499999999999999</v>
      </c>
      <c r="D276" s="1772">
        <v>0.14299999999999999</v>
      </c>
      <c r="E276" s="1772">
        <v>0.15</v>
      </c>
      <c r="F276" s="1773">
        <v>5.8999999999999997E-2</v>
      </c>
    </row>
    <row r="277" spans="1:6" ht="14.25" thickBot="1">
      <c r="A277" s="1767" t="s">
        <v>1405</v>
      </c>
      <c r="B277" s="1771" t="s">
        <v>2175</v>
      </c>
      <c r="C277" s="1772">
        <v>0.15</v>
      </c>
      <c r="D277" s="1772">
        <v>0.15</v>
      </c>
      <c r="E277" s="1772">
        <v>0.15</v>
      </c>
      <c r="F277" s="1773">
        <v>0.121</v>
      </c>
    </row>
    <row r="278" spans="1:6" ht="14.25" thickBot="1">
      <c r="A278" s="1767" t="s">
        <v>1405</v>
      </c>
      <c r="B278" s="1771" t="s">
        <v>2176</v>
      </c>
      <c r="C278" s="1772">
        <v>0.15</v>
      </c>
      <c r="D278" s="1772">
        <v>0.15</v>
      </c>
      <c r="E278" s="1772">
        <v>0.15</v>
      </c>
      <c r="F278" s="1773">
        <v>0.13800000000000001</v>
      </c>
    </row>
    <row r="279" spans="1:6" ht="24.75" thickBot="1">
      <c r="A279" s="1767" t="s">
        <v>1405</v>
      </c>
      <c r="B279" s="1771" t="s">
        <v>2177</v>
      </c>
      <c r="C279" s="1781"/>
      <c r="D279" s="1781"/>
      <c r="E279" s="1781"/>
      <c r="F279" s="1773">
        <v>0.05</v>
      </c>
    </row>
    <row r="280" spans="1:6" ht="24.75" thickBot="1">
      <c r="A280" s="1767" t="s">
        <v>1405</v>
      </c>
      <c r="B280" s="1771" t="s">
        <v>2178</v>
      </c>
      <c r="C280" s="1781"/>
      <c r="D280" s="1781"/>
      <c r="E280" s="1781"/>
      <c r="F280" s="1773">
        <v>0.05</v>
      </c>
    </row>
    <row r="281" spans="1:6" ht="24.75" thickBot="1">
      <c r="A281" s="1767" t="s">
        <v>1405</v>
      </c>
      <c r="B281" s="1771" t="s">
        <v>2179</v>
      </c>
      <c r="C281" s="1781"/>
      <c r="D281" s="1781"/>
      <c r="E281" s="1781"/>
      <c r="F281" s="1773">
        <v>0.05</v>
      </c>
    </row>
    <row r="282" spans="1:6" ht="24.75" thickBot="1">
      <c r="A282" s="1767" t="s">
        <v>1405</v>
      </c>
      <c r="B282" s="1771" t="s">
        <v>2180</v>
      </c>
      <c r="C282" s="1781"/>
      <c r="D282" s="1781"/>
      <c r="E282" s="1781"/>
      <c r="F282" s="1773">
        <v>0.05</v>
      </c>
    </row>
    <row r="283" spans="1:6" ht="24.75" thickBot="1">
      <c r="A283" s="1767" t="s">
        <v>1405</v>
      </c>
      <c r="B283" s="1771" t="s">
        <v>2181</v>
      </c>
      <c r="C283" s="1781"/>
      <c r="D283" s="1781"/>
      <c r="E283" s="1781"/>
      <c r="F283" s="1773">
        <v>0.05</v>
      </c>
    </row>
    <row r="284" spans="1:6" ht="24.75" thickBot="1">
      <c r="A284" s="1767" t="s">
        <v>1405</v>
      </c>
      <c r="B284" s="1771" t="s">
        <v>2182</v>
      </c>
      <c r="C284" s="1781"/>
      <c r="D284" s="1781"/>
      <c r="E284" s="1781"/>
      <c r="F284" s="1773">
        <v>0.05</v>
      </c>
    </row>
    <row r="285" spans="1:6" ht="24.75" thickBot="1">
      <c r="A285" s="1767" t="s">
        <v>1405</v>
      </c>
      <c r="B285" s="1771" t="s">
        <v>2183</v>
      </c>
      <c r="C285" s="1781"/>
      <c r="D285" s="1781"/>
      <c r="E285" s="1781"/>
      <c r="F285" s="1773">
        <v>0.05</v>
      </c>
    </row>
    <row r="286" spans="1:6" ht="24.75" thickBot="1">
      <c r="A286" s="1767" t="s">
        <v>1405</v>
      </c>
      <c r="B286" s="1771" t="s">
        <v>2184</v>
      </c>
      <c r="C286" s="1781"/>
      <c r="D286" s="1781"/>
      <c r="E286" s="1781"/>
      <c r="F286" s="1773">
        <v>0.05</v>
      </c>
    </row>
    <row r="287" spans="1:6" ht="24.75" thickBot="1">
      <c r="A287" s="1767" t="s">
        <v>1405</v>
      </c>
      <c r="B287" s="1771" t="s">
        <v>2185</v>
      </c>
      <c r="C287" s="1781"/>
      <c r="D287" s="1781"/>
      <c r="E287" s="1781"/>
      <c r="F287" s="1773">
        <v>0.05</v>
      </c>
    </row>
    <row r="288" spans="1:6" ht="24.75" thickBot="1">
      <c r="A288" s="1767" t="s">
        <v>1405</v>
      </c>
      <c r="B288" s="1771" t="s">
        <v>2186</v>
      </c>
      <c r="C288" s="1781"/>
      <c r="D288" s="1781"/>
      <c r="E288" s="1781"/>
      <c r="F288" s="1773">
        <v>0.05</v>
      </c>
    </row>
    <row r="289" spans="1:6" ht="24.75" thickBot="1">
      <c r="A289" s="1775" t="s">
        <v>1405</v>
      </c>
      <c r="B289" s="1782" t="s">
        <v>2187</v>
      </c>
      <c r="C289" s="1778"/>
      <c r="D289" s="1778"/>
      <c r="E289" s="1778"/>
      <c r="F289" s="1783">
        <v>0.05</v>
      </c>
    </row>
    <row r="290" spans="1:6" ht="14.25" thickBot="1">
      <c r="A290" s="1767" t="s">
        <v>1409</v>
      </c>
      <c r="B290" s="1768" t="s">
        <v>2188</v>
      </c>
      <c r="C290" s="1769">
        <v>0.15</v>
      </c>
      <c r="D290" s="1769">
        <v>0.15</v>
      </c>
      <c r="E290" s="1769">
        <v>0.15</v>
      </c>
      <c r="F290" s="1791"/>
    </row>
    <row r="291" spans="1:6" ht="14.25" thickBot="1">
      <c r="A291" s="1767" t="s">
        <v>1409</v>
      </c>
      <c r="B291" s="1771" t="s">
        <v>1069</v>
      </c>
      <c r="C291" s="1772">
        <v>0.15</v>
      </c>
      <c r="D291" s="1772">
        <v>0.15</v>
      </c>
      <c r="E291" s="1772">
        <v>0.15</v>
      </c>
      <c r="F291" s="1780"/>
    </row>
    <row r="292" spans="1:6" ht="14.25" thickBot="1">
      <c r="A292" s="1767" t="s">
        <v>1409</v>
      </c>
      <c r="B292" s="1771" t="s">
        <v>2189</v>
      </c>
      <c r="C292" s="1772">
        <v>0.15</v>
      </c>
      <c r="D292" s="1772">
        <v>0.15</v>
      </c>
      <c r="E292" s="1772">
        <v>0.15</v>
      </c>
      <c r="F292" s="1773">
        <v>0.14699999999999999</v>
      </c>
    </row>
    <row r="293" spans="1:6" ht="14.25" thickBot="1">
      <c r="A293" s="1767" t="s">
        <v>1409</v>
      </c>
      <c r="B293" s="1771" t="s">
        <v>2190</v>
      </c>
      <c r="C293" s="1781"/>
      <c r="D293" s="1781"/>
      <c r="E293" s="1781"/>
      <c r="F293" s="1773">
        <v>0.1</v>
      </c>
    </row>
    <row r="294" spans="1:6" ht="14.25" thickBot="1">
      <c r="A294" s="1767" t="s">
        <v>1409</v>
      </c>
      <c r="B294" s="1771" t="s">
        <v>2191</v>
      </c>
      <c r="C294" s="1772">
        <v>0.15</v>
      </c>
      <c r="D294" s="1772">
        <v>0.15</v>
      </c>
      <c r="E294" s="1772">
        <v>0.15</v>
      </c>
      <c r="F294" s="1773">
        <v>0.15</v>
      </c>
    </row>
    <row r="295" spans="1:6" ht="14.25" thickBot="1">
      <c r="A295" s="1767" t="s">
        <v>1409</v>
      </c>
      <c r="B295" s="1771" t="s">
        <v>1110</v>
      </c>
      <c r="C295" s="1772">
        <v>0.15</v>
      </c>
      <c r="D295" s="1772">
        <v>0.15</v>
      </c>
      <c r="E295" s="1772">
        <v>0.15</v>
      </c>
      <c r="F295" s="1773">
        <v>0.15</v>
      </c>
    </row>
    <row r="296" spans="1:6" ht="14.25" thickBot="1">
      <c r="A296" s="1767" t="s">
        <v>1409</v>
      </c>
      <c r="B296" s="1771" t="s">
        <v>2192</v>
      </c>
      <c r="C296" s="1772">
        <v>0.15</v>
      </c>
      <c r="D296" s="1772">
        <v>0.15</v>
      </c>
      <c r="E296" s="1772">
        <v>0.15</v>
      </c>
      <c r="F296" s="1773">
        <v>0.15</v>
      </c>
    </row>
    <row r="297" spans="1:6" ht="14.25" thickBot="1">
      <c r="A297" s="1767" t="s">
        <v>1409</v>
      </c>
      <c r="B297" s="1771" t="s">
        <v>2193</v>
      </c>
      <c r="C297" s="1772">
        <v>0.14799999999999999</v>
      </c>
      <c r="D297" s="1772">
        <v>0.14899999999999999</v>
      </c>
      <c r="E297" s="1772">
        <v>0.15</v>
      </c>
      <c r="F297" s="1773">
        <v>0.13700000000000001</v>
      </c>
    </row>
    <row r="298" spans="1:6" ht="14.25" thickBot="1">
      <c r="A298" s="1767" t="s">
        <v>1409</v>
      </c>
      <c r="B298" s="1771" t="s">
        <v>1143</v>
      </c>
      <c r="C298" s="1772">
        <v>0.13400000000000001</v>
      </c>
      <c r="D298" s="1772">
        <v>0.13400000000000001</v>
      </c>
      <c r="E298" s="1772">
        <v>0.14499999999999999</v>
      </c>
      <c r="F298" s="1773">
        <v>0.14799999999999999</v>
      </c>
    </row>
    <row r="299" spans="1:6" ht="14.25" thickBot="1">
      <c r="A299" s="1767" t="s">
        <v>1409</v>
      </c>
      <c r="B299" s="1771" t="s">
        <v>1155</v>
      </c>
      <c r="C299" s="1772">
        <v>0.15</v>
      </c>
      <c r="D299" s="1772">
        <v>0.15</v>
      </c>
      <c r="E299" s="1772">
        <v>0.15</v>
      </c>
      <c r="F299" s="1780"/>
    </row>
    <row r="300" spans="1:6" ht="14.25" thickBot="1">
      <c r="A300" s="1767" t="s">
        <v>1409</v>
      </c>
      <c r="B300" s="1771" t="s">
        <v>2194</v>
      </c>
      <c r="C300" s="1772">
        <v>0.15</v>
      </c>
      <c r="D300" s="1772">
        <v>0.15</v>
      </c>
      <c r="E300" s="1772">
        <v>0.15</v>
      </c>
      <c r="F300" s="1773">
        <v>0.15</v>
      </c>
    </row>
    <row r="301" spans="1:6" ht="14.25" thickBot="1">
      <c r="A301" s="1767" t="s">
        <v>1409</v>
      </c>
      <c r="B301" s="1771" t="s">
        <v>1175</v>
      </c>
      <c r="C301" s="1772">
        <v>0.15</v>
      </c>
      <c r="D301" s="1772">
        <v>0.15</v>
      </c>
      <c r="E301" s="1772">
        <v>0.15</v>
      </c>
      <c r="F301" s="1780"/>
    </row>
    <row r="302" spans="1:6" ht="14.25" thickBot="1">
      <c r="A302" s="1767" t="s">
        <v>1409</v>
      </c>
      <c r="B302" s="1771" t="s">
        <v>2195</v>
      </c>
      <c r="C302" s="1772">
        <v>0.15</v>
      </c>
      <c r="D302" s="1772">
        <v>0.15</v>
      </c>
      <c r="E302" s="1772">
        <v>0.15</v>
      </c>
      <c r="F302" s="1773">
        <v>0.15</v>
      </c>
    </row>
    <row r="303" spans="1:6" ht="14.25" thickBot="1">
      <c r="A303" s="1767" t="s">
        <v>1409</v>
      </c>
      <c r="B303" s="1771" t="s">
        <v>1195</v>
      </c>
      <c r="C303" s="1772">
        <v>0.15</v>
      </c>
      <c r="D303" s="1772">
        <v>0.15</v>
      </c>
      <c r="E303" s="1772">
        <v>0.15</v>
      </c>
      <c r="F303" s="1773">
        <v>0.15</v>
      </c>
    </row>
    <row r="304" spans="1:6" ht="14.25" thickBot="1">
      <c r="A304" s="1767" t="s">
        <v>1409</v>
      </c>
      <c r="B304" s="1771" t="s">
        <v>1205</v>
      </c>
      <c r="C304" s="1772">
        <v>0.15</v>
      </c>
      <c r="D304" s="1772">
        <v>0.15</v>
      </c>
      <c r="E304" s="1772">
        <v>0.15</v>
      </c>
      <c r="F304" s="1780"/>
    </row>
    <row r="305" spans="1:6" ht="14.25" thickBot="1">
      <c r="A305" s="1767" t="s">
        <v>1409</v>
      </c>
      <c r="B305" s="1771" t="s">
        <v>2196</v>
      </c>
      <c r="C305" s="1772">
        <v>0.15</v>
      </c>
      <c r="D305" s="1772">
        <v>0.15</v>
      </c>
      <c r="E305" s="1772">
        <v>0.15</v>
      </c>
      <c r="F305" s="1773">
        <v>0.14000000000000001</v>
      </c>
    </row>
    <row r="306" spans="1:6" ht="14.25" thickBot="1">
      <c r="A306" s="1767" t="s">
        <v>1409</v>
      </c>
      <c r="B306" s="1771" t="s">
        <v>1225</v>
      </c>
      <c r="C306" s="1772">
        <v>0.15</v>
      </c>
      <c r="D306" s="1772">
        <v>0.15</v>
      </c>
      <c r="E306" s="1772">
        <v>0.15</v>
      </c>
      <c r="F306" s="1780"/>
    </row>
    <row r="307" spans="1:6" ht="14.25" thickBot="1">
      <c r="A307" s="1767" t="s">
        <v>1409</v>
      </c>
      <c r="B307" s="1771" t="s">
        <v>2197</v>
      </c>
      <c r="C307" s="1772">
        <v>0.15</v>
      </c>
      <c r="D307" s="1772">
        <v>0.15</v>
      </c>
      <c r="E307" s="1772">
        <v>0.15</v>
      </c>
      <c r="F307" s="1773">
        <v>0.14299999999999999</v>
      </c>
    </row>
    <row r="308" spans="1:6" ht="14.25" thickBot="1">
      <c r="A308" s="1767" t="s">
        <v>1409</v>
      </c>
      <c r="B308" s="1771" t="s">
        <v>1245</v>
      </c>
      <c r="C308" s="1772">
        <v>0.15</v>
      </c>
      <c r="D308" s="1772">
        <v>0.15</v>
      </c>
      <c r="E308" s="1772">
        <v>0.15</v>
      </c>
      <c r="F308" s="1773">
        <v>0.15</v>
      </c>
    </row>
    <row r="309" spans="1:6" ht="14.25" thickBot="1">
      <c r="A309" s="1767" t="s">
        <v>1409</v>
      </c>
      <c r="B309" s="1771" t="s">
        <v>1255</v>
      </c>
      <c r="C309" s="1772">
        <v>0.15</v>
      </c>
      <c r="D309" s="1772">
        <v>0.15</v>
      </c>
      <c r="E309" s="1772">
        <v>0.15</v>
      </c>
      <c r="F309" s="1780"/>
    </row>
    <row r="310" spans="1:6" ht="14.25" thickBot="1">
      <c r="A310" s="1767" t="s">
        <v>1409</v>
      </c>
      <c r="B310" s="1771" t="s">
        <v>2198</v>
      </c>
      <c r="C310" s="1772">
        <v>0.15</v>
      </c>
      <c r="D310" s="1772">
        <v>0.15</v>
      </c>
      <c r="E310" s="1772">
        <v>0.15</v>
      </c>
      <c r="F310" s="1773">
        <v>0.13700000000000001</v>
      </c>
    </row>
    <row r="311" spans="1:6" ht="14.25" thickBot="1">
      <c r="A311" s="1767" t="s">
        <v>1409</v>
      </c>
      <c r="B311" s="1771" t="s">
        <v>2199</v>
      </c>
      <c r="C311" s="1772">
        <v>0.15</v>
      </c>
      <c r="D311" s="1772">
        <v>0.15</v>
      </c>
      <c r="E311" s="1772">
        <v>0.15</v>
      </c>
      <c r="F311" s="1773">
        <v>0.15</v>
      </c>
    </row>
    <row r="312" spans="1:6" ht="14.25" thickBot="1">
      <c r="A312" s="1767" t="s">
        <v>1409</v>
      </c>
      <c r="B312" s="1771" t="s">
        <v>1281</v>
      </c>
      <c r="C312" s="1772">
        <v>0.15</v>
      </c>
      <c r="D312" s="1772">
        <v>0.15</v>
      </c>
      <c r="E312" s="1772">
        <v>0.15</v>
      </c>
      <c r="F312" s="1773">
        <v>0.1</v>
      </c>
    </row>
    <row r="313" spans="1:6" ht="14.25" thickBot="1">
      <c r="A313" s="1767" t="s">
        <v>1409</v>
      </c>
      <c r="B313" s="1771" t="s">
        <v>2200</v>
      </c>
      <c r="C313" s="1772">
        <v>0.15</v>
      </c>
      <c r="D313" s="1772">
        <v>0.15</v>
      </c>
      <c r="E313" s="1772">
        <v>0.15</v>
      </c>
      <c r="F313" s="1773">
        <v>0.15</v>
      </c>
    </row>
    <row r="314" spans="1:6" ht="24.75" thickBot="1">
      <c r="A314" s="1767" t="s">
        <v>1409</v>
      </c>
      <c r="B314" s="1771" t="s">
        <v>2201</v>
      </c>
      <c r="C314" s="1781"/>
      <c r="D314" s="1781"/>
      <c r="E314" s="1781"/>
      <c r="F314" s="1773">
        <v>0.05</v>
      </c>
    </row>
    <row r="315" spans="1:6" ht="24.75" thickBot="1">
      <c r="A315" s="1767" t="s">
        <v>1409</v>
      </c>
      <c r="B315" s="1771" t="s">
        <v>2202</v>
      </c>
      <c r="C315" s="1781"/>
      <c r="D315" s="1781"/>
      <c r="E315" s="1781"/>
      <c r="F315" s="1773">
        <v>0.05</v>
      </c>
    </row>
    <row r="316" spans="1:6" ht="24.75" thickBot="1">
      <c r="A316" s="1775" t="s">
        <v>1409</v>
      </c>
      <c r="B316" s="1782" t="s">
        <v>2203</v>
      </c>
      <c r="C316" s="1778"/>
      <c r="D316" s="1778"/>
      <c r="E316" s="1778"/>
      <c r="F316" s="1783">
        <v>0.05</v>
      </c>
    </row>
    <row r="317" spans="1:6" ht="14.25" thickBot="1">
      <c r="A317" s="1767" t="s">
        <v>2204</v>
      </c>
      <c r="B317" s="1768" t="s">
        <v>2205</v>
      </c>
      <c r="C317" s="1769">
        <v>0.15</v>
      </c>
      <c r="D317" s="1769">
        <v>0.15</v>
      </c>
      <c r="E317" s="1769">
        <v>0.15</v>
      </c>
      <c r="F317" s="1770">
        <v>0.15</v>
      </c>
    </row>
    <row r="318" spans="1:6" ht="14.25" thickBot="1">
      <c r="A318" s="1767" t="s">
        <v>2204</v>
      </c>
      <c r="B318" s="1771" t="s">
        <v>2206</v>
      </c>
      <c r="C318" s="1772">
        <v>0.107</v>
      </c>
      <c r="D318" s="1772">
        <v>0.11</v>
      </c>
      <c r="E318" s="1772">
        <v>0.112</v>
      </c>
      <c r="F318" s="1780"/>
    </row>
    <row r="319" spans="1:6" ht="14.25" thickBot="1">
      <c r="A319" s="1767" t="s">
        <v>2204</v>
      </c>
      <c r="B319" s="1771" t="s">
        <v>2207</v>
      </c>
      <c r="C319" s="1772">
        <v>0.15</v>
      </c>
      <c r="D319" s="1772">
        <v>0.15</v>
      </c>
      <c r="E319" s="1772">
        <v>0.15</v>
      </c>
      <c r="F319" s="1773">
        <v>0.15</v>
      </c>
    </row>
    <row r="320" spans="1:6" ht="14.25" thickBot="1">
      <c r="A320" s="1767" t="s">
        <v>2204</v>
      </c>
      <c r="B320" s="1771" t="s">
        <v>1097</v>
      </c>
      <c r="C320" s="1772">
        <v>0.15</v>
      </c>
      <c r="D320" s="1772">
        <v>0.15</v>
      </c>
      <c r="E320" s="1772">
        <v>0.15</v>
      </c>
      <c r="F320" s="1780"/>
    </row>
    <row r="321" spans="1:6" ht="14.25" thickBot="1">
      <c r="A321" s="1767" t="s">
        <v>2204</v>
      </c>
      <c r="B321" s="1771" t="s">
        <v>2208</v>
      </c>
      <c r="C321" s="1772">
        <v>0.15</v>
      </c>
      <c r="D321" s="1772">
        <v>0.15</v>
      </c>
      <c r="E321" s="1772">
        <v>0.15</v>
      </c>
      <c r="F321" s="1780"/>
    </row>
    <row r="322" spans="1:6" ht="14.25" thickBot="1">
      <c r="A322" s="1767" t="s">
        <v>2204</v>
      </c>
      <c r="B322" s="1771" t="s">
        <v>2209</v>
      </c>
      <c r="C322" s="1772">
        <v>0.15</v>
      </c>
      <c r="D322" s="1772">
        <v>0.15</v>
      </c>
      <c r="E322" s="1772">
        <v>0.15</v>
      </c>
      <c r="F322" s="1773">
        <v>0.15</v>
      </c>
    </row>
    <row r="323" spans="1:6" ht="14.25" thickBot="1">
      <c r="A323" s="1767" t="s">
        <v>2204</v>
      </c>
      <c r="B323" s="1771" t="s">
        <v>2210</v>
      </c>
      <c r="C323" s="1772">
        <v>0.15</v>
      </c>
      <c r="D323" s="1772">
        <v>0.15</v>
      </c>
      <c r="E323" s="1772">
        <v>0.15</v>
      </c>
      <c r="F323" s="1780"/>
    </row>
    <row r="324" spans="1:6" ht="14.25" thickBot="1">
      <c r="A324" s="1767" t="s">
        <v>2204</v>
      </c>
      <c r="B324" s="1771" t="s">
        <v>2211</v>
      </c>
      <c r="C324" s="1772">
        <v>0.15</v>
      </c>
      <c r="D324" s="1772">
        <v>0.15</v>
      </c>
      <c r="E324" s="1772">
        <v>0.15</v>
      </c>
      <c r="F324" s="1780"/>
    </row>
    <row r="325" spans="1:6" ht="14.25" thickBot="1">
      <c r="A325" s="1767" t="s">
        <v>2204</v>
      </c>
      <c r="B325" s="1771" t="s">
        <v>2212</v>
      </c>
      <c r="C325" s="1772">
        <v>0.15</v>
      </c>
      <c r="D325" s="1772">
        <v>0.15</v>
      </c>
      <c r="E325" s="1772">
        <v>0.15</v>
      </c>
      <c r="F325" s="1773">
        <v>0.14699999999999999</v>
      </c>
    </row>
    <row r="326" spans="1:6" ht="14.25" thickBot="1">
      <c r="A326" s="1767" t="s">
        <v>2204</v>
      </c>
      <c r="B326" s="1771" t="s">
        <v>1166</v>
      </c>
      <c r="C326" s="1772">
        <v>0.15</v>
      </c>
      <c r="D326" s="1772">
        <v>0.15</v>
      </c>
      <c r="E326" s="1772">
        <v>0.15</v>
      </c>
      <c r="F326" s="1780"/>
    </row>
    <row r="327" spans="1:6" ht="14.25" thickBot="1">
      <c r="A327" s="1767" t="s">
        <v>2204</v>
      </c>
      <c r="B327" s="1771" t="s">
        <v>2213</v>
      </c>
      <c r="C327" s="1772">
        <v>0.15</v>
      </c>
      <c r="D327" s="1772">
        <v>0.15</v>
      </c>
      <c r="E327" s="1772">
        <v>0.15</v>
      </c>
      <c r="F327" s="1773">
        <v>0.15</v>
      </c>
    </row>
    <row r="328" spans="1:6" ht="14.25" thickBot="1">
      <c r="A328" s="1767" t="s">
        <v>2204</v>
      </c>
      <c r="B328" s="1771" t="s">
        <v>1186</v>
      </c>
      <c r="C328" s="1772">
        <v>0.15</v>
      </c>
      <c r="D328" s="1772">
        <v>0.15</v>
      </c>
      <c r="E328" s="1772">
        <v>0.15</v>
      </c>
      <c r="F328" s="1773">
        <v>0.14099999999999999</v>
      </c>
    </row>
    <row r="329" spans="1:6" ht="14.25" thickBot="1">
      <c r="A329" s="1767" t="s">
        <v>2204</v>
      </c>
      <c r="B329" s="1771" t="s">
        <v>1196</v>
      </c>
      <c r="C329" s="1772">
        <v>0.15</v>
      </c>
      <c r="D329" s="1772">
        <v>0.15</v>
      </c>
      <c r="E329" s="1772">
        <v>0.15</v>
      </c>
      <c r="F329" s="1773">
        <v>0.15</v>
      </c>
    </row>
    <row r="330" spans="1:6" ht="14.25" thickBot="1">
      <c r="A330" s="1767" t="s">
        <v>2204</v>
      </c>
      <c r="B330" s="1771" t="s">
        <v>1206</v>
      </c>
      <c r="C330" s="1772">
        <v>0.15</v>
      </c>
      <c r="D330" s="1772">
        <v>0.15</v>
      </c>
      <c r="E330" s="1772">
        <v>0.15</v>
      </c>
      <c r="F330" s="1780"/>
    </row>
    <row r="331" spans="1:6" ht="14.25" thickBot="1">
      <c r="A331" s="1767" t="s">
        <v>2204</v>
      </c>
      <c r="B331" s="1771" t="s">
        <v>2214</v>
      </c>
      <c r="C331" s="1772">
        <v>0.15</v>
      </c>
      <c r="D331" s="1772">
        <v>0.15</v>
      </c>
      <c r="E331" s="1772">
        <v>0.15</v>
      </c>
      <c r="F331" s="1773">
        <v>0.15</v>
      </c>
    </row>
    <row r="332" spans="1:6" ht="14.25" thickBot="1">
      <c r="A332" s="1767" t="s">
        <v>2204</v>
      </c>
      <c r="B332" s="1771" t="s">
        <v>1226</v>
      </c>
      <c r="C332" s="1772">
        <v>0.15</v>
      </c>
      <c r="D332" s="1772">
        <v>0.15</v>
      </c>
      <c r="E332" s="1772">
        <v>0.15</v>
      </c>
      <c r="F332" s="1773">
        <v>0.15</v>
      </c>
    </row>
    <row r="333" spans="1:6" ht="14.25" thickBot="1">
      <c r="A333" s="1767" t="s">
        <v>2204</v>
      </c>
      <c r="B333" s="1771" t="s">
        <v>2215</v>
      </c>
      <c r="C333" s="1772">
        <v>0.15</v>
      </c>
      <c r="D333" s="1772">
        <v>0.15</v>
      </c>
      <c r="E333" s="1772">
        <v>0.15</v>
      </c>
      <c r="F333" s="1773">
        <v>0.14099999999999999</v>
      </c>
    </row>
    <row r="334" spans="1:6" ht="14.25" thickBot="1">
      <c r="A334" s="1767" t="s">
        <v>2204</v>
      </c>
      <c r="B334" s="1771" t="s">
        <v>1246</v>
      </c>
      <c r="C334" s="1772">
        <v>0.15</v>
      </c>
      <c r="D334" s="1772">
        <v>0.15</v>
      </c>
      <c r="E334" s="1772">
        <v>0.15</v>
      </c>
      <c r="F334" s="1773">
        <v>0.15</v>
      </c>
    </row>
    <row r="335" spans="1:6" ht="14.25" thickBot="1">
      <c r="A335" s="1767" t="s">
        <v>2204</v>
      </c>
      <c r="B335" s="1771" t="s">
        <v>1256</v>
      </c>
      <c r="C335" s="1772">
        <v>0.15</v>
      </c>
      <c r="D335" s="1772">
        <v>0.15</v>
      </c>
      <c r="E335" s="1772">
        <v>0.15</v>
      </c>
      <c r="F335" s="1780"/>
    </row>
    <row r="336" spans="1:6" ht="14.25" thickBot="1">
      <c r="A336" s="1767" t="s">
        <v>2204</v>
      </c>
      <c r="B336" s="1771" t="s">
        <v>2216</v>
      </c>
      <c r="C336" s="1772">
        <v>0.15</v>
      </c>
      <c r="D336" s="1772">
        <v>0.15</v>
      </c>
      <c r="E336" s="1772">
        <v>0.15</v>
      </c>
      <c r="F336" s="1773">
        <v>0.11799999999999999</v>
      </c>
    </row>
    <row r="337" spans="1:6" ht="14.25" thickBot="1">
      <c r="A337" s="1775" t="s">
        <v>2204</v>
      </c>
      <c r="B337" s="1782" t="s">
        <v>1274</v>
      </c>
      <c r="C337" s="1778"/>
      <c r="D337" s="1778"/>
      <c r="E337" s="1778"/>
      <c r="F337" s="1783">
        <v>0.14299999999999999</v>
      </c>
    </row>
    <row r="338" spans="1:6" ht="14.25" thickBot="1">
      <c r="A338" s="1767" t="s">
        <v>2217</v>
      </c>
      <c r="B338" s="1768" t="s">
        <v>2218</v>
      </c>
      <c r="C338" s="1769">
        <v>0.15</v>
      </c>
      <c r="D338" s="1769">
        <v>0.15</v>
      </c>
      <c r="E338" s="1769">
        <v>0.15</v>
      </c>
      <c r="F338" s="1791"/>
    </row>
    <row r="339" spans="1:6" ht="14.25" thickBot="1">
      <c r="A339" s="1767" t="s">
        <v>2217</v>
      </c>
      <c r="B339" s="1771" t="s">
        <v>2219</v>
      </c>
      <c r="C339" s="1772">
        <v>0.15</v>
      </c>
      <c r="D339" s="1772">
        <v>0.15</v>
      </c>
      <c r="E339" s="1772">
        <v>0.15</v>
      </c>
      <c r="F339" s="1780"/>
    </row>
    <row r="340" spans="1:6" ht="14.25" thickBot="1">
      <c r="A340" s="1767" t="s">
        <v>2217</v>
      </c>
      <c r="B340" s="1771" t="s">
        <v>2220</v>
      </c>
      <c r="C340" s="1772">
        <v>0.15</v>
      </c>
      <c r="D340" s="1772">
        <v>0.15</v>
      </c>
      <c r="E340" s="1772">
        <v>0.15</v>
      </c>
      <c r="F340" s="1780"/>
    </row>
    <row r="341" spans="1:6" ht="14.25" thickBot="1">
      <c r="A341" s="1767" t="s">
        <v>2221</v>
      </c>
      <c r="B341" s="1771" t="s">
        <v>2222</v>
      </c>
      <c r="C341" s="1772">
        <v>0.15</v>
      </c>
      <c r="D341" s="1772">
        <v>0.15</v>
      </c>
      <c r="E341" s="1772">
        <v>0.15</v>
      </c>
      <c r="F341" s="1773">
        <v>0.15</v>
      </c>
    </row>
    <row r="342" spans="1:6" ht="14.25" thickBot="1">
      <c r="A342" s="1767" t="s">
        <v>2217</v>
      </c>
      <c r="B342" s="1771" t="s">
        <v>2223</v>
      </c>
      <c r="C342" s="1772">
        <v>0.15</v>
      </c>
      <c r="D342" s="1772">
        <v>0.15</v>
      </c>
      <c r="E342" s="1772">
        <v>0.15</v>
      </c>
      <c r="F342" s="1773">
        <v>0.15</v>
      </c>
    </row>
    <row r="343" spans="1:6" ht="14.25" thickBot="1">
      <c r="A343" s="1767" t="s">
        <v>2217</v>
      </c>
      <c r="B343" s="1771" t="s">
        <v>2224</v>
      </c>
      <c r="C343" s="1772">
        <v>0.15</v>
      </c>
      <c r="D343" s="1772">
        <v>0.15</v>
      </c>
      <c r="E343" s="1772">
        <v>0.15</v>
      </c>
      <c r="F343" s="1773">
        <v>0.15</v>
      </c>
    </row>
    <row r="344" spans="1:6" ht="14.25" thickBot="1">
      <c r="A344" s="1775" t="s">
        <v>2217</v>
      </c>
      <c r="B344" s="1782" t="s">
        <v>2225</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F9" sqref="A2:G42"/>
    </sheetView>
  </sheetViews>
  <sheetFormatPr defaultColWidth="9" defaultRowHeight="12.75"/>
  <cols>
    <col min="1" max="1" width="9" style="2880"/>
    <col min="2" max="6" width="9" style="2880" customWidth="1"/>
    <col min="7" max="7" width="9" style="2918" customWidth="1"/>
    <col min="8" max="12" width="9" style="2880" customWidth="1"/>
    <col min="13" max="13" width="2.25" style="2880" customWidth="1"/>
    <col min="14" max="14" width="9" style="2918" customWidth="1"/>
    <col min="15" max="17" width="9" style="2880" customWidth="1"/>
    <col min="18" max="18" width="2.375" style="2880" customWidth="1"/>
    <col min="19" max="19" width="7.125" style="2918" customWidth="1"/>
    <col min="20" max="22" width="7.125" style="2880" customWidth="1"/>
    <col min="23" max="23" width="24" style="2880" customWidth="1"/>
    <col min="24" max="25" width="9" style="2880"/>
    <col min="26" max="27" width="11.625" style="2880" customWidth="1"/>
    <col min="28" max="28" width="9" style="2880"/>
    <col min="29" max="29" width="2" style="2880" customWidth="1"/>
    <col min="30" max="16384" width="9" style="2880"/>
  </cols>
  <sheetData>
    <row r="1" spans="1:34" s="2858" customFormat="1">
      <c r="B1" s="3572" t="s">
        <v>2556</v>
      </c>
      <c r="C1" s="3572"/>
      <c r="D1" s="3572"/>
      <c r="E1" s="3572"/>
      <c r="F1" s="3572"/>
      <c r="G1" s="3571" t="s">
        <v>2557</v>
      </c>
      <c r="H1" s="3571"/>
      <c r="I1" s="3571"/>
      <c r="J1" s="3571"/>
      <c r="K1" s="3571"/>
      <c r="L1" s="3571"/>
      <c r="N1" s="3571" t="s">
        <v>2558</v>
      </c>
      <c r="O1" s="3571"/>
      <c r="P1" s="3571"/>
      <c r="Q1" s="3571"/>
      <c r="S1" s="3571" t="s">
        <v>2559</v>
      </c>
      <c r="T1" s="3571"/>
      <c r="U1" s="3571"/>
      <c r="V1" s="3571"/>
      <c r="X1" s="3570" t="s">
        <v>2619</v>
      </c>
      <c r="Y1" s="3571"/>
      <c r="Z1" s="3571"/>
      <c r="AA1" s="3571"/>
      <c r="AB1" s="3571"/>
      <c r="AD1" s="3570" t="s">
        <v>2623</v>
      </c>
      <c r="AE1" s="3571"/>
      <c r="AF1" s="3571"/>
      <c r="AG1" s="3571"/>
      <c r="AH1" s="3571"/>
    </row>
    <row r="2" spans="1:34" s="2859" customFormat="1" ht="14.25" thickBot="1">
      <c r="B2" s="2860" t="s">
        <v>2560</v>
      </c>
      <c r="C2" s="2860" t="s">
        <v>2621</v>
      </c>
      <c r="D2" s="2861" t="s">
        <v>1634</v>
      </c>
      <c r="E2" s="2861" t="s">
        <v>1937</v>
      </c>
      <c r="F2" s="2860" t="s">
        <v>2622</v>
      </c>
      <c r="G2" s="2862"/>
      <c r="I2" s="2860" t="s">
        <v>2921</v>
      </c>
      <c r="J2" s="2861" t="s">
        <v>2923</v>
      </c>
      <c r="K2" s="2861" t="s">
        <v>2924</v>
      </c>
      <c r="L2" s="2860" t="s">
        <v>2925</v>
      </c>
      <c r="N2" s="2860" t="s">
        <v>2560</v>
      </c>
      <c r="O2" s="2861" t="s">
        <v>2922</v>
      </c>
      <c r="P2" s="2861" t="s">
        <v>1937</v>
      </c>
      <c r="Q2" s="2860" t="s">
        <v>2622</v>
      </c>
      <c r="S2" s="2860" t="s">
        <v>2560</v>
      </c>
      <c r="T2" s="2861" t="s">
        <v>2922</v>
      </c>
      <c r="U2" s="2861" t="s">
        <v>1937</v>
      </c>
      <c r="V2" s="2860" t="s">
        <v>2622</v>
      </c>
      <c r="X2" s="2860" t="s">
        <v>2560</v>
      </c>
      <c r="Y2" s="2860" t="s">
        <v>2621</v>
      </c>
      <c r="Z2" s="2861" t="s">
        <v>1634</v>
      </c>
      <c r="AA2" s="2861" t="s">
        <v>1937</v>
      </c>
      <c r="AB2" s="2860" t="s">
        <v>2622</v>
      </c>
      <c r="AD2" s="2860" t="s">
        <v>2560</v>
      </c>
      <c r="AE2" s="2860" t="s">
        <v>2621</v>
      </c>
      <c r="AF2" s="2861" t="s">
        <v>1634</v>
      </c>
      <c r="AG2" s="2861" t="s">
        <v>1937</v>
      </c>
      <c r="AH2" s="2860" t="s">
        <v>2622</v>
      </c>
    </row>
    <row r="3" spans="1:34" s="2869" customFormat="1" ht="14.25">
      <c r="A3" s="2863" t="s">
        <v>2932</v>
      </c>
      <c r="B3" s="2864"/>
      <c r="C3" s="2864"/>
      <c r="D3" s="2865"/>
      <c r="E3" s="2865"/>
      <c r="F3" s="2864"/>
      <c r="G3" s="2866"/>
      <c r="H3" s="2867"/>
      <c r="I3" s="2868">
        <f>ROUND(AVERAGE($I4:$I32),2)</f>
        <v>1.74</v>
      </c>
      <c r="J3" s="2868">
        <f>ROUND(AVERAGE($J4:$J32),2)</f>
        <v>1.1399999999999999</v>
      </c>
      <c r="K3" s="2868">
        <f>ROUND(AVERAGE($K4:$K32),2)</f>
        <v>1.92</v>
      </c>
      <c r="L3" s="2868">
        <f>ROUND(AVERAGE($L4:$L32),2)</f>
        <v>1.23</v>
      </c>
      <c r="N3" s="2866"/>
      <c r="S3" s="2866"/>
      <c r="W3" s="2870"/>
      <c r="X3" s="2871">
        <f>ROUND(SUMPRODUCT(PRODUCT(1+N3:N$31)),4)</f>
        <v>1.571</v>
      </c>
      <c r="Y3" s="2871">
        <f>ROUND(SUMPRODUCT(PRODUCT(1+O3:O$31)),4)</f>
        <v>1.3420000000000001</v>
      </c>
      <c r="Z3" s="2871">
        <f t="shared" ref="Z3:Z29" si="0">Y3</f>
        <v>1.3420000000000001</v>
      </c>
      <c r="AA3" s="2871">
        <f>ROUND(SUMPRODUCT(PRODUCT(1+P3:P$31)),4)</f>
        <v>1.6415999999999999</v>
      </c>
      <c r="AB3" s="2871">
        <f>ROUND(SUMPRODUCT(PRODUCT(1+Q3:Q$31)),4)</f>
        <v>1.389</v>
      </c>
      <c r="AD3" s="2872">
        <f>ROUND(AVERAGE(I3:I$32)/100,4)</f>
        <v>1.7399999999999999E-2</v>
      </c>
      <c r="AE3" s="2872">
        <f>ROUND(AVERAGE(J3:J$32)/100,4)</f>
        <v>1.14E-2</v>
      </c>
      <c r="AF3" s="2872">
        <f t="shared" ref="AF3:AF30" si="1">AE3</f>
        <v>1.14E-2</v>
      </c>
      <c r="AG3" s="2872">
        <f>ROUND(AVERAGE(K3:K$32)/100,4)</f>
        <v>1.9199999999999998E-2</v>
      </c>
      <c r="AH3" s="2872">
        <f>ROUND(AVERAGE(L3:L$32)/100,4)</f>
        <v>1.23E-2</v>
      </c>
    </row>
    <row r="4" spans="1:34" s="2873" customFormat="1" ht="14.25">
      <c r="B4" s="2874"/>
      <c r="C4" s="2874"/>
      <c r="D4" s="2875"/>
      <c r="E4" s="2875"/>
      <c r="F4" s="2874"/>
      <c r="G4" s="2876"/>
      <c r="H4" s="2877"/>
      <c r="I4" s="2878"/>
      <c r="J4" s="2878"/>
      <c r="K4" s="2878"/>
      <c r="L4" s="2878"/>
      <c r="N4" s="2876"/>
      <c r="S4" s="2876"/>
      <c r="W4" s="2879"/>
      <c r="X4" s="2880"/>
      <c r="Y4" s="2880"/>
      <c r="Z4" s="2880"/>
      <c r="AA4" s="2880"/>
      <c r="AB4" s="2880"/>
      <c r="AD4" s="2881"/>
      <c r="AE4" s="2881"/>
      <c r="AF4" s="2881"/>
      <c r="AG4" s="2881"/>
      <c r="AH4" s="2881"/>
    </row>
    <row r="5" spans="1:34" s="2886" customFormat="1">
      <c r="A5" s="2882" t="s">
        <v>3001</v>
      </c>
      <c r="B5" s="2883">
        <f t="shared" ref="B5" si="2">B6*(1+N5)</f>
        <v>483.1434279321756</v>
      </c>
      <c r="C5" s="2883">
        <f t="shared" ref="C5" si="3">C6*(1+O5)</f>
        <v>345.93622669144776</v>
      </c>
      <c r="D5" s="2883">
        <f t="shared" ref="D5" si="4">C5</f>
        <v>345.93622669144776</v>
      </c>
      <c r="E5" s="2883">
        <f t="shared" ref="E5" si="5">E6*(1+P5)</f>
        <v>694.24498562544113</v>
      </c>
      <c r="F5" s="2883">
        <f t="shared" ref="F5" si="6">F6*(1+Q5)</f>
        <v>319.35475932716082</v>
      </c>
      <c r="G5" s="2876">
        <v>2020</v>
      </c>
      <c r="H5" s="2884">
        <v>4</v>
      </c>
      <c r="I5" s="2885">
        <v>0</v>
      </c>
      <c r="J5" s="2885">
        <v>0</v>
      </c>
      <c r="K5" s="2885">
        <v>0</v>
      </c>
      <c r="L5" s="2885">
        <v>0</v>
      </c>
      <c r="N5" s="2887">
        <f t="shared" ref="N5" si="7">I5/100</f>
        <v>0</v>
      </c>
      <c r="O5" s="2887">
        <f t="shared" ref="O5" si="8">J5/100</f>
        <v>0</v>
      </c>
      <c r="P5" s="2887">
        <f t="shared" ref="P5" si="9">K5/100</f>
        <v>0</v>
      </c>
      <c r="Q5" s="2887">
        <f t="shared" ref="Q5" si="10">L5/100</f>
        <v>0</v>
      </c>
      <c r="S5" s="2888"/>
      <c r="W5" s="2889" t="s">
        <v>2933</v>
      </c>
      <c r="X5" s="2890">
        <f>ROUND(IF(项目基本情况!B6="出让",SUMPRODUCT(PRODUCT(1+N5:N$32)),SUMPRODUCT(PRODUCT(1+N5:N$31))),4)</f>
        <v>1.571</v>
      </c>
      <c r="Y5" s="2890">
        <f>ROUND(IF(项目基本情况!B6="出让",SUMPRODUCT(PRODUCT(1+O5:O$32)),SUMPRODUCT(PRODUCT(1+O5:O$31))),4)</f>
        <v>1.3420000000000001</v>
      </c>
      <c r="Z5" s="2890">
        <f t="shared" ref="Z5" si="11">Y5</f>
        <v>1.3420000000000001</v>
      </c>
      <c r="AA5" s="2890">
        <f>ROUND(IF(项目基本情况!B6="出让",SUMPRODUCT(PRODUCT(1+P5:P$32)),SUMPRODUCT(PRODUCT(1+P5:P$31))),4)</f>
        <v>1.6415999999999999</v>
      </c>
      <c r="AB5" s="2890">
        <f>ROUND(IF(项目基本情况!B6="出让",SUMPRODUCT(PRODUCT(1+Q5:Q$32)),SUMPRODUCT(PRODUCT(1+Q5:Q$31))),4)</f>
        <v>1.389</v>
      </c>
      <c r="AD5" s="2891">
        <f>ROUND(AVERAGE(I5:I$32)/100,4)</f>
        <v>1.7399999999999999E-2</v>
      </c>
      <c r="AE5" s="2891">
        <f>ROUND(AVERAGE(J5:J$32)/100,4)</f>
        <v>1.14E-2</v>
      </c>
      <c r="AF5" s="2891">
        <f t="shared" ref="AF5" si="12">AE5</f>
        <v>1.14E-2</v>
      </c>
      <c r="AG5" s="2891">
        <f>ROUND(AVERAGE(K5:K$32)/100,4)</f>
        <v>1.9199999999999998E-2</v>
      </c>
      <c r="AH5" s="2891">
        <f>ROUND(AVERAGE(L5:L$32)/100,4)</f>
        <v>1.23E-2</v>
      </c>
    </row>
    <row r="6" spans="1:34" s="2899" customFormat="1">
      <c r="A6" s="2892" t="s">
        <v>3000</v>
      </c>
      <c r="B6" s="2893">
        <f t="shared" ref="B6" si="13">B7*(1+N6)</f>
        <v>483.1434279321756</v>
      </c>
      <c r="C6" s="2893">
        <f t="shared" ref="C6" si="14">C7*(1+O6)</f>
        <v>345.93622669144776</v>
      </c>
      <c r="D6" s="2893">
        <f t="shared" ref="D6" si="15">C6</f>
        <v>345.93622669144776</v>
      </c>
      <c r="E6" s="2893">
        <f t="shared" ref="E6" si="16">E7*(1+P6)</f>
        <v>694.24498562544113</v>
      </c>
      <c r="F6" s="2893">
        <f t="shared" ref="F6" si="17">F7*(1+Q6)</f>
        <v>319.35475932716082</v>
      </c>
      <c r="G6" s="2876">
        <v>2020</v>
      </c>
      <c r="H6" s="2894">
        <v>3</v>
      </c>
      <c r="I6" s="2856">
        <v>0.36</v>
      </c>
      <c r="J6" s="2856">
        <v>-0.39</v>
      </c>
      <c r="K6" s="2856">
        <v>0.49</v>
      </c>
      <c r="L6" s="2857">
        <v>7.0000000000000007E-2</v>
      </c>
      <c r="M6" s="2880"/>
      <c r="N6" s="2895">
        <f t="shared" ref="N6" si="18">I6/100</f>
        <v>3.5999999999999999E-3</v>
      </c>
      <c r="O6" s="2881">
        <f t="shared" ref="O6" si="19">J6/100</f>
        <v>-3.9000000000000003E-3</v>
      </c>
      <c r="P6" s="2881">
        <f t="shared" ref="P6" si="20">K6/100</f>
        <v>4.8999999999999998E-3</v>
      </c>
      <c r="Q6" s="2881">
        <f t="shared" ref="Q6" si="21">L6/100</f>
        <v>7.000000000000001E-4</v>
      </c>
      <c r="R6" s="2896"/>
      <c r="S6" s="2897"/>
      <c r="T6" s="2898"/>
      <c r="U6" s="2898"/>
      <c r="V6" s="2898"/>
      <c r="W6" s="2880"/>
      <c r="X6" s="2880">
        <f>ROUND(IF(项目基本情况!B7="出让",SUMPRODUCT(PRODUCT(1+N6:N$32)),SUMPRODUCT(PRODUCT(1+N6:N$31))),4)</f>
        <v>1.571</v>
      </c>
      <c r="Y6" s="2880">
        <f>ROUND(IF(项目基本情况!B7="出让",SUMPRODUCT(PRODUCT(1+O6:O$32)),SUMPRODUCT(PRODUCT(1+O6:O$31))),4)</f>
        <v>1.3420000000000001</v>
      </c>
      <c r="Z6" s="2880">
        <f t="shared" ref="Z6" si="22">Y6</f>
        <v>1.3420000000000001</v>
      </c>
      <c r="AA6" s="2880">
        <f>ROUND(IF(项目基本情况!B7="出让",SUMPRODUCT(PRODUCT(1+P6:P$32)),SUMPRODUCT(PRODUCT(1+P6:P$31))),4)</f>
        <v>1.6415999999999999</v>
      </c>
      <c r="AB6" s="2880">
        <f>ROUND(IF(项目基本情况!B7="出让",SUMPRODUCT(PRODUCT(1+Q6:Q$32)),SUMPRODUCT(PRODUCT(1+Q6:Q$31))),4)</f>
        <v>1.389</v>
      </c>
      <c r="AC6" s="2880"/>
      <c r="AD6" s="2881">
        <f>ROUND(AVERAGE(I6:I$32)/100,4)</f>
        <v>1.8100000000000002E-2</v>
      </c>
      <c r="AE6" s="2881">
        <f>ROUND(AVERAGE(J6:J$32)/100,4)</f>
        <v>1.1900000000000001E-2</v>
      </c>
      <c r="AF6" s="2881">
        <f t="shared" ref="AF6" si="23">AE6</f>
        <v>1.1900000000000001E-2</v>
      </c>
      <c r="AG6" s="2881">
        <f>ROUND(AVERAGE(K6:K$32)/100,4)</f>
        <v>1.9900000000000001E-2</v>
      </c>
      <c r="AH6" s="2881">
        <f>ROUND(AVERAGE(L6:L$32)/100,4)</f>
        <v>1.2800000000000001E-2</v>
      </c>
    </row>
    <row r="7" spans="1:34" s="2899" customFormat="1">
      <c r="A7" s="2892" t="s">
        <v>2962</v>
      </c>
      <c r="B7" s="2893">
        <f t="shared" ref="B7" si="24">B8*(1+N7)</f>
        <v>481.4103506697644</v>
      </c>
      <c r="C7" s="2893">
        <f t="shared" ref="C7" si="25">C8*(1+O7)</f>
        <v>347.29066026648707</v>
      </c>
      <c r="D7" s="2893">
        <f t="shared" ref="D7" si="26">C7</f>
        <v>347.29066026648707</v>
      </c>
      <c r="E7" s="2893">
        <f t="shared" ref="E7" si="27">E8*(1+P7)</f>
        <v>690.85977273901995</v>
      </c>
      <c r="F7" s="2893">
        <f t="shared" ref="F7" si="28">F8*(1+Q7)</f>
        <v>319.13136737000184</v>
      </c>
      <c r="G7" s="2876">
        <v>2020</v>
      </c>
      <c r="H7" s="2894">
        <v>2</v>
      </c>
      <c r="I7" s="2856">
        <v>0.31</v>
      </c>
      <c r="J7" s="2856">
        <v>-0.78</v>
      </c>
      <c r="K7" s="2856">
        <v>0.5</v>
      </c>
      <c r="L7" s="2857">
        <v>0.47</v>
      </c>
      <c r="M7" s="2880"/>
      <c r="N7" s="2895">
        <f t="shared" ref="N7" si="29">I7/100</f>
        <v>3.0999999999999999E-3</v>
      </c>
      <c r="O7" s="2881">
        <f t="shared" ref="O7" si="30">J7/100</f>
        <v>-7.8000000000000005E-3</v>
      </c>
      <c r="P7" s="2881">
        <f t="shared" ref="P7" si="31">K7/100</f>
        <v>5.0000000000000001E-3</v>
      </c>
      <c r="Q7" s="2881">
        <f t="shared" ref="Q7" si="32">L7/100</f>
        <v>4.6999999999999993E-3</v>
      </c>
      <c r="R7" s="2896"/>
      <c r="S7" s="2897"/>
      <c r="T7" s="2898"/>
      <c r="U7" s="2898"/>
      <c r="V7" s="2898"/>
      <c r="W7" s="2880"/>
      <c r="X7" s="2880">
        <f>ROUND(IF(项目基本情况!B8="出让",SUMPRODUCT(PRODUCT(1+N7:N$32)),SUMPRODUCT(PRODUCT(1+N7:N$31))),4)</f>
        <v>1.5652999999999999</v>
      </c>
      <c r="Y7" s="2880">
        <f>ROUND(IF(项目基本情况!B8="出让",SUMPRODUCT(PRODUCT(1+O7:O$32)),SUMPRODUCT(PRODUCT(1+O7:O$31))),4)</f>
        <v>1.3472</v>
      </c>
      <c r="Z7" s="2880">
        <f t="shared" ref="Z7" si="33">Y7</f>
        <v>1.3472</v>
      </c>
      <c r="AA7" s="2880">
        <f>ROUND(IF(项目基本情况!B8="出让",SUMPRODUCT(PRODUCT(1+P7:P$32)),SUMPRODUCT(PRODUCT(1+P7:P$31))),4)</f>
        <v>1.6335999999999999</v>
      </c>
      <c r="AB7" s="2880">
        <f>ROUND(IF(项目基本情况!B8="出让",SUMPRODUCT(PRODUCT(1+Q7:Q$32)),SUMPRODUCT(PRODUCT(1+Q7:Q$31))),4)</f>
        <v>1.3880999999999999</v>
      </c>
      <c r="AC7" s="2880"/>
      <c r="AD7" s="2881">
        <f>ROUND(AVERAGE(I7:I$32)/100,4)</f>
        <v>1.8599999999999998E-2</v>
      </c>
      <c r="AE7" s="2881">
        <f>ROUND(AVERAGE(J7:J$32)/100,4)</f>
        <v>1.2500000000000001E-2</v>
      </c>
      <c r="AF7" s="2881">
        <f t="shared" ref="AF7" si="34">AE7</f>
        <v>1.2500000000000001E-2</v>
      </c>
      <c r="AG7" s="2881">
        <f>ROUND(AVERAGE(K7:K$32)/100,4)</f>
        <v>2.0400000000000001E-2</v>
      </c>
      <c r="AH7" s="2881">
        <f>ROUND(AVERAGE(L7:L$32)/100,4)</f>
        <v>1.32E-2</v>
      </c>
    </row>
    <row r="8" spans="1:34" s="2899" customFormat="1">
      <c r="A8" s="2892" t="s">
        <v>2960</v>
      </c>
      <c r="B8" s="2893">
        <f t="shared" ref="B8" si="35">B9*(1+N8)</f>
        <v>479.92259063878413</v>
      </c>
      <c r="C8" s="2893">
        <f t="shared" ref="C8" si="36">C9*(1+O8)</f>
        <v>350.02082268341775</v>
      </c>
      <c r="D8" s="2893">
        <f t="shared" ref="D8" si="37">C8</f>
        <v>350.02082268341775</v>
      </c>
      <c r="E8" s="2893">
        <f t="shared" ref="E8" si="38">E9*(1+P8)</f>
        <v>687.42265944181099</v>
      </c>
      <c r="F8" s="2893">
        <f t="shared" ref="F8" si="39">F9*(1+Q8)</f>
        <v>317.63846657708956</v>
      </c>
      <c r="G8" s="2876">
        <v>2020</v>
      </c>
      <c r="H8" s="2894">
        <v>1</v>
      </c>
      <c r="I8" s="2856">
        <v>0.12</v>
      </c>
      <c r="J8" s="2856">
        <v>-0.4</v>
      </c>
      <c r="K8" s="2856">
        <v>0.21</v>
      </c>
      <c r="L8" s="2857">
        <v>0.27</v>
      </c>
      <c r="M8" s="2880"/>
      <c r="N8" s="2895">
        <f t="shared" ref="N8" si="40">I8/100</f>
        <v>1.1999999999999999E-3</v>
      </c>
      <c r="O8" s="2881">
        <f t="shared" ref="O8" si="41">J8/100</f>
        <v>-4.0000000000000001E-3</v>
      </c>
      <c r="P8" s="2881">
        <f t="shared" ref="P8" si="42">K8/100</f>
        <v>2.0999999999999999E-3</v>
      </c>
      <c r="Q8" s="2881">
        <f t="shared" ref="Q8" si="43">L8/100</f>
        <v>2.7000000000000001E-3</v>
      </c>
      <c r="R8" s="2896"/>
      <c r="S8" s="2897">
        <f>B8/B9-1</f>
        <v>1.2000000000000899E-3</v>
      </c>
      <c r="T8" s="2898">
        <f>C8/C9-1</f>
        <v>-4.0000000000000036E-3</v>
      </c>
      <c r="U8" s="2898">
        <f>E8/E9-1</f>
        <v>2.0999999999999908E-3</v>
      </c>
      <c r="V8" s="2898">
        <f>F8/F9-1</f>
        <v>2.6999999999999247E-3</v>
      </c>
      <c r="W8" s="2880"/>
      <c r="X8" s="2880">
        <f>ROUND(IF(项目基本情况!B8="出让",SUMPRODUCT(PRODUCT(1+N8:N$32)),SUMPRODUCT(PRODUCT(1+N8:N$31))),4)</f>
        <v>1.5605</v>
      </c>
      <c r="Y8" s="2880">
        <f>ROUND(IF(项目基本情况!B8="出让",SUMPRODUCT(PRODUCT(1+O8:O$32)),SUMPRODUCT(PRODUCT(1+O8:O$31))),4)</f>
        <v>1.3577999999999999</v>
      </c>
      <c r="Z8" s="2880">
        <f t="shared" ref="Z8" si="44">Y8</f>
        <v>1.3577999999999999</v>
      </c>
      <c r="AA8" s="2880">
        <f>ROUND(IF(项目基本情况!B8="出让",SUMPRODUCT(PRODUCT(1+P8:P$32)),SUMPRODUCT(PRODUCT(1+P8:P$31))),4)</f>
        <v>1.6254999999999999</v>
      </c>
      <c r="AB8" s="2880">
        <f>ROUND(IF(项目基本情况!B8="出让",SUMPRODUCT(PRODUCT(1+Q8:Q$32)),SUMPRODUCT(PRODUCT(1+Q8:Q$31))),4)</f>
        <v>1.3815999999999999</v>
      </c>
      <c r="AC8" s="2880"/>
      <c r="AD8" s="2881">
        <f>ROUND(AVERAGE(I8:I$32)/100,4)</f>
        <v>1.9199999999999998E-2</v>
      </c>
      <c r="AE8" s="2881">
        <f>ROUND(AVERAGE(J8:J$32)/100,4)</f>
        <v>1.3299999999999999E-2</v>
      </c>
      <c r="AF8" s="2881">
        <f t="shared" ref="AF8" si="45">AE8</f>
        <v>1.3299999999999999E-2</v>
      </c>
      <c r="AG8" s="2881">
        <f>ROUND(AVERAGE(K8:K$32)/100,4)</f>
        <v>2.1100000000000001E-2</v>
      </c>
      <c r="AH8" s="2881">
        <f>ROUND(AVERAGE(L8:L$32)/100,4)</f>
        <v>1.3599999999999999E-2</v>
      </c>
    </row>
    <row r="9" spans="1:34" s="2899" customFormat="1">
      <c r="A9" s="2892" t="s">
        <v>2957</v>
      </c>
      <c r="B9" s="2893">
        <f t="shared" ref="B9" si="46">B10*(1+N9)</f>
        <v>479.34737379023579</v>
      </c>
      <c r="C9" s="2893">
        <f t="shared" ref="C9" si="47">C10*(1+O9)</f>
        <v>351.4265287986122</v>
      </c>
      <c r="D9" s="2893">
        <f t="shared" ref="D9" si="48">C9</f>
        <v>351.4265287986122</v>
      </c>
      <c r="E9" s="2893">
        <f t="shared" ref="E9" si="49">E10*(1+P9)</f>
        <v>685.98209703803116</v>
      </c>
      <c r="F9" s="2893">
        <f t="shared" ref="F9" si="50">F10*(1+Q9)</f>
        <v>316.78315206651001</v>
      </c>
      <c r="G9" s="2876">
        <v>2019</v>
      </c>
      <c r="H9" s="2894">
        <v>4</v>
      </c>
      <c r="I9" s="2894">
        <v>0.45</v>
      </c>
      <c r="J9" s="2894">
        <v>-0.12</v>
      </c>
      <c r="K9" s="2894">
        <v>0.54</v>
      </c>
      <c r="L9" s="2900">
        <v>0.48</v>
      </c>
      <c r="M9" s="2880"/>
      <c r="N9" s="2895">
        <f t="shared" ref="N9" si="51">I9/100</f>
        <v>4.5000000000000005E-3</v>
      </c>
      <c r="O9" s="2881">
        <f t="shared" ref="O9" si="52">J9/100</f>
        <v>-1.1999999999999999E-3</v>
      </c>
      <c r="P9" s="2881">
        <f t="shared" ref="P9" si="53">K9/100</f>
        <v>5.4000000000000003E-3</v>
      </c>
      <c r="Q9" s="2881">
        <f t="shared" ref="Q9" si="54">L9/100</f>
        <v>4.7999999999999996E-3</v>
      </c>
      <c r="R9" s="2896"/>
      <c r="S9" s="2897"/>
      <c r="T9" s="2898"/>
      <c r="U9" s="2898"/>
      <c r="V9" s="2898"/>
      <c r="W9" s="2880"/>
      <c r="X9" s="2880">
        <f>ROUND(IF(项目基本情况!B8="出让",SUMPRODUCT(PRODUCT(1+N9:N$32)),SUMPRODUCT(PRODUCT(1+N9:N$31))),4)</f>
        <v>1.5586</v>
      </c>
      <c r="Y9" s="2880">
        <f>ROUND(IF(项目基本情况!B8="出让",SUMPRODUCT(PRODUCT(1+O9:O$32)),SUMPRODUCT(PRODUCT(1+O9:O$31))),4)</f>
        <v>1.3633</v>
      </c>
      <c r="Z9" s="2880">
        <f t="shared" ref="Z9" si="55">Y9</f>
        <v>1.3633</v>
      </c>
      <c r="AA9" s="2880">
        <f>ROUND(IF(项目基本情况!B8="出让",SUMPRODUCT(PRODUCT(1+P9:P$32)),SUMPRODUCT(PRODUCT(1+P9:P$31))),4)</f>
        <v>1.6221000000000001</v>
      </c>
      <c r="AB9" s="2880">
        <f>ROUND(IF(项目基本情况!B8="出让",SUMPRODUCT(PRODUCT(1+Q9:Q$32)),SUMPRODUCT(PRODUCT(1+Q9:Q$31))),4)</f>
        <v>1.3777999999999999</v>
      </c>
      <c r="AC9" s="2880"/>
      <c r="AD9" s="2881">
        <f>ROUND(AVERAGE(I9:I$32)/100,4)</f>
        <v>0.02</v>
      </c>
      <c r="AE9" s="2881">
        <f>ROUND(AVERAGE(J9:J$32)/100,4)</f>
        <v>1.4E-2</v>
      </c>
      <c r="AF9" s="2881">
        <f t="shared" ref="AF9" si="56">AE9</f>
        <v>1.4E-2</v>
      </c>
      <c r="AG9" s="2881">
        <f>ROUND(AVERAGE(K9:K$32)/100,4)</f>
        <v>2.1899999999999999E-2</v>
      </c>
      <c r="AH9" s="2881">
        <f>ROUND(AVERAGE(L9:L$32)/100,4)</f>
        <v>1.4E-2</v>
      </c>
    </row>
    <row r="10" spans="1:34" s="2899" customFormat="1" ht="13.5" thickBot="1">
      <c r="A10" s="2892" t="s">
        <v>2956</v>
      </c>
      <c r="B10" s="2893">
        <f t="shared" ref="B10" si="57">B11*(1+N10)</f>
        <v>477.19997390765138</v>
      </c>
      <c r="C10" s="2893">
        <f t="shared" ref="C10" si="58">C11*(1+O10)</f>
        <v>351.84874729536665</v>
      </c>
      <c r="D10" s="2893">
        <f t="shared" ref="D10" si="59">C10</f>
        <v>351.84874729536665</v>
      </c>
      <c r="E10" s="2893">
        <f t="shared" ref="E10" si="60">E11*(1+P10)</f>
        <v>682.29768951465201</v>
      </c>
      <c r="F10" s="2893">
        <f t="shared" ref="F10" si="61">F11*(1+Q10)</f>
        <v>315.26985675409043</v>
      </c>
      <c r="G10" s="2876">
        <v>2019</v>
      </c>
      <c r="H10" s="2894">
        <v>3</v>
      </c>
      <c r="I10" s="2894">
        <v>0.61</v>
      </c>
      <c r="J10" s="2894">
        <v>0.67</v>
      </c>
      <c r="K10" s="2894">
        <v>0.6</v>
      </c>
      <c r="L10" s="2900">
        <v>1.03</v>
      </c>
      <c r="M10" s="2880"/>
      <c r="N10" s="2895">
        <f t="shared" ref="N10" si="62">I10/100</f>
        <v>6.0999999999999995E-3</v>
      </c>
      <c r="O10" s="2881">
        <f t="shared" ref="O10" si="63">J10/100</f>
        <v>6.7000000000000002E-3</v>
      </c>
      <c r="P10" s="2881">
        <f t="shared" ref="P10" si="64">K10/100</f>
        <v>6.0000000000000001E-3</v>
      </c>
      <c r="Q10" s="2881">
        <f t="shared" ref="Q10" si="65">L10/100</f>
        <v>1.03E-2</v>
      </c>
      <c r="R10" s="2896"/>
      <c r="S10" s="2897"/>
      <c r="T10" s="2898"/>
      <c r="U10" s="2898"/>
      <c r="V10" s="2898"/>
      <c r="W10" s="2880"/>
      <c r="X10" s="2880">
        <f>ROUND(IF(项目基本情况!B8="出让",SUMPRODUCT(PRODUCT(1+N10:N$32)),SUMPRODUCT(PRODUCT(1+N10:N$31))),4)</f>
        <v>1.5516000000000001</v>
      </c>
      <c r="Y10" s="2880">
        <f>ROUND(IF(项目基本情况!B8="出让",SUMPRODUCT(PRODUCT(1+O10:O$32)),SUMPRODUCT(PRODUCT(1+O10:O$31))),4)</f>
        <v>1.3649</v>
      </c>
      <c r="Z10" s="2880">
        <f t="shared" ref="Z10" si="66">Y10</f>
        <v>1.3649</v>
      </c>
      <c r="AA10" s="2880">
        <f>ROUND(IF(项目基本情况!B8="出让",SUMPRODUCT(PRODUCT(1+P10:P$32)),SUMPRODUCT(PRODUCT(1+P10:P$31))),4)</f>
        <v>1.6133999999999999</v>
      </c>
      <c r="AB10" s="2880">
        <f>ROUND(IF(项目基本情况!B8="出让",SUMPRODUCT(PRODUCT(1+Q10:Q$32)),SUMPRODUCT(PRODUCT(1+Q10:Q$31))),4)</f>
        <v>1.3713</v>
      </c>
      <c r="AC10" s="2880"/>
      <c r="AD10" s="2881">
        <f>ROUND(AVERAGE(I10:I$32)/100,4)</f>
        <v>2.07E-2</v>
      </c>
      <c r="AE10" s="2881">
        <f>ROUND(AVERAGE(J10:J$32)/100,4)</f>
        <v>1.47E-2</v>
      </c>
      <c r="AF10" s="2881">
        <f t="shared" ref="AF10" si="67">AE10</f>
        <v>1.47E-2</v>
      </c>
      <c r="AG10" s="2881">
        <f>ROUND(AVERAGE(K10:K$32)/100,4)</f>
        <v>2.2599999999999999E-2</v>
      </c>
      <c r="AH10" s="2881">
        <f>ROUND(AVERAGE(L10:L$32)/100,4)</f>
        <v>1.44E-2</v>
      </c>
    </row>
    <row r="11" spans="1:34" s="2899" customFormat="1">
      <c r="A11" s="2892" t="s">
        <v>2953</v>
      </c>
      <c r="B11" s="2893">
        <f t="shared" ref="B11:B16" si="68">B12*(1+N11)</f>
        <v>474.30670301923408</v>
      </c>
      <c r="C11" s="2893">
        <f t="shared" ref="C11" si="69">C12*(1+O11)</f>
        <v>349.50705005996491</v>
      </c>
      <c r="D11" s="2893">
        <f t="shared" ref="D11" si="70">C11</f>
        <v>349.50705005996491</v>
      </c>
      <c r="E11" s="2893">
        <f t="shared" ref="E11" si="71">E12*(1+P11)</f>
        <v>678.22831959706957</v>
      </c>
      <c r="F11" s="2893">
        <f t="shared" ref="F11" si="72">F12*(1+Q11)</f>
        <v>312.0556832169558</v>
      </c>
      <c r="G11" s="2876">
        <v>2019</v>
      </c>
      <c r="H11" s="2901">
        <v>2</v>
      </c>
      <c r="I11" s="2901">
        <v>1.53</v>
      </c>
      <c r="J11" s="2901">
        <v>1.01</v>
      </c>
      <c r="K11" s="2901">
        <v>1.62</v>
      </c>
      <c r="L11" s="2902">
        <v>1.25</v>
      </c>
      <c r="M11" s="2880"/>
      <c r="N11" s="2895">
        <f t="shared" ref="N11" si="73">I11/100</f>
        <v>1.5300000000000001E-2</v>
      </c>
      <c r="O11" s="2881">
        <f t="shared" ref="O11" si="74">J11/100</f>
        <v>1.01E-2</v>
      </c>
      <c r="P11" s="2881">
        <f t="shared" ref="P11" si="75">K11/100</f>
        <v>1.6200000000000003E-2</v>
      </c>
      <c r="Q11" s="2881">
        <f t="shared" ref="Q11" si="76">L11/100</f>
        <v>1.2500000000000001E-2</v>
      </c>
      <c r="R11" s="2896"/>
      <c r="S11" s="2897"/>
      <c r="T11" s="2898"/>
      <c r="U11" s="2898"/>
      <c r="V11" s="2898"/>
      <c r="W11" s="2880"/>
      <c r="X11" s="2880">
        <f>ROUND(IF(项目基本情况!B8="出让",SUMPRODUCT(PRODUCT(1+N11:N$32)),SUMPRODUCT(PRODUCT(1+N11:N$31))),4)</f>
        <v>1.5422</v>
      </c>
      <c r="Y11" s="2880">
        <f>ROUND(IF(项目基本情况!B8="出让",SUMPRODUCT(PRODUCT(1+O11:O$32)),SUMPRODUCT(PRODUCT(1+O11:O$31))),4)</f>
        <v>1.3557999999999999</v>
      </c>
      <c r="Z11" s="2880">
        <f t="shared" ref="Z11" si="77">Y11</f>
        <v>1.3557999999999999</v>
      </c>
      <c r="AA11" s="2880">
        <f>ROUND(IF(项目基本情况!B8="出让",SUMPRODUCT(PRODUCT(1+P11:P$32)),SUMPRODUCT(PRODUCT(1+P11:P$31))),4)</f>
        <v>1.6036999999999999</v>
      </c>
      <c r="AB11" s="2880">
        <f>ROUND(IF(项目基本情况!B8="出让",SUMPRODUCT(PRODUCT(1+Q11:Q$32)),SUMPRODUCT(PRODUCT(1+Q11:Q$31))),4)</f>
        <v>1.3573</v>
      </c>
      <c r="AC11" s="2880"/>
      <c r="AD11" s="2881">
        <f>ROUND(AVERAGE(I11:I$32)/100,4)</f>
        <v>2.1299999999999999E-2</v>
      </c>
      <c r="AE11" s="2881">
        <f>ROUND(AVERAGE(J11:J$32)/100,4)</f>
        <v>1.4999999999999999E-2</v>
      </c>
      <c r="AF11" s="2881">
        <f t="shared" ref="AF11" si="78">AE11</f>
        <v>1.4999999999999999E-2</v>
      </c>
      <c r="AG11" s="2881">
        <f>ROUND(AVERAGE(K11:K$32)/100,4)</f>
        <v>2.3300000000000001E-2</v>
      </c>
      <c r="AH11" s="2881">
        <f>ROUND(AVERAGE(L11:L$32)/100,4)</f>
        <v>1.46E-2</v>
      </c>
    </row>
    <row r="12" spans="1:34" s="2899" customFormat="1" ht="13.5" thickBot="1">
      <c r="A12" s="2892" t="s">
        <v>2952</v>
      </c>
      <c r="B12" s="2893">
        <f t="shared" si="68"/>
        <v>467.15916775261894</v>
      </c>
      <c r="C12" s="2893">
        <f t="shared" ref="C12" si="79">C13*(1+O12)</f>
        <v>346.01232557169084</v>
      </c>
      <c r="D12" s="2893">
        <f t="shared" ref="D12" si="80">C12</f>
        <v>346.01232557169084</v>
      </c>
      <c r="E12" s="2893">
        <f t="shared" ref="E12" si="81">E13*(1+P12)</f>
        <v>667.41617752122568</v>
      </c>
      <c r="F12" s="2893">
        <f t="shared" ref="F12" si="82">F13*(1+Q12)</f>
        <v>308.20314391798104</v>
      </c>
      <c r="G12" s="2876">
        <v>2019</v>
      </c>
      <c r="H12" s="2894">
        <v>1</v>
      </c>
      <c r="I12" s="2894">
        <v>0.6</v>
      </c>
      <c r="J12" s="2894">
        <v>0.37</v>
      </c>
      <c r="K12" s="2894">
        <v>0.63</v>
      </c>
      <c r="L12" s="2900">
        <v>1.1299999999999999</v>
      </c>
      <c r="M12" s="2880"/>
      <c r="N12" s="2895">
        <f t="shared" ref="N12" si="83">I12/100</f>
        <v>6.0000000000000001E-3</v>
      </c>
      <c r="O12" s="2881">
        <f t="shared" ref="O12" si="84">J12/100</f>
        <v>3.7000000000000002E-3</v>
      </c>
      <c r="P12" s="2881">
        <f t="shared" ref="P12" si="85">K12/100</f>
        <v>6.3E-3</v>
      </c>
      <c r="Q12" s="2881">
        <f t="shared" ref="Q12" si="86">L12/100</f>
        <v>1.1299999999999999E-2</v>
      </c>
      <c r="R12" s="2896"/>
      <c r="S12" s="2897">
        <f>B12/B13-1</f>
        <v>6.0000000000000053E-3</v>
      </c>
      <c r="T12" s="2898">
        <f>C12/C13-1</f>
        <v>3.7000000000000366E-3</v>
      </c>
      <c r="U12" s="2898">
        <f>E12/E13-1</f>
        <v>6.2999999999999723E-3</v>
      </c>
      <c r="V12" s="2898">
        <f>F12/F13-1</f>
        <v>1.1300000000000088E-2</v>
      </c>
      <c r="W12" s="2880"/>
      <c r="X12" s="2880">
        <f>ROUND(IF(项目基本情况!B8="出让",SUMPRODUCT(PRODUCT(1+N12:N$32)),SUMPRODUCT(PRODUCT(1+N12:N$31))),4)</f>
        <v>1.5189999999999999</v>
      </c>
      <c r="Y12" s="2880">
        <f>ROUND(IF(项目基本情况!B8="出让",SUMPRODUCT(PRODUCT(1+O12:O$32)),SUMPRODUCT(PRODUCT(1+O12:O$31))),4)</f>
        <v>1.3423</v>
      </c>
      <c r="Z12" s="2880">
        <f t="shared" ref="Z12" si="87">Y12</f>
        <v>1.3423</v>
      </c>
      <c r="AA12" s="2880">
        <f>ROUND(IF(项目基本情况!B8="出让",SUMPRODUCT(PRODUCT(1+P12:P$32)),SUMPRODUCT(PRODUCT(1+P12:P$31))),4)</f>
        <v>1.5782</v>
      </c>
      <c r="AB12" s="2880">
        <f>ROUND(IF(项目基本情况!B8="出让",SUMPRODUCT(PRODUCT(1+Q12:Q$32)),SUMPRODUCT(PRODUCT(1+Q12:Q$31))),4)</f>
        <v>1.3405</v>
      </c>
      <c r="AC12" s="2880"/>
      <c r="AD12" s="2881">
        <f>ROUND(AVERAGE(I12:I$32)/100,4)</f>
        <v>2.1600000000000001E-2</v>
      </c>
      <c r="AE12" s="2881">
        <f>ROUND(AVERAGE(J12:J$32)/100,4)</f>
        <v>1.5299999999999999E-2</v>
      </c>
      <c r="AF12" s="2881">
        <f t="shared" ref="AF12" si="88">AE12</f>
        <v>1.5299999999999999E-2</v>
      </c>
      <c r="AG12" s="2881">
        <f>ROUND(AVERAGE(K12:K$32)/100,4)</f>
        <v>2.3699999999999999E-2</v>
      </c>
      <c r="AH12" s="2881">
        <f>ROUND(AVERAGE(L12:L$32)/100,4)</f>
        <v>1.47E-2</v>
      </c>
    </row>
    <row r="13" spans="1:34" s="2899" customFormat="1">
      <c r="A13" s="2892" t="s">
        <v>2949</v>
      </c>
      <c r="B13" s="2903">
        <f t="shared" si="68"/>
        <v>464.37293017158942</v>
      </c>
      <c r="C13" s="2903">
        <f t="shared" ref="C13" si="89">C14*(1+O13)</f>
        <v>344.73679941385956</v>
      </c>
      <c r="D13" s="2903">
        <f t="shared" ref="D13" si="90">C13</f>
        <v>344.73679941385956</v>
      </c>
      <c r="E13" s="2903">
        <f t="shared" ref="E13" si="91">E14*(1+P13)</f>
        <v>663.2377795103107</v>
      </c>
      <c r="F13" s="2904">
        <f t="shared" ref="F13" si="92">F14*(1+Q13)</f>
        <v>304.75936311478398</v>
      </c>
      <c r="G13" s="3574">
        <v>2018</v>
      </c>
      <c r="H13" s="2901">
        <v>4</v>
      </c>
      <c r="I13" s="2901">
        <v>0.96</v>
      </c>
      <c r="J13" s="2901">
        <v>1.03</v>
      </c>
      <c r="K13" s="2901">
        <v>0.92</v>
      </c>
      <c r="L13" s="2902">
        <v>1.29</v>
      </c>
      <c r="M13" s="2880"/>
      <c r="N13" s="2895">
        <f t="shared" ref="N13" si="93">I13/100</f>
        <v>9.5999999999999992E-3</v>
      </c>
      <c r="O13" s="2881">
        <f t="shared" ref="O13" si="94">J13/100</f>
        <v>1.03E-2</v>
      </c>
      <c r="P13" s="2881">
        <f t="shared" ref="P13" si="95">K13/100</f>
        <v>9.1999999999999998E-3</v>
      </c>
      <c r="Q13" s="2881">
        <f t="shared" ref="Q13" si="96">L13/100</f>
        <v>1.29E-2</v>
      </c>
      <c r="R13" s="2896"/>
      <c r="S13" s="2905"/>
      <c r="T13" s="2906"/>
      <c r="U13" s="2906"/>
      <c r="V13" s="2906"/>
      <c r="W13" s="2880"/>
      <c r="X13" s="2880">
        <f>ROUND(SUMPRODUCT(PRODUCT(1+N13:N$31)),4)</f>
        <v>1.5099</v>
      </c>
      <c r="Y13" s="2880">
        <f>ROUND(SUMPRODUCT(PRODUCT(1+O13:O$31)),4)</f>
        <v>1.3372999999999999</v>
      </c>
      <c r="Z13" s="2880">
        <f t="shared" ref="Z13" si="97">Y13</f>
        <v>1.3372999999999999</v>
      </c>
      <c r="AA13" s="2880">
        <f>ROUND(SUMPRODUCT(PRODUCT(1+P13:P$31)),4)</f>
        <v>1.5683</v>
      </c>
      <c r="AB13" s="2880">
        <f>ROUND(SUMPRODUCT(PRODUCT(1+Q13:Q$31)),4)</f>
        <v>1.3255999999999999</v>
      </c>
      <c r="AC13" s="2880"/>
      <c r="AD13" s="2881">
        <f>ROUND(AVERAGE(I13:I$32)/100,4)</f>
        <v>2.24E-2</v>
      </c>
      <c r="AE13" s="2881">
        <f>ROUND(AVERAGE(J13:J$32)/100,4)</f>
        <v>1.5800000000000002E-2</v>
      </c>
      <c r="AF13" s="2881">
        <f t="shared" ref="AF13" si="98">AE13</f>
        <v>1.5800000000000002E-2</v>
      </c>
      <c r="AG13" s="2881">
        <f>ROUND(AVERAGE(K13:K$32)/100,4)</f>
        <v>2.4500000000000001E-2</v>
      </c>
      <c r="AH13" s="2881">
        <f>ROUND(AVERAGE(L13:L$32)/100,4)</f>
        <v>1.49E-2</v>
      </c>
    </row>
    <row r="14" spans="1:34" s="2899" customFormat="1" ht="14.45" customHeight="1">
      <c r="A14" s="2892" t="s">
        <v>2942</v>
      </c>
      <c r="B14" s="2893">
        <f t="shared" si="68"/>
        <v>459.95733971036987</v>
      </c>
      <c r="C14" s="2893">
        <f t="shared" ref="C14" si="99">C15*(1+O14)</f>
        <v>341.22221064422405</v>
      </c>
      <c r="D14" s="2893">
        <f t="shared" ref="D14" si="100">C14</f>
        <v>341.22221064422405</v>
      </c>
      <c r="E14" s="2893">
        <f t="shared" ref="E14" si="101">E15*(1+P14)</f>
        <v>657.19161663724799</v>
      </c>
      <c r="F14" s="2893">
        <f t="shared" ref="F14" si="102">F15*(1+Q14)</f>
        <v>300.87803644464805</v>
      </c>
      <c r="G14" s="3574"/>
      <c r="H14" s="2894">
        <v>3</v>
      </c>
      <c r="I14" s="2894">
        <v>1.51</v>
      </c>
      <c r="J14" s="2894">
        <v>1.41</v>
      </c>
      <c r="K14" s="2894">
        <v>1.52</v>
      </c>
      <c r="L14" s="2900">
        <v>1.74</v>
      </c>
      <c r="M14" s="2880"/>
      <c r="N14" s="2895">
        <f t="shared" ref="N14" si="103">I14/100</f>
        <v>1.5100000000000001E-2</v>
      </c>
      <c r="O14" s="2881">
        <f t="shared" ref="O14" si="104">J14/100</f>
        <v>1.41E-2</v>
      </c>
      <c r="P14" s="2881">
        <f t="shared" ref="P14" si="105">K14/100</f>
        <v>1.52E-2</v>
      </c>
      <c r="Q14" s="2881">
        <f t="shared" ref="Q14" si="106">L14/100</f>
        <v>1.7399999999999999E-2</v>
      </c>
      <c r="R14" s="2896"/>
      <c r="S14" s="2895"/>
      <c r="T14" s="2881"/>
      <c r="U14" s="2881"/>
      <c r="V14" s="2881"/>
      <c r="W14" s="2880"/>
      <c r="X14" s="2880">
        <f>ROUND(SUMPRODUCT(PRODUCT(1+N14:N$31)),4)</f>
        <v>1.4956</v>
      </c>
      <c r="Y14" s="2880">
        <f>ROUND(SUMPRODUCT(PRODUCT(1+O14:O$31)),4)</f>
        <v>1.3237000000000001</v>
      </c>
      <c r="Z14" s="2880">
        <f t="shared" ref="Z14" si="107">Y14</f>
        <v>1.3237000000000001</v>
      </c>
      <c r="AA14" s="2880">
        <f>ROUND(SUMPRODUCT(PRODUCT(1+P14:P$31)),4)</f>
        <v>1.554</v>
      </c>
      <c r="AB14" s="2880">
        <f>ROUND(SUMPRODUCT(PRODUCT(1+Q14:Q$31)),4)</f>
        <v>1.3087</v>
      </c>
      <c r="AC14" s="2880"/>
      <c r="AD14" s="2881">
        <f>ROUND(AVERAGE(I14:I$32)/100,4)</f>
        <v>2.3099999999999999E-2</v>
      </c>
      <c r="AE14" s="2881">
        <f>ROUND(AVERAGE(J14:J$32)/100,4)</f>
        <v>1.61E-2</v>
      </c>
      <c r="AF14" s="2881">
        <f t="shared" ref="AF14" si="108">AE14</f>
        <v>1.61E-2</v>
      </c>
      <c r="AG14" s="2881">
        <f>ROUND(AVERAGE(K14:K$32)/100,4)</f>
        <v>2.53E-2</v>
      </c>
      <c r="AH14" s="2881">
        <f>ROUND(AVERAGE(L14:L$32)/100,4)</f>
        <v>1.4999999999999999E-2</v>
      </c>
    </row>
    <row r="15" spans="1:34" s="2899" customFormat="1" ht="14.45" customHeight="1">
      <c r="A15" s="2892" t="s">
        <v>2943</v>
      </c>
      <c r="B15" s="2893">
        <f t="shared" si="68"/>
        <v>453.11529869999993</v>
      </c>
      <c r="C15" s="2893">
        <f t="shared" ref="C15" si="109">C16*(1+O15)</f>
        <v>336.47787264000004</v>
      </c>
      <c r="D15" s="2893">
        <f t="shared" ref="D15" si="110">C15</f>
        <v>336.47787264000004</v>
      </c>
      <c r="E15" s="2893">
        <f t="shared" ref="E15" si="111">E16*(1+P15)</f>
        <v>647.35186823999993</v>
      </c>
      <c r="F15" s="2893">
        <f t="shared" ref="F15" si="112">F16*(1+Q15)</f>
        <v>295.73229452000004</v>
      </c>
      <c r="G15" s="3574"/>
      <c r="H15" s="2907">
        <v>2</v>
      </c>
      <c r="I15" s="2907">
        <v>1.49</v>
      </c>
      <c r="J15" s="2907">
        <v>0.96</v>
      </c>
      <c r="K15" s="2907">
        <v>1.58</v>
      </c>
      <c r="L15" s="2908">
        <v>2.44</v>
      </c>
      <c r="M15" s="2880"/>
      <c r="N15" s="2895">
        <f t="shared" ref="N15" si="113">I15/100</f>
        <v>1.49E-2</v>
      </c>
      <c r="O15" s="2881">
        <f t="shared" ref="O15" si="114">J15/100</f>
        <v>9.5999999999999992E-3</v>
      </c>
      <c r="P15" s="2881">
        <f t="shared" ref="P15" si="115">K15/100</f>
        <v>1.5800000000000002E-2</v>
      </c>
      <c r="Q15" s="2881">
        <f t="shared" ref="Q15" si="116">L15/100</f>
        <v>2.4399999999999998E-2</v>
      </c>
      <c r="R15" s="2896"/>
      <c r="S15" s="2895"/>
      <c r="T15" s="2881"/>
      <c r="U15" s="2881"/>
      <c r="V15" s="2881"/>
      <c r="W15" s="2880"/>
      <c r="X15" s="2880">
        <f>ROUND(SUMPRODUCT(PRODUCT(1+N15:N$31)),4)</f>
        <v>1.4733000000000001</v>
      </c>
      <c r="Y15" s="2880">
        <f>ROUND(SUMPRODUCT(PRODUCT(1+O15:O$31)),4)</f>
        <v>1.3052999999999999</v>
      </c>
      <c r="Z15" s="2880">
        <f t="shared" ref="Z15" si="117">Y15</f>
        <v>1.3052999999999999</v>
      </c>
      <c r="AA15" s="2880">
        <f>ROUND(SUMPRODUCT(PRODUCT(1+P15:P$31)),4)</f>
        <v>1.5306999999999999</v>
      </c>
      <c r="AB15" s="2880">
        <f>ROUND(SUMPRODUCT(PRODUCT(1+Q15:Q$31)),4)</f>
        <v>1.2863</v>
      </c>
      <c r="AC15" s="2880"/>
      <c r="AD15" s="2881">
        <f>ROUND(AVERAGE(I15:I$32)/100,4)</f>
        <v>2.35E-2</v>
      </c>
      <c r="AE15" s="2881">
        <f>ROUND(AVERAGE(J15:J$32)/100,4)</f>
        <v>1.6199999999999999E-2</v>
      </c>
      <c r="AF15" s="2881">
        <f t="shared" ref="AF15" si="118">AE15</f>
        <v>1.6199999999999999E-2</v>
      </c>
      <c r="AG15" s="2881">
        <f>ROUND(AVERAGE(K15:K$32)/100,4)</f>
        <v>2.5899999999999999E-2</v>
      </c>
      <c r="AH15" s="2881">
        <f>ROUND(AVERAGE(L15:L$32)/100,4)</f>
        <v>1.49E-2</v>
      </c>
    </row>
    <row r="16" spans="1:34" s="2899" customFormat="1" ht="15" customHeight="1" thickBot="1">
      <c r="A16" s="2892" t="s">
        <v>2939</v>
      </c>
      <c r="B16" s="2893">
        <f t="shared" si="68"/>
        <v>446.46299999999997</v>
      </c>
      <c r="C16" s="2893">
        <f t="shared" ref="C16" si="119">C17*(1+O16)</f>
        <v>333.27840000000003</v>
      </c>
      <c r="D16" s="2893">
        <f t="shared" ref="D16:D21" si="120">C16</f>
        <v>333.27840000000003</v>
      </c>
      <c r="E16" s="2893">
        <f t="shared" ref="E16" si="121">E17*(1+P16)</f>
        <v>637.28279999999995</v>
      </c>
      <c r="F16" s="2893">
        <f t="shared" ref="F16" si="122">F17*(1+Q16)</f>
        <v>288.68830000000003</v>
      </c>
      <c r="G16" s="3580"/>
      <c r="H16" s="2894">
        <v>1</v>
      </c>
      <c r="I16" s="2894">
        <v>1.7</v>
      </c>
      <c r="J16" s="2894">
        <v>1.92</v>
      </c>
      <c r="K16" s="2894">
        <v>1.64</v>
      </c>
      <c r="L16" s="2900">
        <v>2.0099999999999998</v>
      </c>
      <c r="M16" s="2880"/>
      <c r="N16" s="2895">
        <f t="shared" ref="N16:N21" si="123">I16/100</f>
        <v>1.7000000000000001E-2</v>
      </c>
      <c r="O16" s="2881">
        <f t="shared" ref="O16" si="124">J16/100</f>
        <v>1.9199999999999998E-2</v>
      </c>
      <c r="P16" s="2881">
        <f t="shared" ref="P16" si="125">K16/100</f>
        <v>1.6399999999999998E-2</v>
      </c>
      <c r="Q16" s="2881">
        <f t="shared" ref="Q16" si="126">L16/100</f>
        <v>2.0099999999999996E-2</v>
      </c>
      <c r="R16" s="2896"/>
      <c r="S16" s="2897">
        <f>B16/B17-1</f>
        <v>1.6999999999999904E-2</v>
      </c>
      <c r="T16" s="2898">
        <f>C16/C17-1</f>
        <v>1.9200000000000106E-2</v>
      </c>
      <c r="U16" s="2898">
        <f>E16/E17-1</f>
        <v>1.639999999999997E-2</v>
      </c>
      <c r="V16" s="2898">
        <f>F16/F17-1</f>
        <v>2.0100000000000007E-2</v>
      </c>
      <c r="W16" s="2880"/>
      <c r="X16" s="2880">
        <f>ROUND(SUMPRODUCT(PRODUCT(1+N16:N$31)),4)</f>
        <v>1.4517</v>
      </c>
      <c r="Y16" s="2880">
        <f>ROUND(SUMPRODUCT(PRODUCT(1+O16:O$31)),4)</f>
        <v>1.2928999999999999</v>
      </c>
      <c r="Z16" s="2880">
        <f t="shared" ref="Z16" si="127">Y16</f>
        <v>1.2928999999999999</v>
      </c>
      <c r="AA16" s="2880">
        <f>ROUND(SUMPRODUCT(PRODUCT(1+P16:P$31)),4)</f>
        <v>1.5068999999999999</v>
      </c>
      <c r="AB16" s="2880">
        <f>ROUND(SUMPRODUCT(PRODUCT(1+Q16:Q$31)),4)</f>
        <v>1.2557</v>
      </c>
      <c r="AC16" s="2880"/>
      <c r="AD16" s="2881">
        <f>ROUND(AVERAGE(I16:I$32)/100,4)</f>
        <v>2.4E-2</v>
      </c>
      <c r="AE16" s="2881">
        <f>ROUND(AVERAGE(J16:J$32)/100,4)</f>
        <v>1.66E-2</v>
      </c>
      <c r="AF16" s="2881">
        <f t="shared" ref="AF16" si="128">AE16</f>
        <v>1.66E-2</v>
      </c>
      <c r="AG16" s="2881">
        <f>ROUND(AVERAGE(K16:K$32)/100,4)</f>
        <v>2.6499999999999999E-2</v>
      </c>
      <c r="AH16" s="2881">
        <f>ROUND(AVERAGE(L16:L$32)/100,4)</f>
        <v>1.43E-2</v>
      </c>
    </row>
    <row r="17" spans="1:34">
      <c r="A17" s="2892" t="s">
        <v>2931</v>
      </c>
      <c r="B17" s="2909">
        <v>439</v>
      </c>
      <c r="C17" s="2909">
        <v>327</v>
      </c>
      <c r="D17" s="2909">
        <f t="shared" si="120"/>
        <v>327</v>
      </c>
      <c r="E17" s="2909">
        <v>627</v>
      </c>
      <c r="F17" s="2910">
        <v>283</v>
      </c>
      <c r="G17" s="3579">
        <v>2017</v>
      </c>
      <c r="H17" s="2901">
        <v>4</v>
      </c>
      <c r="I17" s="2901">
        <v>1.71</v>
      </c>
      <c r="J17" s="2901">
        <v>1.78</v>
      </c>
      <c r="K17" s="2901">
        <v>1.71</v>
      </c>
      <c r="L17" s="2902">
        <v>1.43</v>
      </c>
      <c r="N17" s="2911">
        <f t="shared" si="123"/>
        <v>1.7100000000000001E-2</v>
      </c>
      <c r="O17" s="2912">
        <f t="shared" ref="O17" si="129">J17/100</f>
        <v>1.78E-2</v>
      </c>
      <c r="P17" s="2912">
        <f t="shared" ref="P17" si="130">K17/100</f>
        <v>1.7100000000000001E-2</v>
      </c>
      <c r="Q17" s="2912">
        <f t="shared" ref="Q17" si="131">L17/100</f>
        <v>1.43E-2</v>
      </c>
      <c r="R17" s="2896"/>
      <c r="S17" s="2905"/>
      <c r="T17" s="2906"/>
      <c r="U17" s="2906"/>
      <c r="V17" s="2906"/>
      <c r="X17" s="2880">
        <f>ROUND(SUMPRODUCT(PRODUCT(1+N17:N$31)),4)</f>
        <v>1.4274</v>
      </c>
      <c r="Y17" s="2880">
        <f>ROUND(SUMPRODUCT(PRODUCT(1+O17:O$31)),4)</f>
        <v>1.2685</v>
      </c>
      <c r="Z17" s="2880">
        <f t="shared" si="0"/>
        <v>1.2685</v>
      </c>
      <c r="AA17" s="2880">
        <f>ROUND(SUMPRODUCT(PRODUCT(1+P17:P$31)),4)</f>
        <v>1.4825999999999999</v>
      </c>
      <c r="AB17" s="2880">
        <f>ROUND(SUMPRODUCT(PRODUCT(1+Q17:Q$31)),4)</f>
        <v>1.2309000000000001</v>
      </c>
      <c r="AD17" s="2881">
        <f>ROUND(AVERAGE(I17:I$32)/100,4)</f>
        <v>2.4500000000000001E-2</v>
      </c>
      <c r="AE17" s="2881">
        <f>ROUND(AVERAGE(J17:J$32)/100,4)</f>
        <v>1.6500000000000001E-2</v>
      </c>
      <c r="AF17" s="2881">
        <f t="shared" si="1"/>
        <v>1.6500000000000001E-2</v>
      </c>
      <c r="AG17" s="2881">
        <f>ROUND(AVERAGE(K17:K$32)/100,4)</f>
        <v>2.7099999999999999E-2</v>
      </c>
      <c r="AH17" s="2881">
        <f>ROUND(AVERAGE(L17:L$32)/100,4)</f>
        <v>1.3899999999999999E-2</v>
      </c>
    </row>
    <row r="18" spans="1:34" s="2899" customFormat="1" ht="14.45" customHeight="1">
      <c r="A18" s="2892" t="s">
        <v>2934</v>
      </c>
      <c r="B18" s="2893">
        <f t="shared" ref="B18:C20" si="132">B19*(1+N18)</f>
        <v>431.80730811680002</v>
      </c>
      <c r="C18" s="2893">
        <f t="shared" si="132"/>
        <v>320.57880516480003</v>
      </c>
      <c r="D18" s="2893">
        <f t="shared" si="120"/>
        <v>320.57880516480003</v>
      </c>
      <c r="E18" s="2893">
        <f t="shared" ref="E18:F20" si="133">E19*(1+P18)</f>
        <v>615.96110553196797</v>
      </c>
      <c r="F18" s="2893">
        <f t="shared" si="133"/>
        <v>279.46777300108801</v>
      </c>
      <c r="G18" s="3574"/>
      <c r="H18" s="2894">
        <v>3</v>
      </c>
      <c r="I18" s="2894">
        <v>2.98</v>
      </c>
      <c r="J18" s="2894">
        <v>2.11</v>
      </c>
      <c r="K18" s="2894">
        <v>3.24</v>
      </c>
      <c r="L18" s="2900">
        <v>1.72</v>
      </c>
      <c r="M18" s="2880"/>
      <c r="N18" s="2895">
        <f t="shared" si="123"/>
        <v>2.98E-2</v>
      </c>
      <c r="O18" s="2913">
        <f t="shared" ref="O18:O19" si="134">J18/100</f>
        <v>2.1099999999999997E-2</v>
      </c>
      <c r="P18" s="2913">
        <f t="shared" ref="P18:P19" si="135">K18/100</f>
        <v>3.2400000000000005E-2</v>
      </c>
      <c r="Q18" s="2913">
        <f t="shared" ref="Q18:Q19" si="136">L18/100</f>
        <v>1.72E-2</v>
      </c>
      <c r="R18" s="2896"/>
      <c r="S18" s="2895"/>
      <c r="T18" s="2881"/>
      <c r="U18" s="2881"/>
      <c r="V18" s="2881"/>
      <c r="W18" s="2880"/>
      <c r="X18" s="2880">
        <f>ROUND(SUMPRODUCT(PRODUCT(1+N18:N$31)),4)</f>
        <v>1.4034</v>
      </c>
      <c r="Y18" s="2880">
        <f>ROUND(SUMPRODUCT(PRODUCT(1+O18:O$31)),4)</f>
        <v>1.2463</v>
      </c>
      <c r="Z18" s="2880">
        <f t="shared" si="0"/>
        <v>1.2463</v>
      </c>
      <c r="AA18" s="2880">
        <f>ROUND(SUMPRODUCT(PRODUCT(1+P18:P$31)),4)</f>
        <v>1.4577</v>
      </c>
      <c r="AB18" s="2880">
        <f>ROUND(SUMPRODUCT(PRODUCT(1+Q18:Q$31)),4)</f>
        <v>1.2136</v>
      </c>
      <c r="AC18" s="2880"/>
      <c r="AD18" s="2881">
        <f>ROUND(AVERAGE(I18:I$32)/100,4)</f>
        <v>2.4899999999999999E-2</v>
      </c>
      <c r="AE18" s="2881">
        <f>ROUND(AVERAGE(J18:J$32)/100,4)</f>
        <v>1.6400000000000001E-2</v>
      </c>
      <c r="AF18" s="2881">
        <f t="shared" si="1"/>
        <v>1.6400000000000001E-2</v>
      </c>
      <c r="AG18" s="2881">
        <f>ROUND(AVERAGE(K18:K$32)/100,4)</f>
        <v>2.7799999999999998E-2</v>
      </c>
      <c r="AH18" s="2881">
        <f>ROUND(AVERAGE(L18:L$32)/100,4)</f>
        <v>1.3899999999999999E-2</v>
      </c>
    </row>
    <row r="19" spans="1:34" s="2858" customFormat="1" ht="14.45" customHeight="1">
      <c r="A19" s="2892" t="s">
        <v>2561</v>
      </c>
      <c r="B19" s="2893">
        <f t="shared" si="132"/>
        <v>419.31181600000002</v>
      </c>
      <c r="C19" s="2893">
        <f t="shared" si="132"/>
        <v>313.95436800000004</v>
      </c>
      <c r="D19" s="2893">
        <f t="shared" si="120"/>
        <v>313.95436800000004</v>
      </c>
      <c r="E19" s="2893">
        <f t="shared" si="133"/>
        <v>596.63028431999999</v>
      </c>
      <c r="F19" s="2893">
        <f t="shared" si="133"/>
        <v>274.74220703999998</v>
      </c>
      <c r="G19" s="3574"/>
      <c r="H19" s="2907">
        <v>2</v>
      </c>
      <c r="I19" s="2907">
        <v>3.4</v>
      </c>
      <c r="J19" s="2907">
        <v>2</v>
      </c>
      <c r="K19" s="2907">
        <v>3.82</v>
      </c>
      <c r="L19" s="2908">
        <v>1.68</v>
      </c>
      <c r="N19" s="2895">
        <f t="shared" si="123"/>
        <v>3.4000000000000002E-2</v>
      </c>
      <c r="O19" s="2913">
        <f t="shared" si="134"/>
        <v>0.02</v>
      </c>
      <c r="P19" s="2913">
        <f t="shared" si="135"/>
        <v>3.8199999999999998E-2</v>
      </c>
      <c r="Q19" s="2913">
        <f t="shared" si="136"/>
        <v>1.6799999999999999E-2</v>
      </c>
      <c r="S19" s="2895"/>
      <c r="T19" s="2881"/>
      <c r="U19" s="2881"/>
      <c r="V19" s="2881"/>
      <c r="X19" s="2880">
        <f>ROUND(SUMPRODUCT(PRODUCT(1+N19:N$31)),4)</f>
        <v>1.3628</v>
      </c>
      <c r="Y19" s="2880">
        <f>ROUND(SUMPRODUCT(PRODUCT(1+O19:O$31)),4)</f>
        <v>1.2205999999999999</v>
      </c>
      <c r="Z19" s="2880">
        <f t="shared" si="0"/>
        <v>1.2205999999999999</v>
      </c>
      <c r="AA19" s="2880">
        <f>ROUND(SUMPRODUCT(PRODUCT(1+P19:P$31)),4)</f>
        <v>1.4118999999999999</v>
      </c>
      <c r="AB19" s="2880">
        <f>ROUND(SUMPRODUCT(PRODUCT(1+Q19:Q$31)),4)</f>
        <v>1.1930000000000001</v>
      </c>
      <c r="AD19" s="2881">
        <f>ROUND(AVERAGE(I19:I$32)/100,4)</f>
        <v>2.46E-2</v>
      </c>
      <c r="AE19" s="2881">
        <f>ROUND(AVERAGE(J19:J$32)/100,4)</f>
        <v>1.6E-2</v>
      </c>
      <c r="AF19" s="2881">
        <f t="shared" si="1"/>
        <v>1.6E-2</v>
      </c>
      <c r="AG19" s="2881">
        <f>ROUND(AVERAGE(K19:K$32)/100,4)</f>
        <v>2.75E-2</v>
      </c>
      <c r="AH19" s="2881">
        <f>ROUND(AVERAGE(L19:L$32)/100,4)</f>
        <v>1.37E-2</v>
      </c>
    </row>
    <row r="20" spans="1:34" s="2899" customFormat="1" ht="15" customHeight="1" thickBot="1">
      <c r="A20" s="2892" t="s">
        <v>2562</v>
      </c>
      <c r="B20" s="2893">
        <f t="shared" si="132"/>
        <v>405.524</v>
      </c>
      <c r="C20" s="2893">
        <f t="shared" si="132"/>
        <v>307.79840000000002</v>
      </c>
      <c r="D20" s="2893">
        <f t="shared" si="120"/>
        <v>307.79840000000002</v>
      </c>
      <c r="E20" s="2893">
        <f t="shared" si="133"/>
        <v>574.67759999999998</v>
      </c>
      <c r="F20" s="2893">
        <f t="shared" si="133"/>
        <v>270.20280000000002</v>
      </c>
      <c r="G20" s="3580"/>
      <c r="H20" s="2894">
        <v>1</v>
      </c>
      <c r="I20" s="2894">
        <v>3.45</v>
      </c>
      <c r="J20" s="2894">
        <v>1.92</v>
      </c>
      <c r="K20" s="2894">
        <v>3.92</v>
      </c>
      <c r="L20" s="2900">
        <v>1.58</v>
      </c>
      <c r="M20" s="2880"/>
      <c r="N20" s="2897">
        <f t="shared" si="123"/>
        <v>3.4500000000000003E-2</v>
      </c>
      <c r="O20" s="2898">
        <f t="shared" ref="O20" si="137">J20/100</f>
        <v>1.9199999999999998E-2</v>
      </c>
      <c r="P20" s="2898">
        <f t="shared" ref="P20" si="138">K20/100</f>
        <v>3.9199999999999999E-2</v>
      </c>
      <c r="Q20" s="2898">
        <f t="shared" ref="Q20" si="139">L20/100</f>
        <v>1.5800000000000002E-2</v>
      </c>
      <c r="R20" s="2896"/>
      <c r="S20" s="2897">
        <f>B20/B21-1</f>
        <v>3.4499999999999975E-2</v>
      </c>
      <c r="T20" s="2898">
        <f>C20/C21-1</f>
        <v>1.9200000000000106E-2</v>
      </c>
      <c r="U20" s="2898">
        <f>E20/E21-1</f>
        <v>3.9199999999999902E-2</v>
      </c>
      <c r="V20" s="2898">
        <f>F20/F21-1</f>
        <v>1.5800000000000036E-2</v>
      </c>
      <c r="W20" s="2880"/>
      <c r="X20" s="2880">
        <f>ROUND(SUMPRODUCT(PRODUCT(1+N20:N$31)),4)</f>
        <v>1.3180000000000001</v>
      </c>
      <c r="Y20" s="2880">
        <f>ROUND(SUMPRODUCT(PRODUCT(1+O20:O$31)),4)</f>
        <v>1.1966000000000001</v>
      </c>
      <c r="Z20" s="2880">
        <f t="shared" si="0"/>
        <v>1.1966000000000001</v>
      </c>
      <c r="AA20" s="2880">
        <f>ROUND(SUMPRODUCT(PRODUCT(1+P20:P$31)),4)</f>
        <v>1.36</v>
      </c>
      <c r="AB20" s="2880">
        <f>ROUND(SUMPRODUCT(PRODUCT(1+Q20:Q$31)),4)</f>
        <v>1.1733</v>
      </c>
      <c r="AC20" s="2880"/>
      <c r="AD20" s="2881">
        <f>ROUND(AVERAGE(I20:I$32)/100,4)</f>
        <v>2.3900000000000001E-2</v>
      </c>
      <c r="AE20" s="2881">
        <f>ROUND(AVERAGE(J20:J$32)/100,4)</f>
        <v>1.5699999999999999E-2</v>
      </c>
      <c r="AF20" s="2881">
        <f t="shared" si="1"/>
        <v>1.5699999999999999E-2</v>
      </c>
      <c r="AG20" s="2881">
        <f>ROUND(AVERAGE(K20:K$32)/100,4)</f>
        <v>2.6599999999999999E-2</v>
      </c>
      <c r="AH20" s="2881">
        <f>ROUND(AVERAGE(L20:L$32)/100,4)</f>
        <v>1.34E-2</v>
      </c>
    </row>
    <row r="21" spans="1:34">
      <c r="A21" s="2892" t="s">
        <v>960</v>
      </c>
      <c r="B21" s="2914">
        <v>392</v>
      </c>
      <c r="C21" s="2914">
        <v>302</v>
      </c>
      <c r="D21" s="2914">
        <f t="shared" si="120"/>
        <v>302</v>
      </c>
      <c r="E21" s="2914">
        <v>553</v>
      </c>
      <c r="F21" s="2915">
        <v>266</v>
      </c>
      <c r="G21" s="3579">
        <v>2016</v>
      </c>
      <c r="H21" s="2901">
        <v>4</v>
      </c>
      <c r="I21" s="2901">
        <v>4.5599999999999996</v>
      </c>
      <c r="J21" s="2901">
        <v>2.15</v>
      </c>
      <c r="K21" s="2901">
        <v>5.32</v>
      </c>
      <c r="L21" s="2902">
        <v>1.57</v>
      </c>
      <c r="N21" s="2895">
        <f t="shared" si="123"/>
        <v>4.5599999999999995E-2</v>
      </c>
      <c r="O21" s="2881">
        <f t="shared" ref="O21:Q36" si="140">J21/100</f>
        <v>2.1499999999999998E-2</v>
      </c>
      <c r="P21" s="2881">
        <f t="shared" si="140"/>
        <v>5.3200000000000004E-2</v>
      </c>
      <c r="Q21" s="2881">
        <f t="shared" si="140"/>
        <v>1.5700000000000002E-2</v>
      </c>
      <c r="R21" s="2896"/>
      <c r="S21" s="2905"/>
      <c r="T21" s="2906"/>
      <c r="U21" s="2906"/>
      <c r="V21" s="2906"/>
      <c r="X21" s="2880">
        <f>ROUND(SUMPRODUCT(PRODUCT(1+N21:N$31)),4)</f>
        <v>1.274</v>
      </c>
      <c r="Y21" s="2880">
        <f>ROUND(SUMPRODUCT(PRODUCT(1+O21:O$31)),4)</f>
        <v>1.1740999999999999</v>
      </c>
      <c r="Z21" s="2880">
        <f t="shared" si="0"/>
        <v>1.1740999999999999</v>
      </c>
      <c r="AA21" s="2880">
        <f>ROUND(SUMPRODUCT(PRODUCT(1+P21:P$31)),4)</f>
        <v>1.3087</v>
      </c>
      <c r="AB21" s="2880">
        <f>ROUND(SUMPRODUCT(PRODUCT(1+Q21:Q$31)),4)</f>
        <v>1.1551</v>
      </c>
      <c r="AD21" s="2881">
        <f>ROUND(AVERAGE(I21:I$32)/100,4)</f>
        <v>2.3E-2</v>
      </c>
      <c r="AE21" s="2881">
        <f>ROUND(AVERAGE(J21:J$32)/100,4)</f>
        <v>1.55E-2</v>
      </c>
      <c r="AF21" s="2881">
        <f t="shared" si="1"/>
        <v>1.55E-2</v>
      </c>
      <c r="AG21" s="2881">
        <f>ROUND(AVERAGE(K21:K$32)/100,4)</f>
        <v>2.5600000000000001E-2</v>
      </c>
      <c r="AH21" s="2881">
        <f>ROUND(AVERAGE(L21:L$32)/100,4)</f>
        <v>1.32E-2</v>
      </c>
    </row>
    <row r="22" spans="1:34">
      <c r="A22" s="2892" t="s">
        <v>959</v>
      </c>
      <c r="B22" s="2893">
        <f t="shared" ref="B22:C24" si="141">B21/(1+N21)</f>
        <v>374.90436113236416</v>
      </c>
      <c r="C22" s="2893">
        <f t="shared" si="141"/>
        <v>295.64366128242779</v>
      </c>
      <c r="D22" s="2893">
        <f t="shared" ref="D22:D81" si="142">C22</f>
        <v>295.64366128242779</v>
      </c>
      <c r="E22" s="2893">
        <f t="shared" ref="E22:F24" si="143">E21/(1+P21)</f>
        <v>525.06646410938095</v>
      </c>
      <c r="F22" s="2893">
        <f t="shared" si="143"/>
        <v>261.88835286009646</v>
      </c>
      <c r="G22" s="3574"/>
      <c r="H22" s="2894">
        <v>3</v>
      </c>
      <c r="I22" s="2894">
        <v>4.12</v>
      </c>
      <c r="J22" s="2894">
        <v>2</v>
      </c>
      <c r="K22" s="2894">
        <v>4.79</v>
      </c>
      <c r="L22" s="2900">
        <v>1.97</v>
      </c>
      <c r="N22" s="2895">
        <f t="shared" ref="N22:Q56" si="144">I22/100</f>
        <v>4.1200000000000001E-2</v>
      </c>
      <c r="O22" s="2881">
        <f t="shared" si="140"/>
        <v>0.02</v>
      </c>
      <c r="P22" s="2881">
        <f t="shared" si="140"/>
        <v>4.7899999999999998E-2</v>
      </c>
      <c r="Q22" s="2881">
        <f t="shared" si="140"/>
        <v>1.9699999999999999E-2</v>
      </c>
      <c r="R22" s="2896"/>
      <c r="S22" s="2895"/>
      <c r="T22" s="2881"/>
      <c r="U22" s="2881"/>
      <c r="V22" s="2881"/>
      <c r="X22" s="2880">
        <f>ROUND(SUMPRODUCT(PRODUCT(1+N22:N$31)),4)</f>
        <v>1.2184999999999999</v>
      </c>
      <c r="Y22" s="2880">
        <f>ROUND(SUMPRODUCT(PRODUCT(1+O22:O$31)),4)</f>
        <v>1.1494</v>
      </c>
      <c r="Z22" s="2880">
        <f t="shared" si="0"/>
        <v>1.1494</v>
      </c>
      <c r="AA22" s="2880">
        <f>ROUND(SUMPRODUCT(PRODUCT(1+P22:P$31)),4)</f>
        <v>1.2425999999999999</v>
      </c>
      <c r="AB22" s="2880">
        <f>ROUND(SUMPRODUCT(PRODUCT(1+Q22:Q$31)),4)</f>
        <v>1.1372</v>
      </c>
      <c r="AD22" s="2881">
        <f>ROUND(AVERAGE(I22:I$32)/100,4)</f>
        <v>2.0899999999999998E-2</v>
      </c>
      <c r="AE22" s="2881">
        <f>ROUND(AVERAGE(J22:J$32)/100,4)</f>
        <v>1.49E-2</v>
      </c>
      <c r="AF22" s="2881">
        <f t="shared" si="1"/>
        <v>1.49E-2</v>
      </c>
      <c r="AG22" s="2881">
        <f>ROUND(AVERAGE(K22:K$32)/100,4)</f>
        <v>2.3099999999999999E-2</v>
      </c>
      <c r="AH22" s="2881">
        <f>ROUND(AVERAGE(L22:L$32)/100,4)</f>
        <v>1.2999999999999999E-2</v>
      </c>
    </row>
    <row r="23" spans="1:34">
      <c r="A23" s="2892" t="s">
        <v>949</v>
      </c>
      <c r="B23" s="2893">
        <f t="shared" si="141"/>
        <v>360.06949782209392</v>
      </c>
      <c r="C23" s="2893">
        <f t="shared" si="141"/>
        <v>289.84672674747821</v>
      </c>
      <c r="D23" s="2893">
        <f t="shared" si="142"/>
        <v>289.84672674747821</v>
      </c>
      <c r="E23" s="2893">
        <f t="shared" si="143"/>
        <v>501.06543001181495</v>
      </c>
      <c r="F23" s="2893">
        <f t="shared" si="143"/>
        <v>256.82882500744967</v>
      </c>
      <c r="G23" s="3574"/>
      <c r="H23" s="2907">
        <v>2</v>
      </c>
      <c r="I23" s="2907">
        <v>3.85</v>
      </c>
      <c r="J23" s="2907">
        <v>1.95</v>
      </c>
      <c r="K23" s="2907">
        <v>4.4800000000000004</v>
      </c>
      <c r="L23" s="2908">
        <v>1.41</v>
      </c>
      <c r="N23" s="2895">
        <f t="shared" si="144"/>
        <v>3.85E-2</v>
      </c>
      <c r="O23" s="2881">
        <f t="shared" si="140"/>
        <v>1.95E-2</v>
      </c>
      <c r="P23" s="2881">
        <f t="shared" si="140"/>
        <v>4.4800000000000006E-2</v>
      </c>
      <c r="Q23" s="2881">
        <f t="shared" si="140"/>
        <v>1.41E-2</v>
      </c>
      <c r="R23" s="2896"/>
      <c r="S23" s="2895"/>
      <c r="T23" s="2881"/>
      <c r="U23" s="2881"/>
      <c r="V23" s="2881"/>
      <c r="X23" s="2880">
        <f>ROUND(SUMPRODUCT(PRODUCT(1+N23:N$31)),4)</f>
        <v>1.1702999999999999</v>
      </c>
      <c r="Y23" s="2880">
        <f>ROUND(SUMPRODUCT(PRODUCT(1+O23:O$31)),4)</f>
        <v>1.1269</v>
      </c>
      <c r="Z23" s="2880">
        <f t="shared" si="0"/>
        <v>1.1269</v>
      </c>
      <c r="AA23" s="2880">
        <f>ROUND(SUMPRODUCT(PRODUCT(1+P23:P$31)),4)</f>
        <v>1.1858</v>
      </c>
      <c r="AB23" s="2880">
        <f>ROUND(SUMPRODUCT(PRODUCT(1+Q23:Q$31)),4)</f>
        <v>1.1152</v>
      </c>
      <c r="AD23" s="2881">
        <f>ROUND(AVERAGE(I23:I$32)/100,4)</f>
        <v>1.89E-2</v>
      </c>
      <c r="AE23" s="2881">
        <f>ROUND(AVERAGE(J23:J$32)/100,4)</f>
        <v>1.44E-2</v>
      </c>
      <c r="AF23" s="2881">
        <f t="shared" si="1"/>
        <v>1.44E-2</v>
      </c>
      <c r="AG23" s="2881">
        <f>ROUND(AVERAGE(K23:K$32)/100,4)</f>
        <v>2.06E-2</v>
      </c>
      <c r="AH23" s="2881">
        <f>ROUND(AVERAGE(L23:L$32)/100,4)</f>
        <v>1.23E-2</v>
      </c>
    </row>
    <row r="24" spans="1:34" ht="13.5" thickBot="1">
      <c r="A24" s="2892" t="s">
        <v>958</v>
      </c>
      <c r="B24" s="2893">
        <f t="shared" si="141"/>
        <v>346.720748986128</v>
      </c>
      <c r="C24" s="2893">
        <f t="shared" si="141"/>
        <v>284.30282172386285</v>
      </c>
      <c r="D24" s="2893">
        <f t="shared" si="142"/>
        <v>284.30282172386285</v>
      </c>
      <c r="E24" s="2893">
        <f t="shared" si="143"/>
        <v>479.58023546306947</v>
      </c>
      <c r="F24" s="2893">
        <f t="shared" si="143"/>
        <v>253.25788877571213</v>
      </c>
      <c r="G24" s="3575"/>
      <c r="H24" s="2894">
        <v>1</v>
      </c>
      <c r="I24" s="2894">
        <v>4.09</v>
      </c>
      <c r="J24" s="2894">
        <v>2.93</v>
      </c>
      <c r="K24" s="2894">
        <v>4.54</v>
      </c>
      <c r="L24" s="2900">
        <v>1.48</v>
      </c>
      <c r="N24" s="2895">
        <f t="shared" si="144"/>
        <v>4.0899999999999999E-2</v>
      </c>
      <c r="O24" s="2881">
        <f t="shared" si="140"/>
        <v>2.9300000000000003E-2</v>
      </c>
      <c r="P24" s="2881">
        <f t="shared" si="140"/>
        <v>4.5400000000000003E-2</v>
      </c>
      <c r="Q24" s="2881">
        <f t="shared" si="140"/>
        <v>1.4800000000000001E-2</v>
      </c>
      <c r="R24" s="2896"/>
      <c r="S24" s="2897">
        <f>B24/B25-1</f>
        <v>4.1203450408792808E-2</v>
      </c>
      <c r="T24" s="2898">
        <f>C24/C25-1</f>
        <v>2.6363977342465095E-2</v>
      </c>
      <c r="U24" s="2898">
        <f>E24/E25-1</f>
        <v>4.4837114298626357E-2</v>
      </c>
      <c r="V24" s="2898">
        <f>F24/F25-1</f>
        <v>1.7099954922538574E-2</v>
      </c>
      <c r="X24" s="2880">
        <f>ROUND(SUMPRODUCT(PRODUCT(1+N24:N$31)),4)</f>
        <v>1.1269</v>
      </c>
      <c r="Y24" s="2880">
        <f>ROUND(SUMPRODUCT(PRODUCT(1+O24:O$31)),4)</f>
        <v>1.1052999999999999</v>
      </c>
      <c r="Z24" s="2880">
        <f t="shared" si="0"/>
        <v>1.1052999999999999</v>
      </c>
      <c r="AA24" s="2880">
        <f>ROUND(SUMPRODUCT(PRODUCT(1+P24:P$31)),4)</f>
        <v>1.1349</v>
      </c>
      <c r="AB24" s="2880">
        <f>ROUND(SUMPRODUCT(PRODUCT(1+Q24:Q$31)),4)</f>
        <v>1.0996999999999999</v>
      </c>
      <c r="AD24" s="2881">
        <f>ROUND(AVERAGE(I24:I$32)/100,4)</f>
        <v>1.67E-2</v>
      </c>
      <c r="AE24" s="2881">
        <f>ROUND(AVERAGE(J24:J$32)/100,4)</f>
        <v>1.38E-2</v>
      </c>
      <c r="AF24" s="2881">
        <f t="shared" si="1"/>
        <v>1.38E-2</v>
      </c>
      <c r="AG24" s="2881">
        <f>ROUND(AVERAGE(K24:K$32)/100,4)</f>
        <v>1.7899999999999999E-2</v>
      </c>
      <c r="AH24" s="2881">
        <f>ROUND(AVERAGE(L24:L$32)/100,4)</f>
        <v>1.21E-2</v>
      </c>
    </row>
    <row r="25" spans="1:34" ht="13.5" thickBot="1">
      <c r="A25" s="2892" t="s">
        <v>957</v>
      </c>
      <c r="B25" s="2914">
        <v>333</v>
      </c>
      <c r="C25" s="2914">
        <v>277</v>
      </c>
      <c r="D25" s="2914">
        <f t="shared" si="142"/>
        <v>277</v>
      </c>
      <c r="E25" s="2914">
        <v>459</v>
      </c>
      <c r="F25" s="2915">
        <v>249</v>
      </c>
      <c r="G25" s="3573">
        <v>2015</v>
      </c>
      <c r="H25" s="2916">
        <v>4</v>
      </c>
      <c r="I25" s="2916">
        <v>1.63</v>
      </c>
      <c r="J25" s="2916">
        <v>1.1100000000000001</v>
      </c>
      <c r="K25" s="2916">
        <v>1.77</v>
      </c>
      <c r="L25" s="2917">
        <v>1.89</v>
      </c>
      <c r="N25" s="2911">
        <f t="shared" si="144"/>
        <v>1.6299999999999999E-2</v>
      </c>
      <c r="O25" s="2912">
        <f t="shared" si="140"/>
        <v>1.11E-2</v>
      </c>
      <c r="P25" s="2912">
        <f t="shared" si="140"/>
        <v>1.77E-2</v>
      </c>
      <c r="Q25" s="2912">
        <f t="shared" si="140"/>
        <v>1.89E-2</v>
      </c>
      <c r="R25" s="2896"/>
      <c r="X25" s="2880">
        <f>ROUND(SUMPRODUCT(PRODUCT(1+N25:N$31)),4)</f>
        <v>1.0826</v>
      </c>
      <c r="Y25" s="2880">
        <f>ROUND(SUMPRODUCT(PRODUCT(1+O25:O$31)),4)</f>
        <v>1.0738000000000001</v>
      </c>
      <c r="Z25" s="2880">
        <f t="shared" si="0"/>
        <v>1.0738000000000001</v>
      </c>
      <c r="AA25" s="2880">
        <f>ROUND(SUMPRODUCT(PRODUCT(1+P25:P$31)),4)</f>
        <v>1.0855999999999999</v>
      </c>
      <c r="AB25" s="2880">
        <f>ROUND(SUMPRODUCT(PRODUCT(1+Q25:Q$31)),4)</f>
        <v>1.0837000000000001</v>
      </c>
      <c r="AD25" s="2881">
        <f>ROUND(AVERAGE(I25:I$32)/100,4)</f>
        <v>1.37E-2</v>
      </c>
      <c r="AE25" s="2881">
        <f>ROUND(AVERAGE(J25:J$32)/100,4)</f>
        <v>1.1900000000000001E-2</v>
      </c>
      <c r="AF25" s="2881">
        <f t="shared" si="1"/>
        <v>1.1900000000000001E-2</v>
      </c>
      <c r="AG25" s="2881">
        <f>ROUND(AVERAGE(K25:K$32)/100,4)</f>
        <v>1.4500000000000001E-2</v>
      </c>
      <c r="AH25" s="2881">
        <f>ROUND(AVERAGE(L25:L$32)/100,4)</f>
        <v>1.18E-2</v>
      </c>
    </row>
    <row r="26" spans="1:34">
      <c r="A26" s="2892" t="s">
        <v>956</v>
      </c>
      <c r="B26" s="2893">
        <f t="shared" ref="B26:C28" si="145">B25/(1+N25)</f>
        <v>327.65915576109415</v>
      </c>
      <c r="C26" s="2893">
        <f t="shared" si="145"/>
        <v>273.95905449510434</v>
      </c>
      <c r="D26" s="2893">
        <f t="shared" si="142"/>
        <v>273.95905449510434</v>
      </c>
      <c r="E26" s="2893">
        <f t="shared" ref="E26:F28" si="146">E25/(1+P25)</f>
        <v>451.01699911565294</v>
      </c>
      <c r="F26" s="2893">
        <f t="shared" si="146"/>
        <v>244.38119540681129</v>
      </c>
      <c r="G26" s="3574"/>
      <c r="H26" s="2919">
        <v>3</v>
      </c>
      <c r="I26" s="2919">
        <v>1.65</v>
      </c>
      <c r="J26" s="2919">
        <v>0.92</v>
      </c>
      <c r="K26" s="2919">
        <v>1.88</v>
      </c>
      <c r="L26" s="2920">
        <v>1.26</v>
      </c>
      <c r="N26" s="2895">
        <f t="shared" si="144"/>
        <v>1.6500000000000001E-2</v>
      </c>
      <c r="O26" s="2913">
        <f t="shared" si="140"/>
        <v>9.1999999999999998E-3</v>
      </c>
      <c r="P26" s="2913">
        <f t="shared" si="140"/>
        <v>1.8799999999999997E-2</v>
      </c>
      <c r="Q26" s="2913">
        <f t="shared" si="140"/>
        <v>1.26E-2</v>
      </c>
      <c r="R26" s="2896"/>
      <c r="S26" s="2895"/>
      <c r="T26" s="2881"/>
      <c r="U26" s="2881"/>
      <c r="V26" s="2881"/>
      <c r="X26" s="2880">
        <f>ROUND(SUMPRODUCT(PRODUCT(1+N26:N$31)),4)</f>
        <v>1.0651999999999999</v>
      </c>
      <c r="Y26" s="2880">
        <f>ROUND(SUMPRODUCT(PRODUCT(1+O26:O$31)),4)</f>
        <v>1.0621</v>
      </c>
      <c r="Z26" s="2880">
        <f t="shared" si="0"/>
        <v>1.0621</v>
      </c>
      <c r="AA26" s="2880">
        <f>ROUND(SUMPRODUCT(PRODUCT(1+P26:P$31)),4)</f>
        <v>1.0668</v>
      </c>
      <c r="AB26" s="2880">
        <f>ROUND(SUMPRODUCT(PRODUCT(1+Q26:Q$31)),4)</f>
        <v>1.0636000000000001</v>
      </c>
      <c r="AD26" s="2881">
        <f>ROUND(AVERAGE(I26:I$32)/100,4)</f>
        <v>1.3299999999999999E-2</v>
      </c>
      <c r="AE26" s="2881">
        <f>ROUND(AVERAGE(J26:J$32)/100,4)</f>
        <v>1.2E-2</v>
      </c>
      <c r="AF26" s="2881">
        <f t="shared" si="1"/>
        <v>1.2E-2</v>
      </c>
      <c r="AG26" s="2881">
        <f>ROUND(AVERAGE(K26:K$32)/100,4)</f>
        <v>1.4E-2</v>
      </c>
      <c r="AH26" s="2881">
        <f>ROUND(AVERAGE(L26:L$32)/100,4)</f>
        <v>1.0800000000000001E-2</v>
      </c>
    </row>
    <row r="27" spans="1:34">
      <c r="A27" s="2892" t="s">
        <v>955</v>
      </c>
      <c r="B27" s="2893">
        <f t="shared" si="145"/>
        <v>322.34053690220776</v>
      </c>
      <c r="C27" s="2893">
        <f t="shared" si="145"/>
        <v>271.46160770422546</v>
      </c>
      <c r="D27" s="2893">
        <f t="shared" si="142"/>
        <v>271.46160770422546</v>
      </c>
      <c r="E27" s="2893">
        <f t="shared" si="146"/>
        <v>442.69434542172456</v>
      </c>
      <c r="F27" s="2893">
        <f t="shared" si="146"/>
        <v>241.34030753190925</v>
      </c>
      <c r="G27" s="3574"/>
      <c r="H27" s="2907">
        <v>2</v>
      </c>
      <c r="I27" s="2907">
        <v>0.77</v>
      </c>
      <c r="J27" s="2907">
        <v>0.69</v>
      </c>
      <c r="K27" s="2907">
        <v>0.8</v>
      </c>
      <c r="L27" s="2908">
        <v>0.88</v>
      </c>
      <c r="N27" s="2895">
        <f t="shared" si="144"/>
        <v>7.7000000000000002E-3</v>
      </c>
      <c r="O27" s="2913">
        <f t="shared" si="140"/>
        <v>6.8999999999999999E-3</v>
      </c>
      <c r="P27" s="2913">
        <f t="shared" si="140"/>
        <v>8.0000000000000002E-3</v>
      </c>
      <c r="Q27" s="2913">
        <f t="shared" si="140"/>
        <v>8.8000000000000005E-3</v>
      </c>
      <c r="R27" s="2896"/>
      <c r="S27" s="2895"/>
      <c r="T27" s="2881"/>
      <c r="U27" s="2881"/>
      <c r="V27" s="2881"/>
      <c r="X27" s="2880">
        <f>ROUND(SUMPRODUCT(PRODUCT(1+N27:N$31)),4)</f>
        <v>1.048</v>
      </c>
      <c r="Y27" s="2880">
        <f>ROUND(SUMPRODUCT(PRODUCT(1+O27:O$31)),4)</f>
        <v>1.0524</v>
      </c>
      <c r="Z27" s="2880">
        <f t="shared" si="0"/>
        <v>1.0524</v>
      </c>
      <c r="AA27" s="2880">
        <f>ROUND(SUMPRODUCT(PRODUCT(1+P27:P$31)),4)</f>
        <v>1.0470999999999999</v>
      </c>
      <c r="AB27" s="2880">
        <f>ROUND(SUMPRODUCT(PRODUCT(1+Q27:Q$31)),4)</f>
        <v>1.0504</v>
      </c>
      <c r="AD27" s="2881">
        <f>ROUND(AVERAGE(I27:I$32)/100,4)</f>
        <v>1.2800000000000001E-2</v>
      </c>
      <c r="AE27" s="2881">
        <f>ROUND(AVERAGE(J27:J$32)/100,4)</f>
        <v>1.2500000000000001E-2</v>
      </c>
      <c r="AF27" s="2881">
        <f t="shared" si="1"/>
        <v>1.2500000000000001E-2</v>
      </c>
      <c r="AG27" s="2881">
        <f>ROUND(AVERAGE(K27:K$32)/100,4)</f>
        <v>1.32E-2</v>
      </c>
      <c r="AH27" s="2881">
        <f>ROUND(AVERAGE(L27:L$32)/100,4)</f>
        <v>1.0500000000000001E-2</v>
      </c>
    </row>
    <row r="28" spans="1:34">
      <c r="A28" s="2892" t="s">
        <v>954</v>
      </c>
      <c r="B28" s="2893">
        <f t="shared" si="145"/>
        <v>319.87748030386797</v>
      </c>
      <c r="C28" s="2893">
        <f t="shared" si="145"/>
        <v>269.60135833173649</v>
      </c>
      <c r="D28" s="2893">
        <f t="shared" si="142"/>
        <v>269.60135833173649</v>
      </c>
      <c r="E28" s="2893">
        <f t="shared" si="146"/>
        <v>439.18089823583784</v>
      </c>
      <c r="F28" s="2893">
        <f t="shared" si="146"/>
        <v>239.23503918706311</v>
      </c>
      <c r="G28" s="3575"/>
      <c r="H28" s="2894">
        <v>1</v>
      </c>
      <c r="I28" s="2894">
        <v>0.51</v>
      </c>
      <c r="J28" s="2894">
        <v>0.54</v>
      </c>
      <c r="K28" s="2894">
        <v>0.48</v>
      </c>
      <c r="L28" s="2900">
        <v>0.93</v>
      </c>
      <c r="N28" s="2897">
        <f t="shared" si="144"/>
        <v>5.1000000000000004E-3</v>
      </c>
      <c r="O28" s="2898">
        <f t="shared" si="140"/>
        <v>5.4000000000000003E-3</v>
      </c>
      <c r="P28" s="2898">
        <f t="shared" si="140"/>
        <v>4.7999999999999996E-3</v>
      </c>
      <c r="Q28" s="2898">
        <f t="shared" si="140"/>
        <v>9.300000000000001E-3</v>
      </c>
      <c r="R28" s="2896"/>
      <c r="S28" s="2897">
        <f>B28/B29-1</f>
        <v>5.9040261127922822E-3</v>
      </c>
      <c r="T28" s="2898">
        <f>C28/C29-1</f>
        <v>5.9752176557332781E-3</v>
      </c>
      <c r="U28" s="2898">
        <f>E28/E29-1</f>
        <v>4.9906138119859556E-3</v>
      </c>
      <c r="V28" s="2898">
        <f>F28/F29-1</f>
        <v>9.4305450930933787E-3</v>
      </c>
      <c r="X28" s="2880">
        <f>ROUND(SUMPRODUCT(PRODUCT(1+N28:N$31)),4)</f>
        <v>1.0399</v>
      </c>
      <c r="Y28" s="2880">
        <f>ROUND(SUMPRODUCT(PRODUCT(1+O28:O$31)),4)</f>
        <v>1.0451999999999999</v>
      </c>
      <c r="Z28" s="2880">
        <f t="shared" si="0"/>
        <v>1.0451999999999999</v>
      </c>
      <c r="AA28" s="2880">
        <f>ROUND(SUMPRODUCT(PRODUCT(1+P28:P$31)),4)</f>
        <v>1.0387999999999999</v>
      </c>
      <c r="AB28" s="2880">
        <f>ROUND(SUMPRODUCT(PRODUCT(1+Q28:Q$31)),4)</f>
        <v>1.0411999999999999</v>
      </c>
      <c r="AD28" s="2881">
        <f>ROUND(AVERAGE(I28:I$32)/100,4)</f>
        <v>1.38E-2</v>
      </c>
      <c r="AE28" s="2881">
        <f>ROUND(AVERAGE(J28:J$32)/100,4)</f>
        <v>1.3599999999999999E-2</v>
      </c>
      <c r="AF28" s="2881">
        <f t="shared" si="1"/>
        <v>1.3599999999999999E-2</v>
      </c>
      <c r="AG28" s="2881">
        <f>ROUND(AVERAGE(K28:K$32)/100,4)</f>
        <v>1.4200000000000001E-2</v>
      </c>
      <c r="AH28" s="2881">
        <f>ROUND(AVERAGE(L28:L$32)/100,4)</f>
        <v>1.0800000000000001E-2</v>
      </c>
    </row>
    <row r="29" spans="1:34" ht="13.5" thickBot="1">
      <c r="A29" s="2892" t="s">
        <v>953</v>
      </c>
      <c r="B29" s="2921">
        <v>318</v>
      </c>
      <c r="C29" s="2921">
        <v>268</v>
      </c>
      <c r="D29" s="2921">
        <f t="shared" si="142"/>
        <v>268</v>
      </c>
      <c r="E29" s="2921">
        <v>437</v>
      </c>
      <c r="F29" s="2922">
        <v>237</v>
      </c>
      <c r="G29" s="3573">
        <v>2014</v>
      </c>
      <c r="H29" s="2916">
        <v>4</v>
      </c>
      <c r="I29" s="2916">
        <v>0.21</v>
      </c>
      <c r="J29" s="2916">
        <v>0.41</v>
      </c>
      <c r="K29" s="2916">
        <v>0.12</v>
      </c>
      <c r="L29" s="2917">
        <v>0.89</v>
      </c>
      <c r="N29" s="2895">
        <f t="shared" si="144"/>
        <v>2.0999999999999999E-3</v>
      </c>
      <c r="O29" s="2881">
        <f t="shared" si="140"/>
        <v>4.0999999999999995E-3</v>
      </c>
      <c r="P29" s="2881">
        <f t="shared" si="140"/>
        <v>1.1999999999999999E-3</v>
      </c>
      <c r="Q29" s="2881">
        <f t="shared" si="140"/>
        <v>8.8999999999999999E-3</v>
      </c>
      <c r="R29" s="2896"/>
      <c r="S29" s="2905"/>
      <c r="T29" s="2906"/>
      <c r="U29" s="2906"/>
      <c r="V29" s="2906"/>
      <c r="X29" s="2880">
        <f>ROUND(SUMPRODUCT(PRODUCT(1+N29:N$31)),4)</f>
        <v>1.0347</v>
      </c>
      <c r="Y29" s="2880">
        <f>ROUND(SUMPRODUCT(PRODUCT(1+O29:O$31)),4)</f>
        <v>1.0395000000000001</v>
      </c>
      <c r="Z29" s="2880">
        <f t="shared" si="0"/>
        <v>1.0395000000000001</v>
      </c>
      <c r="AA29" s="2880">
        <f>ROUND(SUMPRODUCT(PRODUCT(1+P29:P$31)),4)</f>
        <v>1.0338000000000001</v>
      </c>
      <c r="AB29" s="2880">
        <f>ROUND(SUMPRODUCT(PRODUCT(1+Q29:Q$31)),4)</f>
        <v>1.0316000000000001</v>
      </c>
      <c r="AD29" s="2881">
        <f>ROUND(AVERAGE(I29:I$32)/100,4)</f>
        <v>1.6E-2</v>
      </c>
      <c r="AE29" s="2881">
        <f>ROUND(AVERAGE(J29:J$32)/100,4)</f>
        <v>1.5599999999999999E-2</v>
      </c>
      <c r="AF29" s="2881">
        <f t="shared" si="1"/>
        <v>1.5599999999999999E-2</v>
      </c>
      <c r="AG29" s="2881">
        <f>ROUND(AVERAGE(K29:K$32)/100,4)</f>
        <v>1.66E-2</v>
      </c>
      <c r="AH29" s="2881">
        <f>ROUND(AVERAGE(L29:L$32)/100,4)</f>
        <v>1.12E-2</v>
      </c>
    </row>
    <row r="30" spans="1:34">
      <c r="A30" s="2892" t="s">
        <v>952</v>
      </c>
      <c r="B30" s="2893">
        <f t="shared" ref="B30:C32" si="147">B29/(1+N29)</f>
        <v>317.33359944117353</v>
      </c>
      <c r="C30" s="2893">
        <f t="shared" si="147"/>
        <v>266.90568668459315</v>
      </c>
      <c r="D30" s="2893">
        <f t="shared" si="142"/>
        <v>266.90568668459315</v>
      </c>
      <c r="E30" s="2893">
        <f t="shared" ref="E30:F32" si="148">E29/(1+P29)</f>
        <v>436.47622852576905</v>
      </c>
      <c r="F30" s="2893">
        <f t="shared" si="148"/>
        <v>234.90930716622066</v>
      </c>
      <c r="G30" s="3574"/>
      <c r="H30" s="2923">
        <v>3</v>
      </c>
      <c r="I30" s="2923">
        <v>0.83</v>
      </c>
      <c r="J30" s="2923">
        <v>1.47</v>
      </c>
      <c r="K30" s="2923">
        <v>0.65</v>
      </c>
      <c r="L30" s="2924">
        <v>0.72</v>
      </c>
      <c r="N30" s="2895">
        <f t="shared" si="144"/>
        <v>8.3000000000000001E-3</v>
      </c>
      <c r="O30" s="2881">
        <f t="shared" si="140"/>
        <v>1.47E-2</v>
      </c>
      <c r="P30" s="2881">
        <f t="shared" si="140"/>
        <v>6.5000000000000006E-3</v>
      </c>
      <c r="Q30" s="2881">
        <f t="shared" si="140"/>
        <v>7.1999999999999998E-3</v>
      </c>
      <c r="R30" s="2896"/>
      <c r="S30" s="2895"/>
      <c r="T30" s="2881"/>
      <c r="U30" s="2881"/>
      <c r="V30" s="2881"/>
      <c r="X30" s="2880">
        <f>ROUND(SUMPRODUCT(PRODUCT(1+N30:N$31)),4)</f>
        <v>1.0325</v>
      </c>
      <c r="Y30" s="2880">
        <f>ROUND(SUMPRODUCT(PRODUCT(1+O30:O$31)),4)</f>
        <v>1.0353000000000001</v>
      </c>
      <c r="Z30" s="2880">
        <f t="shared" ref="Z30:Z31" si="149">Y30</f>
        <v>1.0353000000000001</v>
      </c>
      <c r="AA30" s="2880">
        <f>ROUND(SUMPRODUCT(PRODUCT(1+P30:P$31)),4)</f>
        <v>1.0326</v>
      </c>
      <c r="AB30" s="2880">
        <f>ROUND(SUMPRODUCT(PRODUCT(1+Q30:Q$31)),4)</f>
        <v>1.0225</v>
      </c>
      <c r="AD30" s="2881">
        <f>ROUND(AVERAGE(I30:I$32)/100,4)</f>
        <v>2.07E-2</v>
      </c>
      <c r="AE30" s="2881">
        <f>ROUND(AVERAGE(J30:J$32)/100,4)</f>
        <v>1.95E-2</v>
      </c>
      <c r="AF30" s="2881">
        <f t="shared" si="1"/>
        <v>1.95E-2</v>
      </c>
      <c r="AG30" s="2881">
        <f>ROUND(AVERAGE(K30:K$32)/100,4)</f>
        <v>2.1700000000000001E-2</v>
      </c>
      <c r="AH30" s="2881">
        <f>ROUND(AVERAGE(L30:L$32)/100,4)</f>
        <v>1.2E-2</v>
      </c>
    </row>
    <row r="31" spans="1:34" ht="13.5" thickBot="1">
      <c r="A31" s="2892" t="s">
        <v>951</v>
      </c>
      <c r="B31" s="2893">
        <f t="shared" si="147"/>
        <v>314.72141172386546</v>
      </c>
      <c r="C31" s="2893">
        <f t="shared" si="147"/>
        <v>263.03901319069001</v>
      </c>
      <c r="D31" s="2893">
        <f t="shared" si="142"/>
        <v>263.03901319069001</v>
      </c>
      <c r="E31" s="2893">
        <f t="shared" si="148"/>
        <v>433.65745506782821</v>
      </c>
      <c r="F31" s="2893">
        <f t="shared" si="148"/>
        <v>233.23005080045735</v>
      </c>
      <c r="G31" s="3574"/>
      <c r="H31" s="2916">
        <v>2</v>
      </c>
      <c r="I31" s="2916">
        <v>2.4</v>
      </c>
      <c r="J31" s="2916">
        <v>2.0299999999999998</v>
      </c>
      <c r="K31" s="2916">
        <v>2.59</v>
      </c>
      <c r="L31" s="2917">
        <v>1.52</v>
      </c>
      <c r="N31" s="2895">
        <f t="shared" si="144"/>
        <v>2.4E-2</v>
      </c>
      <c r="O31" s="2881">
        <f t="shared" si="140"/>
        <v>2.0299999999999999E-2</v>
      </c>
      <c r="P31" s="2881">
        <f t="shared" si="140"/>
        <v>2.5899999999999999E-2</v>
      </c>
      <c r="Q31" s="2881">
        <f t="shared" si="140"/>
        <v>1.52E-2</v>
      </c>
      <c r="R31" s="2896"/>
      <c r="S31" s="2895"/>
      <c r="T31" s="2881"/>
      <c r="U31" s="2881"/>
      <c r="V31" s="2881"/>
      <c r="X31" s="2880">
        <f>1+N31</f>
        <v>1.024</v>
      </c>
      <c r="Y31" s="2880">
        <f>1+O31</f>
        <v>1.0203</v>
      </c>
      <c r="Z31" s="2880">
        <f t="shared" si="149"/>
        <v>1.0203</v>
      </c>
      <c r="AA31" s="2880">
        <f>1+P31</f>
        <v>1.0259</v>
      </c>
      <c r="AB31" s="2880">
        <f>1+Q31</f>
        <v>1.0152000000000001</v>
      </c>
      <c r="AD31" s="2881">
        <f>ROUND(AVERAGE(I31:I$32)/100,4)</f>
        <v>2.69E-2</v>
      </c>
      <c r="AE31" s="2881">
        <f>ROUND(AVERAGE(J31:J$32)/100,4)</f>
        <v>2.1899999999999999E-2</v>
      </c>
      <c r="AF31" s="2881">
        <f t="shared" ref="AF31" si="150">AE31</f>
        <v>2.1899999999999999E-2</v>
      </c>
      <c r="AG31" s="2881">
        <f>ROUND(AVERAGE(K31:K$32)/100,4)</f>
        <v>2.9399999999999999E-2</v>
      </c>
      <c r="AH31" s="2881">
        <f>ROUND(AVERAGE(L31:L$32)/100,4)</f>
        <v>1.44E-2</v>
      </c>
    </row>
    <row r="32" spans="1:34" s="2929" customFormat="1" ht="13.5" thickBot="1">
      <c r="A32" s="2925" t="s">
        <v>950</v>
      </c>
      <c r="B32" s="2926">
        <f t="shared" si="147"/>
        <v>307.34512863658733</v>
      </c>
      <c r="C32" s="2926">
        <f t="shared" si="147"/>
        <v>257.80556031626975</v>
      </c>
      <c r="D32" s="2926">
        <f t="shared" si="142"/>
        <v>257.80556031626975</v>
      </c>
      <c r="E32" s="2926">
        <f t="shared" si="148"/>
        <v>422.70928459677179</v>
      </c>
      <c r="F32" s="2926">
        <f t="shared" si="148"/>
        <v>229.73803270336617</v>
      </c>
      <c r="G32" s="3575"/>
      <c r="H32" s="2927">
        <v>1</v>
      </c>
      <c r="I32" s="2927">
        <v>2.97</v>
      </c>
      <c r="J32" s="2927">
        <v>2.34</v>
      </c>
      <c r="K32" s="2927">
        <v>3.28</v>
      </c>
      <c r="L32" s="2928">
        <v>1.36</v>
      </c>
      <c r="N32" s="2930">
        <f t="shared" si="144"/>
        <v>2.9700000000000001E-2</v>
      </c>
      <c r="O32" s="2931">
        <f t="shared" si="140"/>
        <v>2.3399999999999997E-2</v>
      </c>
      <c r="P32" s="2931">
        <f t="shared" si="140"/>
        <v>3.2799999999999996E-2</v>
      </c>
      <c r="Q32" s="2931">
        <f t="shared" si="140"/>
        <v>1.3600000000000001E-2</v>
      </c>
      <c r="R32" s="2932"/>
      <c r="S32" s="2933">
        <f>B32/B33-1</f>
        <v>2.7910129219355539E-2</v>
      </c>
      <c r="T32" s="2934">
        <f>C32/C33-1</f>
        <v>2.3037937762975247E-2</v>
      </c>
      <c r="U32" s="2934">
        <f>E32/E33-1</f>
        <v>3.3519033243940788E-2</v>
      </c>
      <c r="V32" s="2934">
        <f>F32/F33-1</f>
        <v>1.2061818076502862E-2</v>
      </c>
      <c r="W32" s="2935" t="s">
        <v>2620</v>
      </c>
      <c r="X32" s="2936">
        <v>1</v>
      </c>
      <c r="Y32" s="2936">
        <v>1</v>
      </c>
      <c r="Z32" s="2936">
        <v>1</v>
      </c>
      <c r="AA32" s="2936">
        <v>1</v>
      </c>
      <c r="AB32" s="2936">
        <v>1</v>
      </c>
      <c r="AD32" s="2931">
        <f>I32/100</f>
        <v>2.9700000000000001E-2</v>
      </c>
      <c r="AE32" s="2931">
        <f>J32/100</f>
        <v>2.3399999999999997E-2</v>
      </c>
      <c r="AF32" s="2931">
        <f>AE32</f>
        <v>2.3399999999999997E-2</v>
      </c>
      <c r="AG32" s="2931">
        <f>K32/100</f>
        <v>3.2799999999999996E-2</v>
      </c>
      <c r="AH32" s="2931">
        <f>L32/100</f>
        <v>1.3600000000000001E-2</v>
      </c>
    </row>
    <row r="33" spans="1:26" ht="13.5" thickBot="1">
      <c r="A33" s="2892" t="s">
        <v>2563</v>
      </c>
      <c r="B33" s="2914">
        <v>299</v>
      </c>
      <c r="C33" s="2914">
        <v>252</v>
      </c>
      <c r="D33" s="2914">
        <f t="shared" si="142"/>
        <v>252</v>
      </c>
      <c r="E33" s="2914">
        <v>409</v>
      </c>
      <c r="F33" s="2915">
        <v>227</v>
      </c>
      <c r="G33" s="3576">
        <v>2013</v>
      </c>
      <c r="H33" s="2937">
        <v>4</v>
      </c>
      <c r="I33" s="2937">
        <v>1.83</v>
      </c>
      <c r="J33" s="2937">
        <v>1.68</v>
      </c>
      <c r="K33" s="2937">
        <v>1.97</v>
      </c>
      <c r="L33" s="2938">
        <v>0.87</v>
      </c>
      <c r="N33" s="2911">
        <f t="shared" si="144"/>
        <v>1.83E-2</v>
      </c>
      <c r="O33" s="2912">
        <f t="shared" si="140"/>
        <v>1.6799999999999999E-2</v>
      </c>
      <c r="P33" s="2912">
        <f t="shared" si="140"/>
        <v>1.9699999999999999E-2</v>
      </c>
      <c r="Q33" s="2912">
        <f t="shared" si="140"/>
        <v>8.6999999999999994E-3</v>
      </c>
      <c r="R33" s="2896"/>
      <c r="S33" s="2905"/>
      <c r="T33" s="2906"/>
      <c r="U33" s="2906"/>
      <c r="V33" s="2906"/>
      <c r="X33" s="2906"/>
      <c r="Y33" s="2906"/>
      <c r="Z33" s="2906"/>
    </row>
    <row r="34" spans="1:26">
      <c r="A34" s="2892" t="s">
        <v>2564</v>
      </c>
      <c r="B34" s="2893">
        <f t="shared" ref="B34:C36" si="151">B33/(1+N33)</f>
        <v>293.62663262299913</v>
      </c>
      <c r="C34" s="2893">
        <f t="shared" si="151"/>
        <v>247.83634933123525</v>
      </c>
      <c r="D34" s="2893">
        <f t="shared" si="142"/>
        <v>247.83634933123525</v>
      </c>
      <c r="E34" s="2893">
        <f t="shared" ref="E34:F36" si="152">E33/(1+P33)</f>
        <v>401.09836226341076</v>
      </c>
      <c r="F34" s="2893">
        <f t="shared" si="152"/>
        <v>225.04213343908003</v>
      </c>
      <c r="G34" s="3577"/>
      <c r="H34" s="2919">
        <v>3</v>
      </c>
      <c r="I34" s="2919">
        <v>1.86</v>
      </c>
      <c r="J34" s="2919">
        <v>1.72</v>
      </c>
      <c r="K34" s="2919">
        <v>1.98</v>
      </c>
      <c r="L34" s="2920">
        <v>0.88</v>
      </c>
      <c r="N34" s="2895">
        <f t="shared" si="144"/>
        <v>1.8600000000000002E-2</v>
      </c>
      <c r="O34" s="2913">
        <f t="shared" si="140"/>
        <v>1.72E-2</v>
      </c>
      <c r="P34" s="2913">
        <f t="shared" si="140"/>
        <v>1.9799999999999998E-2</v>
      </c>
      <c r="Q34" s="2913">
        <f t="shared" si="140"/>
        <v>8.8000000000000005E-3</v>
      </c>
      <c r="R34" s="2896"/>
      <c r="S34" s="2895"/>
      <c r="T34" s="2881"/>
      <c r="U34" s="2881"/>
      <c r="V34" s="2881"/>
    </row>
    <row r="35" spans="1:26">
      <c r="A35" s="2892" t="s">
        <v>2565</v>
      </c>
      <c r="B35" s="2893">
        <f t="shared" si="151"/>
        <v>288.2649053828776</v>
      </c>
      <c r="C35" s="2893">
        <f t="shared" si="151"/>
        <v>243.64564425013293</v>
      </c>
      <c r="D35" s="2893">
        <f t="shared" si="142"/>
        <v>243.64564425013293</v>
      </c>
      <c r="E35" s="2893">
        <f t="shared" si="152"/>
        <v>393.31080825986544</v>
      </c>
      <c r="F35" s="2893">
        <f t="shared" si="152"/>
        <v>223.07903790551154</v>
      </c>
      <c r="G35" s="3577"/>
      <c r="H35" s="2907">
        <v>2</v>
      </c>
      <c r="I35" s="2907">
        <v>2.04</v>
      </c>
      <c r="J35" s="2907">
        <v>2.33</v>
      </c>
      <c r="K35" s="2907">
        <v>2.0699999999999998</v>
      </c>
      <c r="L35" s="2908">
        <v>0.69</v>
      </c>
      <c r="N35" s="2895">
        <f t="shared" si="144"/>
        <v>2.0400000000000001E-2</v>
      </c>
      <c r="O35" s="2913">
        <f t="shared" si="140"/>
        <v>2.3300000000000001E-2</v>
      </c>
      <c r="P35" s="2913">
        <f t="shared" si="140"/>
        <v>2.07E-2</v>
      </c>
      <c r="Q35" s="2913">
        <f t="shared" si="140"/>
        <v>6.8999999999999999E-3</v>
      </c>
      <c r="R35" s="2896"/>
      <c r="S35" s="2895"/>
      <c r="T35" s="2881"/>
      <c r="U35" s="2881"/>
      <c r="V35" s="2881"/>
      <c r="X35" s="2939"/>
      <c r="Y35" s="2940"/>
    </row>
    <row r="36" spans="1:26">
      <c r="A36" s="2892" t="s">
        <v>2566</v>
      </c>
      <c r="B36" s="2893">
        <f t="shared" si="151"/>
        <v>282.50186729015837</v>
      </c>
      <c r="C36" s="2893">
        <f t="shared" si="151"/>
        <v>238.09796174155468</v>
      </c>
      <c r="D36" s="2893">
        <f t="shared" si="142"/>
        <v>238.09796174155468</v>
      </c>
      <c r="E36" s="2893">
        <f t="shared" si="152"/>
        <v>385.33438646014054</v>
      </c>
      <c r="F36" s="2893">
        <f t="shared" si="152"/>
        <v>221.55034055567739</v>
      </c>
      <c r="G36" s="3578"/>
      <c r="H36" s="2894">
        <v>1</v>
      </c>
      <c r="I36" s="2894">
        <v>1.67</v>
      </c>
      <c r="J36" s="2894">
        <v>1.31</v>
      </c>
      <c r="K36" s="2894">
        <v>1.85</v>
      </c>
      <c r="L36" s="2900">
        <v>0.96</v>
      </c>
      <c r="N36" s="2897">
        <f t="shared" si="144"/>
        <v>1.67E-2</v>
      </c>
      <c r="O36" s="2898">
        <f t="shared" si="140"/>
        <v>1.3100000000000001E-2</v>
      </c>
      <c r="P36" s="2898">
        <f t="shared" si="140"/>
        <v>1.8500000000000003E-2</v>
      </c>
      <c r="Q36" s="2898">
        <f t="shared" si="140"/>
        <v>9.5999999999999992E-3</v>
      </c>
      <c r="R36" s="2896"/>
      <c r="S36" s="2897">
        <f>B36/B37-1</f>
        <v>1.6193767230785472E-2</v>
      </c>
      <c r="T36" s="2898">
        <f>C36/C37-1</f>
        <v>1.7512657015190891E-2</v>
      </c>
      <c r="U36" s="2898">
        <f>E36/E37-1</f>
        <v>1.6713420739157048E-2</v>
      </c>
      <c r="V36" s="2898">
        <f>F36/F37-1</f>
        <v>7.0470025258062563E-3</v>
      </c>
      <c r="X36" s="2941"/>
      <c r="Y36" s="2881"/>
      <c r="Z36" s="2881"/>
    </row>
    <row r="37" spans="1:26" ht="13.5" thickBot="1">
      <c r="A37" s="2892" t="s">
        <v>2567</v>
      </c>
      <c r="B37" s="2942">
        <v>278</v>
      </c>
      <c r="C37" s="2942">
        <v>234</v>
      </c>
      <c r="D37" s="2942">
        <f t="shared" si="142"/>
        <v>234</v>
      </c>
      <c r="E37" s="2942">
        <v>379</v>
      </c>
      <c r="F37" s="2943">
        <v>220</v>
      </c>
      <c r="G37" s="3573">
        <v>2012</v>
      </c>
      <c r="H37" s="2916">
        <v>4</v>
      </c>
      <c r="I37" s="2916">
        <v>0.91</v>
      </c>
      <c r="J37" s="2916">
        <v>0.68</v>
      </c>
      <c r="K37" s="2916">
        <v>0.98</v>
      </c>
      <c r="L37" s="2917">
        <v>0.9</v>
      </c>
      <c r="N37" s="2895">
        <f t="shared" si="144"/>
        <v>9.1000000000000004E-3</v>
      </c>
      <c r="O37" s="2881">
        <f t="shared" si="144"/>
        <v>6.8000000000000005E-3</v>
      </c>
      <c r="P37" s="2881">
        <f t="shared" si="144"/>
        <v>9.7999999999999997E-3</v>
      </c>
      <c r="Q37" s="2881">
        <f t="shared" si="144"/>
        <v>9.0000000000000011E-3</v>
      </c>
      <c r="R37" s="2896"/>
      <c r="S37" s="2905"/>
      <c r="T37" s="2906"/>
      <c r="U37" s="2906"/>
      <c r="V37" s="2906"/>
      <c r="X37" s="2906"/>
      <c r="Y37" s="2906"/>
      <c r="Z37" s="2906"/>
    </row>
    <row r="38" spans="1:26">
      <c r="A38" s="2892" t="s">
        <v>2568</v>
      </c>
      <c r="B38" s="2893">
        <f>B37/(1+N37)</f>
        <v>275.49301357645425</v>
      </c>
      <c r="C38" s="2893">
        <f>C37/(1+O37)</f>
        <v>232.41954707985698</v>
      </c>
      <c r="D38" s="2893">
        <f t="shared" si="142"/>
        <v>232.41954707985698</v>
      </c>
      <c r="E38" s="2893">
        <f t="shared" ref="E38:F40" si="153">E37/(1+P37)</f>
        <v>375.32184591008121</v>
      </c>
      <c r="F38" s="2893">
        <f t="shared" si="153"/>
        <v>218.03766105054513</v>
      </c>
      <c r="G38" s="3574"/>
      <c r="H38" s="2919">
        <v>3</v>
      </c>
      <c r="I38" s="2919">
        <v>0.09</v>
      </c>
      <c r="J38" s="2919">
        <v>0.28999999999999998</v>
      </c>
      <c r="K38" s="2919">
        <v>-0.01</v>
      </c>
      <c r="L38" s="2920">
        <v>0.57999999999999996</v>
      </c>
      <c r="N38" s="2895">
        <f t="shared" si="144"/>
        <v>8.9999999999999998E-4</v>
      </c>
      <c r="O38" s="2881">
        <f t="shared" si="144"/>
        <v>2.8999999999999998E-3</v>
      </c>
      <c r="P38" s="2881">
        <f t="shared" si="144"/>
        <v>-1E-4</v>
      </c>
      <c r="Q38" s="2881">
        <f t="shared" si="144"/>
        <v>5.7999999999999996E-3</v>
      </c>
      <c r="R38" s="2896"/>
      <c r="S38" s="2895"/>
      <c r="T38" s="2881"/>
      <c r="U38" s="2881"/>
      <c r="V38" s="2881"/>
    </row>
    <row r="39" spans="1:26">
      <c r="A39" s="2892" t="s">
        <v>2569</v>
      </c>
      <c r="B39" s="2893">
        <f>B38/(1+N38)</f>
        <v>275.24529281292263</v>
      </c>
      <c r="C39" s="2893">
        <f>C38/(1+O38)</f>
        <v>231.74747938962707</v>
      </c>
      <c r="D39" s="2893">
        <f t="shared" si="142"/>
        <v>231.74747938962707</v>
      </c>
      <c r="E39" s="2893">
        <f t="shared" si="153"/>
        <v>375.35938184826603</v>
      </c>
      <c r="F39" s="2893">
        <f t="shared" si="153"/>
        <v>216.78033510692495</v>
      </c>
      <c r="G39" s="3574"/>
      <c r="H39" s="2907">
        <v>2</v>
      </c>
      <c r="I39" s="2907">
        <v>0.02</v>
      </c>
      <c r="J39" s="2907">
        <v>0.12</v>
      </c>
      <c r="K39" s="2907">
        <v>-0.08</v>
      </c>
      <c r="L39" s="2908">
        <v>1.24</v>
      </c>
      <c r="N39" s="2895">
        <f t="shared" si="144"/>
        <v>2.0000000000000001E-4</v>
      </c>
      <c r="O39" s="2881">
        <f t="shared" si="144"/>
        <v>1.1999999999999999E-3</v>
      </c>
      <c r="P39" s="2881">
        <f t="shared" si="144"/>
        <v>-8.0000000000000004E-4</v>
      </c>
      <c r="Q39" s="2881">
        <f t="shared" si="144"/>
        <v>1.24E-2</v>
      </c>
      <c r="R39" s="2896"/>
      <c r="S39" s="2895"/>
      <c r="T39" s="2881"/>
      <c r="U39" s="2881"/>
      <c r="V39" s="2881"/>
    </row>
    <row r="40" spans="1:26" ht="13.5" thickBot="1">
      <c r="A40" s="2892" t="s">
        <v>2570</v>
      </c>
      <c r="B40" s="2893">
        <f>B39/(1+N39)</f>
        <v>275.19025476197027</v>
      </c>
      <c r="C40" s="2944">
        <v>232</v>
      </c>
      <c r="D40" s="2944">
        <f t="shared" si="142"/>
        <v>232</v>
      </c>
      <c r="E40" s="2893">
        <f t="shared" si="153"/>
        <v>375.65990977608692</v>
      </c>
      <c r="F40" s="2893">
        <f t="shared" si="153"/>
        <v>214.12518283971252</v>
      </c>
      <c r="G40" s="3575"/>
      <c r="H40" s="2894">
        <v>1</v>
      </c>
      <c r="I40" s="2894">
        <v>0.02</v>
      </c>
      <c r="J40" s="2894">
        <v>0.13</v>
      </c>
      <c r="K40" s="2894">
        <v>-0.04</v>
      </c>
      <c r="L40" s="2900">
        <v>0.46</v>
      </c>
      <c r="N40" s="2895">
        <f t="shared" si="144"/>
        <v>2.0000000000000001E-4</v>
      </c>
      <c r="O40" s="2881">
        <f t="shared" si="144"/>
        <v>1.2999999999999999E-3</v>
      </c>
      <c r="P40" s="2881">
        <f t="shared" si="144"/>
        <v>-4.0000000000000002E-4</v>
      </c>
      <c r="Q40" s="2881">
        <f t="shared" si="144"/>
        <v>4.5999999999999999E-3</v>
      </c>
      <c r="R40" s="2896"/>
      <c r="S40" s="2897">
        <f>B40/B41-1</f>
        <v>6.9183549807361189E-4</v>
      </c>
      <c r="T40" s="2898">
        <f>C40/C41-1</f>
        <v>0</v>
      </c>
      <c r="U40" s="2898">
        <f>E40/E41-1</f>
        <v>-9.0449527636460303E-4</v>
      </c>
      <c r="V40" s="2898">
        <f>F40/F41-1</f>
        <v>5.2825485432512753E-3</v>
      </c>
      <c r="X40" s="2881"/>
      <c r="Y40" s="2881"/>
      <c r="Z40" s="2881"/>
    </row>
    <row r="41" spans="1:26" ht="13.5" thickBot="1">
      <c r="A41" s="2892" t="s">
        <v>2571</v>
      </c>
      <c r="B41" s="2914">
        <v>275</v>
      </c>
      <c r="C41" s="2914">
        <v>232</v>
      </c>
      <c r="D41" s="2914">
        <f t="shared" si="142"/>
        <v>232</v>
      </c>
      <c r="E41" s="2914">
        <v>376</v>
      </c>
      <c r="F41" s="2915">
        <v>213</v>
      </c>
      <c r="G41" s="3573">
        <v>2011</v>
      </c>
      <c r="H41" s="2916">
        <v>4</v>
      </c>
      <c r="I41" s="2916">
        <v>-0.2</v>
      </c>
      <c r="J41" s="2916">
        <v>0.04</v>
      </c>
      <c r="K41" s="2916">
        <v>-0.34</v>
      </c>
      <c r="L41" s="2917">
        <v>0.46</v>
      </c>
      <c r="N41" s="2911">
        <f t="shared" si="144"/>
        <v>-2E-3</v>
      </c>
      <c r="O41" s="2912">
        <f t="shared" si="144"/>
        <v>4.0000000000000002E-4</v>
      </c>
      <c r="P41" s="2912">
        <f t="shared" si="144"/>
        <v>-3.4000000000000002E-3</v>
      </c>
      <c r="Q41" s="2912">
        <f t="shared" si="144"/>
        <v>4.5999999999999999E-3</v>
      </c>
      <c r="R41" s="2896"/>
      <c r="S41" s="2905"/>
      <c r="T41" s="2906"/>
      <c r="U41" s="2906"/>
      <c r="V41" s="2906"/>
      <c r="X41" s="2906"/>
      <c r="Y41" s="2906"/>
      <c r="Z41" s="2906"/>
    </row>
    <row r="42" spans="1:26">
      <c r="A42" s="2892" t="s">
        <v>2572</v>
      </c>
      <c r="B42" s="2893">
        <f t="shared" ref="B42:C44" si="154">B41/(1+N41)</f>
        <v>275.55110220440883</v>
      </c>
      <c r="C42" s="2893">
        <f t="shared" si="154"/>
        <v>231.90723710515795</v>
      </c>
      <c r="D42" s="2893">
        <f t="shared" si="142"/>
        <v>231.90723710515795</v>
      </c>
      <c r="E42" s="2893">
        <f t="shared" ref="E42:F44" si="155">E41/(1+P41)</f>
        <v>377.28276138872161</v>
      </c>
      <c r="F42" s="2893">
        <f t="shared" si="155"/>
        <v>212.02468644236512</v>
      </c>
      <c r="G42" s="3574">
        <v>2011</v>
      </c>
      <c r="H42" s="2919">
        <v>3</v>
      </c>
      <c r="I42" s="2919">
        <v>0.13</v>
      </c>
      <c r="J42" s="2919">
        <v>0.75</v>
      </c>
      <c r="K42" s="2919">
        <v>-0.08</v>
      </c>
      <c r="L42" s="2920">
        <v>0.53</v>
      </c>
      <c r="N42" s="2895">
        <f t="shared" si="144"/>
        <v>1.2999999999999999E-3</v>
      </c>
      <c r="O42" s="2913">
        <f t="shared" si="144"/>
        <v>7.4999999999999997E-3</v>
      </c>
      <c r="P42" s="2913">
        <f t="shared" si="144"/>
        <v>-8.0000000000000004E-4</v>
      </c>
      <c r="Q42" s="2913">
        <f t="shared" si="144"/>
        <v>5.3E-3</v>
      </c>
      <c r="R42" s="2896"/>
      <c r="S42" s="2895"/>
      <c r="T42" s="2881"/>
      <c r="U42" s="2881"/>
      <c r="V42" s="2881"/>
    </row>
    <row r="43" spans="1:26">
      <c r="A43" s="2892" t="s">
        <v>2573</v>
      </c>
      <c r="B43" s="2893">
        <f t="shared" si="154"/>
        <v>275.19335084830601</v>
      </c>
      <c r="C43" s="2893">
        <f t="shared" si="154"/>
        <v>230.18088050139744</v>
      </c>
      <c r="D43" s="2893">
        <f t="shared" si="142"/>
        <v>230.18088050139744</v>
      </c>
      <c r="E43" s="2893">
        <f t="shared" si="155"/>
        <v>377.58482925212331</v>
      </c>
      <c r="F43" s="2893">
        <f t="shared" si="155"/>
        <v>210.90687997847917</v>
      </c>
      <c r="G43" s="3574">
        <v>2011</v>
      </c>
      <c r="H43" s="2907">
        <v>2</v>
      </c>
      <c r="I43" s="2907">
        <v>-0.4</v>
      </c>
      <c r="J43" s="2907">
        <v>0.17</v>
      </c>
      <c r="K43" s="2907">
        <v>-0.57999999999999996</v>
      </c>
      <c r="L43" s="2908">
        <v>-0.2</v>
      </c>
      <c r="N43" s="2895">
        <f t="shared" si="144"/>
        <v>-4.0000000000000001E-3</v>
      </c>
      <c r="O43" s="2913">
        <f t="shared" si="144"/>
        <v>1.7000000000000001E-3</v>
      </c>
      <c r="P43" s="2913">
        <f t="shared" si="144"/>
        <v>-5.7999999999999996E-3</v>
      </c>
      <c r="Q43" s="2913">
        <f t="shared" si="144"/>
        <v>-2E-3</v>
      </c>
      <c r="R43" s="2896"/>
      <c r="S43" s="2895"/>
      <c r="T43" s="2881"/>
      <c r="U43" s="2881"/>
      <c r="V43" s="2881"/>
    </row>
    <row r="44" spans="1:26" ht="13.5" thickBot="1">
      <c r="A44" s="2892" t="s">
        <v>2574</v>
      </c>
      <c r="B44" s="2893">
        <f t="shared" si="154"/>
        <v>276.29854502841971</v>
      </c>
      <c r="C44" s="2893">
        <f t="shared" si="154"/>
        <v>229.79023709833027</v>
      </c>
      <c r="D44" s="2893">
        <f t="shared" si="142"/>
        <v>229.79023709833027</v>
      </c>
      <c r="E44" s="2893">
        <f t="shared" si="155"/>
        <v>379.78759731655936</v>
      </c>
      <c r="F44" s="2893">
        <f t="shared" si="155"/>
        <v>211.32953905659235</v>
      </c>
      <c r="G44" s="3575">
        <v>2011</v>
      </c>
      <c r="H44" s="2894">
        <v>1</v>
      </c>
      <c r="I44" s="2894">
        <v>2.65</v>
      </c>
      <c r="J44" s="2894">
        <v>3.76</v>
      </c>
      <c r="K44" s="2894">
        <v>1.89</v>
      </c>
      <c r="L44" s="2900">
        <v>7.95</v>
      </c>
      <c r="N44" s="2897">
        <f t="shared" si="144"/>
        <v>2.6499999999999999E-2</v>
      </c>
      <c r="O44" s="2898">
        <f t="shared" si="144"/>
        <v>3.7599999999999995E-2</v>
      </c>
      <c r="P44" s="2898">
        <f t="shared" si="144"/>
        <v>1.89E-2</v>
      </c>
      <c r="Q44" s="2898">
        <f t="shared" si="144"/>
        <v>7.9500000000000001E-2</v>
      </c>
      <c r="R44" s="2896"/>
      <c r="S44" s="2897">
        <f>B44/B45-1</f>
        <v>2.713213765211786E-2</v>
      </c>
      <c r="T44" s="2898">
        <f>C44/C45-1</f>
        <v>3.9774828499231862E-2</v>
      </c>
      <c r="U44" s="2898">
        <f>E44/E45-1</f>
        <v>1.8197311840641772E-2</v>
      </c>
      <c r="V44" s="2898">
        <f>F44/F45-1</f>
        <v>7.8211933962205826E-2</v>
      </c>
      <c r="X44" s="2881"/>
      <c r="Y44" s="2881"/>
      <c r="Z44" s="2881"/>
    </row>
    <row r="45" spans="1:26" ht="13.5" thickBot="1">
      <c r="A45" s="2892" t="s">
        <v>2575</v>
      </c>
      <c r="B45" s="2914">
        <v>269</v>
      </c>
      <c r="C45" s="2914">
        <v>221</v>
      </c>
      <c r="D45" s="2914">
        <f t="shared" si="142"/>
        <v>221</v>
      </c>
      <c r="E45" s="2914">
        <v>373</v>
      </c>
      <c r="F45" s="2915">
        <v>196</v>
      </c>
      <c r="G45" s="3573">
        <v>2010</v>
      </c>
      <c r="H45" s="2916">
        <v>4</v>
      </c>
      <c r="I45" s="2916">
        <v>5.72</v>
      </c>
      <c r="J45" s="2916">
        <v>6.57</v>
      </c>
      <c r="K45" s="2916">
        <v>5.72</v>
      </c>
      <c r="L45" s="2917">
        <v>2.72</v>
      </c>
      <c r="N45" s="2895">
        <f t="shared" si="144"/>
        <v>5.7200000000000001E-2</v>
      </c>
      <c r="O45" s="2881">
        <f t="shared" si="144"/>
        <v>6.5700000000000008E-2</v>
      </c>
      <c r="P45" s="2881">
        <f t="shared" si="144"/>
        <v>5.7200000000000001E-2</v>
      </c>
      <c r="Q45" s="2881">
        <f t="shared" si="144"/>
        <v>2.7200000000000002E-2</v>
      </c>
      <c r="R45" s="2896"/>
      <c r="S45" s="2905"/>
      <c r="T45" s="2906"/>
      <c r="U45" s="2906"/>
      <c r="V45" s="2906"/>
      <c r="X45" s="2906"/>
      <c r="Y45" s="2906"/>
      <c r="Z45" s="2906"/>
    </row>
    <row r="46" spans="1:26">
      <c r="A46" s="2892" t="s">
        <v>2576</v>
      </c>
      <c r="B46" s="2893">
        <f t="shared" ref="B46:C48" si="156">B45/(1+N45)</f>
        <v>254.44570563753314</v>
      </c>
      <c r="C46" s="2893">
        <f t="shared" si="156"/>
        <v>207.37543398705074</v>
      </c>
      <c r="D46" s="2893">
        <f t="shared" si="142"/>
        <v>207.37543398705074</v>
      </c>
      <c r="E46" s="2893">
        <f t="shared" ref="E46:F48" si="157">E45/(1+P45)</f>
        <v>352.81876655315932</v>
      </c>
      <c r="F46" s="2893">
        <f t="shared" si="157"/>
        <v>190.809968847352</v>
      </c>
      <c r="G46" s="3574">
        <v>2010</v>
      </c>
      <c r="H46" s="2919">
        <v>3</v>
      </c>
      <c r="I46" s="2919">
        <v>4.7300000000000004</v>
      </c>
      <c r="J46" s="2919">
        <v>3.9</v>
      </c>
      <c r="K46" s="2919">
        <v>5.03</v>
      </c>
      <c r="L46" s="2920">
        <v>4.21</v>
      </c>
      <c r="N46" s="2895">
        <f t="shared" si="144"/>
        <v>4.7300000000000002E-2</v>
      </c>
      <c r="O46" s="2881">
        <f t="shared" si="144"/>
        <v>3.9E-2</v>
      </c>
      <c r="P46" s="2881">
        <f t="shared" si="144"/>
        <v>5.0300000000000004E-2</v>
      </c>
      <c r="Q46" s="2881">
        <f t="shared" si="144"/>
        <v>4.2099999999999999E-2</v>
      </c>
      <c r="R46" s="2896"/>
      <c r="S46" s="2895"/>
      <c r="T46" s="2881"/>
      <c r="U46" s="2881"/>
      <c r="V46" s="2881"/>
    </row>
    <row r="47" spans="1:26">
      <c r="A47" s="2892" t="s">
        <v>2577</v>
      </c>
      <c r="B47" s="2893">
        <f t="shared" si="156"/>
        <v>242.95398227588385</v>
      </c>
      <c r="C47" s="2893">
        <f t="shared" si="156"/>
        <v>199.59137053614126</v>
      </c>
      <c r="D47" s="2893">
        <f t="shared" si="142"/>
        <v>199.59137053614126</v>
      </c>
      <c r="E47" s="2893">
        <f t="shared" si="157"/>
        <v>335.92189522342125</v>
      </c>
      <c r="F47" s="2893">
        <f t="shared" si="157"/>
        <v>183.10139991109489</v>
      </c>
      <c r="G47" s="3574">
        <v>2010</v>
      </c>
      <c r="H47" s="2907">
        <v>2</v>
      </c>
      <c r="I47" s="2907">
        <v>4.6900000000000004</v>
      </c>
      <c r="J47" s="2907">
        <v>3.55</v>
      </c>
      <c r="K47" s="2907">
        <v>5.07</v>
      </c>
      <c r="L47" s="2908">
        <v>4.2300000000000004</v>
      </c>
      <c r="N47" s="2895">
        <f t="shared" si="144"/>
        <v>4.6900000000000004E-2</v>
      </c>
      <c r="O47" s="2881">
        <f t="shared" si="144"/>
        <v>3.5499999999999997E-2</v>
      </c>
      <c r="P47" s="2881">
        <f t="shared" si="144"/>
        <v>5.0700000000000002E-2</v>
      </c>
      <c r="Q47" s="2881">
        <f t="shared" si="144"/>
        <v>4.2300000000000004E-2</v>
      </c>
      <c r="R47" s="2896"/>
      <c r="S47" s="2895"/>
      <c r="T47" s="2881"/>
      <c r="U47" s="2881"/>
      <c r="V47" s="2881"/>
    </row>
    <row r="48" spans="1:26" ht="13.5" thickBot="1">
      <c r="A48" s="2892" t="s">
        <v>2578</v>
      </c>
      <c r="B48" s="2893">
        <f t="shared" si="156"/>
        <v>232.06990378821649</v>
      </c>
      <c r="C48" s="2893">
        <f t="shared" si="156"/>
        <v>192.74878854286936</v>
      </c>
      <c r="D48" s="2893">
        <f t="shared" si="142"/>
        <v>192.74878854286936</v>
      </c>
      <c r="E48" s="2893">
        <f t="shared" si="157"/>
        <v>319.71247284992984</v>
      </c>
      <c r="F48" s="2893">
        <f t="shared" si="157"/>
        <v>175.67053622862409</v>
      </c>
      <c r="G48" s="3575">
        <v>2010</v>
      </c>
      <c r="H48" s="2894">
        <v>1</v>
      </c>
      <c r="I48" s="2894">
        <v>5.4</v>
      </c>
      <c r="J48" s="2894">
        <v>3.2</v>
      </c>
      <c r="K48" s="2894">
        <v>6.16</v>
      </c>
      <c r="L48" s="2900">
        <v>4.51</v>
      </c>
      <c r="N48" s="2895">
        <f t="shared" si="144"/>
        <v>5.4000000000000006E-2</v>
      </c>
      <c r="O48" s="2881">
        <f t="shared" si="144"/>
        <v>3.2000000000000001E-2</v>
      </c>
      <c r="P48" s="2881">
        <f t="shared" si="144"/>
        <v>6.1600000000000002E-2</v>
      </c>
      <c r="Q48" s="2881">
        <f t="shared" si="144"/>
        <v>4.5100000000000001E-2</v>
      </c>
      <c r="R48" s="2896"/>
      <c r="S48" s="2897">
        <f>B48/B49-1</f>
        <v>5.4863199037347599E-2</v>
      </c>
      <c r="T48" s="2898">
        <f>C48/C49-1</f>
        <v>3.0742184721226584E-2</v>
      </c>
      <c r="U48" s="2898">
        <f>E48/E49-1</f>
        <v>6.2167683886810154E-2</v>
      </c>
      <c r="V48" s="2898">
        <f>F48/F49-1</f>
        <v>4.5657953741810031E-2</v>
      </c>
      <c r="X48" s="2881"/>
      <c r="Y48" s="2881"/>
      <c r="Z48" s="2881"/>
    </row>
    <row r="49" spans="1:26" ht="13.5" thickBot="1">
      <c r="A49" s="2892" t="s">
        <v>2579</v>
      </c>
      <c r="B49" s="2914">
        <v>220</v>
      </c>
      <c r="C49" s="2914">
        <v>187</v>
      </c>
      <c r="D49" s="2914">
        <f t="shared" si="142"/>
        <v>187</v>
      </c>
      <c r="E49" s="2914">
        <v>301</v>
      </c>
      <c r="F49" s="2915">
        <v>168</v>
      </c>
      <c r="G49" s="3573">
        <v>2009</v>
      </c>
      <c r="H49" s="2916">
        <v>4</v>
      </c>
      <c r="I49" s="2916">
        <v>2.2999999999999998</v>
      </c>
      <c r="J49" s="2916">
        <v>1.04</v>
      </c>
      <c r="K49" s="2916">
        <v>2.84</v>
      </c>
      <c r="L49" s="2917">
        <v>0.67</v>
      </c>
      <c r="N49" s="2911">
        <f t="shared" si="144"/>
        <v>2.3E-2</v>
      </c>
      <c r="O49" s="2912">
        <f t="shared" si="144"/>
        <v>1.04E-2</v>
      </c>
      <c r="P49" s="2912">
        <f t="shared" si="144"/>
        <v>2.8399999999999998E-2</v>
      </c>
      <c r="Q49" s="2912">
        <f t="shared" si="144"/>
        <v>6.7000000000000002E-3</v>
      </c>
      <c r="R49" s="2896"/>
      <c r="S49" s="2905"/>
      <c r="T49" s="2906"/>
      <c r="U49" s="2906"/>
      <c r="V49" s="2906"/>
      <c r="X49" s="2906"/>
      <c r="Y49" s="2906"/>
      <c r="Z49" s="2906"/>
    </row>
    <row r="50" spans="1:26">
      <c r="A50" s="2892" t="s">
        <v>2580</v>
      </c>
      <c r="B50" s="2893">
        <f t="shared" ref="B50:C52" si="158">B49/(1+N49)</f>
        <v>215.05376344086022</v>
      </c>
      <c r="C50" s="2893">
        <f t="shared" si="158"/>
        <v>185.0752177355503</v>
      </c>
      <c r="D50" s="2893">
        <f t="shared" si="142"/>
        <v>185.0752177355503</v>
      </c>
      <c r="E50" s="2893">
        <f t="shared" ref="E50:F52" si="159">E49/(1+P49)</f>
        <v>292.68767016725008</v>
      </c>
      <c r="F50" s="2893">
        <f t="shared" si="159"/>
        <v>166.88189132810174</v>
      </c>
      <c r="G50" s="3574">
        <v>2009</v>
      </c>
      <c r="H50" s="2919">
        <v>3</v>
      </c>
      <c r="I50" s="2919">
        <v>2.1</v>
      </c>
      <c r="J50" s="2919">
        <v>1.86</v>
      </c>
      <c r="K50" s="2919">
        <v>2.29</v>
      </c>
      <c r="L50" s="2920">
        <v>0.85</v>
      </c>
      <c r="N50" s="2895">
        <f t="shared" si="144"/>
        <v>2.1000000000000001E-2</v>
      </c>
      <c r="O50" s="2913">
        <f t="shared" si="144"/>
        <v>1.8600000000000002E-2</v>
      </c>
      <c r="P50" s="2913">
        <f t="shared" si="144"/>
        <v>2.29E-2</v>
      </c>
      <c r="Q50" s="2913">
        <f t="shared" si="144"/>
        <v>8.5000000000000006E-3</v>
      </c>
      <c r="R50" s="2896"/>
      <c r="S50" s="2895"/>
      <c r="T50" s="2881"/>
      <c r="U50" s="2881"/>
      <c r="V50" s="2881"/>
    </row>
    <row r="51" spans="1:26">
      <c r="A51" s="2892" t="s">
        <v>2581</v>
      </c>
      <c r="B51" s="2893">
        <f t="shared" si="158"/>
        <v>210.630522469011</v>
      </c>
      <c r="C51" s="2893">
        <f t="shared" si="158"/>
        <v>181.69567812247232</v>
      </c>
      <c r="D51" s="2893">
        <f t="shared" si="142"/>
        <v>181.69567812247232</v>
      </c>
      <c r="E51" s="2893">
        <f t="shared" si="159"/>
        <v>286.13517466736738</v>
      </c>
      <c r="F51" s="2893">
        <f t="shared" si="159"/>
        <v>165.47535084591149</v>
      </c>
      <c r="G51" s="3574">
        <v>2009</v>
      </c>
      <c r="H51" s="2907">
        <v>2</v>
      </c>
      <c r="I51" s="2907">
        <v>0.86</v>
      </c>
      <c r="J51" s="2907">
        <v>-1.1299999999999999</v>
      </c>
      <c r="K51" s="2907">
        <v>1.79</v>
      </c>
      <c r="L51" s="2908">
        <v>-2.0699999999999998</v>
      </c>
      <c r="N51" s="2895">
        <f t="shared" si="144"/>
        <v>8.6E-3</v>
      </c>
      <c r="O51" s="2913">
        <f t="shared" si="144"/>
        <v>-1.1299999999999999E-2</v>
      </c>
      <c r="P51" s="2913">
        <f t="shared" si="144"/>
        <v>1.7899999999999999E-2</v>
      </c>
      <c r="Q51" s="2913">
        <f t="shared" si="144"/>
        <v>-2.07E-2</v>
      </c>
      <c r="R51" s="2896"/>
      <c r="S51" s="2895"/>
      <c r="T51" s="2881"/>
      <c r="U51" s="2881"/>
      <c r="V51" s="2881"/>
    </row>
    <row r="52" spans="1:26">
      <c r="A52" s="2892" t="s">
        <v>2582</v>
      </c>
      <c r="B52" s="2893">
        <f t="shared" si="158"/>
        <v>208.83454537875372</v>
      </c>
      <c r="C52" s="2893">
        <f t="shared" si="158"/>
        <v>183.77230517090351</v>
      </c>
      <c r="D52" s="2893">
        <f t="shared" si="142"/>
        <v>183.77230517090351</v>
      </c>
      <c r="E52" s="2893">
        <f t="shared" si="159"/>
        <v>281.10342338870947</v>
      </c>
      <c r="F52" s="2893">
        <f t="shared" si="159"/>
        <v>168.97309388942256</v>
      </c>
      <c r="G52" s="3575">
        <v>2009</v>
      </c>
      <c r="H52" s="2894">
        <v>1</v>
      </c>
      <c r="I52" s="2894">
        <v>-2.64</v>
      </c>
      <c r="J52" s="2894">
        <v>-2.5299999999999998</v>
      </c>
      <c r="K52" s="2894">
        <v>-3.02</v>
      </c>
      <c r="L52" s="2900">
        <v>1.52</v>
      </c>
      <c r="N52" s="2897">
        <f t="shared" si="144"/>
        <v>-2.64E-2</v>
      </c>
      <c r="O52" s="2898">
        <f t="shared" si="144"/>
        <v>-2.53E-2</v>
      </c>
      <c r="P52" s="2898">
        <f t="shared" si="144"/>
        <v>-3.0200000000000001E-2</v>
      </c>
      <c r="Q52" s="2898">
        <f t="shared" si="144"/>
        <v>1.52E-2</v>
      </c>
      <c r="R52" s="2896"/>
      <c r="S52" s="2897">
        <f>B52/B53-1</f>
        <v>-2.4137638417038754E-2</v>
      </c>
      <c r="T52" s="2898">
        <f>C52/C53-1</f>
        <v>-2.248773845264096E-2</v>
      </c>
      <c r="U52" s="2898">
        <f>E52/E53-1</f>
        <v>-2.7323794502735366E-2</v>
      </c>
      <c r="V52" s="2898">
        <f>F52/F53-1</f>
        <v>1.7910204153148035E-2</v>
      </c>
      <c r="X52" s="2881"/>
      <c r="Y52" s="2881"/>
      <c r="Z52" s="2881"/>
    </row>
    <row r="53" spans="1:26" ht="13.5" thickBot="1">
      <c r="A53" s="2892" t="s">
        <v>2583</v>
      </c>
      <c r="B53" s="2942">
        <v>214</v>
      </c>
      <c r="C53" s="2942">
        <v>188</v>
      </c>
      <c r="D53" s="2942">
        <f t="shared" si="142"/>
        <v>188</v>
      </c>
      <c r="E53" s="2942">
        <v>289</v>
      </c>
      <c r="F53" s="2943">
        <v>166</v>
      </c>
      <c r="G53" s="3573">
        <v>2008</v>
      </c>
      <c r="H53" s="2916">
        <v>4</v>
      </c>
      <c r="I53" s="2916">
        <v>1.73</v>
      </c>
      <c r="J53" s="2916">
        <v>0.03</v>
      </c>
      <c r="K53" s="2916">
        <v>2.59</v>
      </c>
      <c r="L53" s="2917">
        <v>-1.66</v>
      </c>
      <c r="N53" s="2895">
        <f t="shared" si="144"/>
        <v>1.7299999999999999E-2</v>
      </c>
      <c r="O53" s="2881">
        <f t="shared" si="144"/>
        <v>2.9999999999999997E-4</v>
      </c>
      <c r="P53" s="2881">
        <f t="shared" si="144"/>
        <v>2.5899999999999999E-2</v>
      </c>
      <c r="Q53" s="2881">
        <f t="shared" si="144"/>
        <v>-1.66E-2</v>
      </c>
      <c r="R53" s="2896"/>
      <c r="S53" s="2905"/>
      <c r="T53" s="2906"/>
      <c r="U53" s="2906"/>
      <c r="V53" s="2906"/>
      <c r="X53" s="2906"/>
      <c r="Y53" s="2906"/>
      <c r="Z53" s="2906"/>
    </row>
    <row r="54" spans="1:26">
      <c r="A54" s="2892" t="s">
        <v>2584</v>
      </c>
      <c r="B54" s="2893">
        <f t="shared" ref="B54:C56" si="160">B53/(1+N53)</f>
        <v>210.36075887152265</v>
      </c>
      <c r="C54" s="2893">
        <f t="shared" si="160"/>
        <v>187.94361691492554</v>
      </c>
      <c r="D54" s="2893">
        <f t="shared" si="142"/>
        <v>187.94361691492554</v>
      </c>
      <c r="E54" s="2893">
        <f t="shared" ref="E54:F56" si="161">E53/(1+P53)</f>
        <v>281.70386977288234</v>
      </c>
      <c r="F54" s="2893">
        <f t="shared" si="161"/>
        <v>168.80211511083994</v>
      </c>
      <c r="G54" s="3574">
        <v>2008</v>
      </c>
      <c r="H54" s="2919">
        <v>3</v>
      </c>
      <c r="I54" s="2919">
        <v>1.96</v>
      </c>
      <c r="J54" s="2919">
        <v>2.36</v>
      </c>
      <c r="K54" s="2919">
        <v>1.82</v>
      </c>
      <c r="L54" s="2920">
        <v>2.2200000000000002</v>
      </c>
      <c r="N54" s="2895">
        <f t="shared" si="144"/>
        <v>1.9599999999999999E-2</v>
      </c>
      <c r="O54" s="2881">
        <f t="shared" si="144"/>
        <v>2.3599999999999999E-2</v>
      </c>
      <c r="P54" s="2881">
        <f t="shared" si="144"/>
        <v>1.8200000000000001E-2</v>
      </c>
      <c r="Q54" s="2881">
        <f t="shared" si="144"/>
        <v>2.2200000000000001E-2</v>
      </c>
      <c r="R54" s="2896"/>
      <c r="S54" s="2895"/>
      <c r="T54" s="2881"/>
      <c r="U54" s="2881"/>
      <c r="V54" s="2881"/>
    </row>
    <row r="55" spans="1:26">
      <c r="A55" s="2892" t="s">
        <v>2585</v>
      </c>
      <c r="B55" s="2893">
        <f t="shared" si="160"/>
        <v>206.31694671589116</v>
      </c>
      <c r="C55" s="2893">
        <f t="shared" si="160"/>
        <v>183.61041121036101</v>
      </c>
      <c r="D55" s="2893">
        <f t="shared" si="142"/>
        <v>183.61041121036101</v>
      </c>
      <c r="E55" s="2893">
        <f t="shared" si="161"/>
        <v>276.66850301795557</v>
      </c>
      <c r="F55" s="2893">
        <f t="shared" si="161"/>
        <v>165.1360938278614</v>
      </c>
      <c r="G55" s="3574">
        <v>2008</v>
      </c>
      <c r="H55" s="2907">
        <v>2</v>
      </c>
      <c r="I55" s="2907">
        <v>4.93</v>
      </c>
      <c r="J55" s="2907">
        <v>7.38</v>
      </c>
      <c r="K55" s="2907">
        <v>3.98</v>
      </c>
      <c r="L55" s="2908">
        <v>6.86</v>
      </c>
      <c r="N55" s="2895">
        <f t="shared" si="144"/>
        <v>4.9299999999999997E-2</v>
      </c>
      <c r="O55" s="2881">
        <f t="shared" si="144"/>
        <v>7.3800000000000004E-2</v>
      </c>
      <c r="P55" s="2881">
        <f t="shared" si="144"/>
        <v>3.9800000000000002E-2</v>
      </c>
      <c r="Q55" s="2881">
        <f t="shared" si="144"/>
        <v>6.8600000000000008E-2</v>
      </c>
      <c r="R55" s="2896"/>
      <c r="S55" s="2895"/>
      <c r="T55" s="2881"/>
      <c r="U55" s="2881"/>
      <c r="V55" s="2881"/>
    </row>
    <row r="56" spans="1:26" s="2948" customFormat="1" ht="13.5" thickBot="1">
      <c r="A56" s="2892" t="s">
        <v>2586</v>
      </c>
      <c r="B56" s="2945">
        <f t="shared" si="160"/>
        <v>196.62341248059772</v>
      </c>
      <c r="C56" s="2945">
        <f t="shared" si="160"/>
        <v>170.99125648199012</v>
      </c>
      <c r="D56" s="2945">
        <f t="shared" si="142"/>
        <v>170.99125648199012</v>
      </c>
      <c r="E56" s="2945">
        <f t="shared" si="161"/>
        <v>266.07857570490052</v>
      </c>
      <c r="F56" s="2945">
        <f t="shared" si="161"/>
        <v>154.53499328828505</v>
      </c>
      <c r="G56" s="3575">
        <v>2008</v>
      </c>
      <c r="H56" s="2946">
        <v>1</v>
      </c>
      <c r="I56" s="2946">
        <v>4.1399999999999997</v>
      </c>
      <c r="J56" s="2946">
        <v>3.45</v>
      </c>
      <c r="K56" s="2946">
        <v>4.95</v>
      </c>
      <c r="L56" s="2947">
        <v>4.82</v>
      </c>
      <c r="N56" s="2949">
        <f t="shared" si="144"/>
        <v>4.1399999999999999E-2</v>
      </c>
      <c r="O56" s="2950">
        <f t="shared" si="144"/>
        <v>3.4500000000000003E-2</v>
      </c>
      <c r="P56" s="2950">
        <f t="shared" si="144"/>
        <v>4.9500000000000002E-2</v>
      </c>
      <c r="Q56" s="2950">
        <f t="shared" si="144"/>
        <v>4.82E-2</v>
      </c>
      <c r="R56" s="2951"/>
      <c r="S56" s="2949">
        <f>B56/B57-1</f>
        <v>4.5869215322328349E-2</v>
      </c>
      <c r="T56" s="2950">
        <f>C56/C57-1</f>
        <v>3.6310645345394743E-2</v>
      </c>
      <c r="U56" s="2950">
        <f>E56/E57-1</f>
        <v>4.7553447657088688E-2</v>
      </c>
      <c r="V56" s="2950">
        <f>F56/F57-1</f>
        <v>4.4155360055980086E-2</v>
      </c>
      <c r="X56" s="2950"/>
      <c r="Y56" s="2950"/>
      <c r="Z56" s="2950"/>
    </row>
    <row r="57" spans="1:26" ht="13.5" thickBot="1">
      <c r="A57" s="2892" t="s">
        <v>2587</v>
      </c>
      <c r="B57" s="2914">
        <v>188</v>
      </c>
      <c r="C57" s="2914">
        <v>165</v>
      </c>
      <c r="D57" s="2914">
        <f t="shared" si="142"/>
        <v>165</v>
      </c>
      <c r="E57" s="2914">
        <v>254</v>
      </c>
      <c r="F57" s="2915">
        <v>148</v>
      </c>
      <c r="G57" s="3573">
        <v>2007</v>
      </c>
      <c r="H57" s="2952">
        <v>4</v>
      </c>
      <c r="I57" s="2952">
        <v>5.51</v>
      </c>
      <c r="J57" s="2952">
        <v>4.8899999999999997</v>
      </c>
      <c r="K57" s="2952">
        <v>6.43</v>
      </c>
      <c r="L57" s="2953">
        <v>5.36</v>
      </c>
      <c r="N57" s="2954">
        <f t="shared" ref="N57:O60" si="162">B57/B58-1</f>
        <v>4.1339718365245526E-2</v>
      </c>
      <c r="O57" s="2955">
        <f t="shared" si="162"/>
        <v>4.0324492593776018E-2</v>
      </c>
      <c r="P57" s="2955">
        <f t="shared" ref="P57:Q60" si="163">E57/E58-1</f>
        <v>6.1625555347990968E-2</v>
      </c>
      <c r="Q57" s="2955">
        <f t="shared" si="163"/>
        <v>4.6757569250590603E-2</v>
      </c>
      <c r="R57" s="2896"/>
      <c r="S57" s="2905"/>
      <c r="T57" s="2906"/>
      <c r="U57" s="2906"/>
      <c r="V57" s="2906"/>
      <c r="X57" s="2906"/>
      <c r="Y57" s="2906"/>
      <c r="Z57" s="2906"/>
    </row>
    <row r="58" spans="1:26">
      <c r="A58" s="2892" t="s">
        <v>2588</v>
      </c>
      <c r="B58" s="2893">
        <f t="shared" ref="B58:C60" si="164">B59+(B$57-B$61)*I58/SUM(I$57:I$60)</f>
        <v>180.5366651097618</v>
      </c>
      <c r="C58" s="2893">
        <f t="shared" si="164"/>
        <v>158.60435967302453</v>
      </c>
      <c r="D58" s="2893">
        <f t="shared" si="142"/>
        <v>158.60435967302453</v>
      </c>
      <c r="E58" s="2893">
        <f t="shared" ref="E58:F60" si="165">E59+(E$57-E$61)*K58/SUM(K$57:K$60)</f>
        <v>239.25573260785075</v>
      </c>
      <c r="F58" s="2893">
        <f t="shared" si="165"/>
        <v>141.38899430740037</v>
      </c>
      <c r="G58" s="3574">
        <v>2007</v>
      </c>
      <c r="H58" s="2919">
        <v>3</v>
      </c>
      <c r="I58" s="2919">
        <v>8.65</v>
      </c>
      <c r="J58" s="2919">
        <v>8.06</v>
      </c>
      <c r="K58" s="2919">
        <v>9.94</v>
      </c>
      <c r="L58" s="2920">
        <v>5.8</v>
      </c>
      <c r="N58" s="2954">
        <f t="shared" si="162"/>
        <v>6.940217571740015E-2</v>
      </c>
      <c r="O58" s="2955">
        <f t="shared" si="162"/>
        <v>7.1197482471153428E-2</v>
      </c>
      <c r="P58" s="2955">
        <f t="shared" si="163"/>
        <v>0.10529679922579582</v>
      </c>
      <c r="Q58" s="2955">
        <f t="shared" si="163"/>
        <v>5.3292245059512133E-2</v>
      </c>
      <c r="R58" s="2896"/>
      <c r="S58" s="2895"/>
      <c r="T58" s="2881"/>
      <c r="U58" s="2881"/>
      <c r="V58" s="2881"/>
      <c r="X58" s="2956"/>
      <c r="Y58" s="2956"/>
      <c r="Z58" s="2956"/>
    </row>
    <row r="59" spans="1:26">
      <c r="A59" s="2892" t="s">
        <v>2589</v>
      </c>
      <c r="B59" s="2893">
        <f t="shared" si="164"/>
        <v>168.82017748715555</v>
      </c>
      <c r="C59" s="2893">
        <f t="shared" si="164"/>
        <v>148.06267029972753</v>
      </c>
      <c r="D59" s="2893">
        <f t="shared" si="142"/>
        <v>148.06267029972753</v>
      </c>
      <c r="E59" s="2893">
        <f t="shared" si="165"/>
        <v>216.46288379323747</v>
      </c>
      <c r="F59" s="2893">
        <f t="shared" si="165"/>
        <v>134.23529411764704</v>
      </c>
      <c r="G59" s="3574">
        <v>2007</v>
      </c>
      <c r="H59" s="2907">
        <v>2</v>
      </c>
      <c r="I59" s="2907">
        <v>3.67</v>
      </c>
      <c r="J59" s="2907">
        <v>2.3199999999999998</v>
      </c>
      <c r="K59" s="2907">
        <v>5.0199999999999996</v>
      </c>
      <c r="L59" s="2908">
        <v>6.71</v>
      </c>
      <c r="N59" s="2954">
        <f t="shared" si="162"/>
        <v>3.0339138143848032E-2</v>
      </c>
      <c r="O59" s="2955">
        <f t="shared" si="162"/>
        <v>2.0922341588790472E-2</v>
      </c>
      <c r="P59" s="2955">
        <f t="shared" si="163"/>
        <v>5.6164796592717003E-2</v>
      </c>
      <c r="Q59" s="2955">
        <f t="shared" si="163"/>
        <v>6.5704536723887319E-2</v>
      </c>
      <c r="R59" s="2896"/>
      <c r="S59" s="2895"/>
      <c r="T59" s="2881"/>
      <c r="U59" s="2881"/>
      <c r="V59" s="2881"/>
      <c r="X59" s="2956"/>
      <c r="Y59" s="2956"/>
      <c r="Z59" s="2956"/>
    </row>
    <row r="60" spans="1:26">
      <c r="A60" s="2892" t="s">
        <v>2590</v>
      </c>
      <c r="B60" s="2893">
        <f t="shared" si="164"/>
        <v>163.84913591779542</v>
      </c>
      <c r="C60" s="2893">
        <f t="shared" si="164"/>
        <v>145.0283378746594</v>
      </c>
      <c r="D60" s="2893">
        <f t="shared" si="142"/>
        <v>145.0283378746594</v>
      </c>
      <c r="E60" s="2893">
        <f t="shared" si="165"/>
        <v>204.95180722891567</v>
      </c>
      <c r="F60" s="2893">
        <f t="shared" si="165"/>
        <v>125.95920303605313</v>
      </c>
      <c r="G60" s="3575">
        <v>2007</v>
      </c>
      <c r="H60" s="2894">
        <v>1</v>
      </c>
      <c r="I60" s="2894">
        <v>3.58</v>
      </c>
      <c r="J60" s="2894">
        <v>3.08</v>
      </c>
      <c r="K60" s="2894">
        <v>4.34</v>
      </c>
      <c r="L60" s="2900">
        <v>3.21</v>
      </c>
      <c r="N60" s="2957">
        <f t="shared" si="162"/>
        <v>3.0497710174814063E-2</v>
      </c>
      <c r="O60" s="2958">
        <f t="shared" si="162"/>
        <v>2.8569772160704998E-2</v>
      </c>
      <c r="P60" s="2958">
        <f t="shared" si="163"/>
        <v>5.1034908866234296E-2</v>
      </c>
      <c r="Q60" s="2958">
        <f t="shared" si="163"/>
        <v>3.245248390207478E-2</v>
      </c>
      <c r="R60" s="2896"/>
      <c r="S60" s="2897">
        <f>B60/B61-1</f>
        <v>3.0497710174814063E-2</v>
      </c>
      <c r="T60" s="2898">
        <f>C60/C61-1</f>
        <v>2.8569772160704998E-2</v>
      </c>
      <c r="U60" s="2898">
        <f>E60/E61-1</f>
        <v>5.1034908866234296E-2</v>
      </c>
      <c r="V60" s="2898">
        <f>F60/F61-1</f>
        <v>3.245248390207478E-2</v>
      </c>
      <c r="X60" s="2956"/>
      <c r="Y60" s="2956"/>
      <c r="Z60" s="2956"/>
    </row>
    <row r="61" spans="1:26" ht="13.5" thickBot="1">
      <c r="A61" s="2892" t="s">
        <v>2591</v>
      </c>
      <c r="B61" s="2921">
        <v>159</v>
      </c>
      <c r="C61" s="2921">
        <v>141</v>
      </c>
      <c r="D61" s="2921">
        <f t="shared" si="142"/>
        <v>141</v>
      </c>
      <c r="E61" s="2921">
        <v>195</v>
      </c>
      <c r="F61" s="2922">
        <v>122</v>
      </c>
      <c r="G61" s="3573">
        <v>2006</v>
      </c>
      <c r="H61" s="2916">
        <v>4</v>
      </c>
      <c r="I61" s="2916">
        <v>3.79</v>
      </c>
      <c r="J61" s="2916">
        <v>2.21</v>
      </c>
      <c r="K61" s="2916">
        <v>5.65</v>
      </c>
      <c r="L61" s="2917">
        <v>5.41</v>
      </c>
      <c r="N61" s="2954">
        <f t="shared" ref="N61:O64" si="166">I61/SUM(I$61:I$64)*(B$61/B$65-1)</f>
        <v>7.245466462748526E-2</v>
      </c>
      <c r="O61" s="2955">
        <f t="shared" si="166"/>
        <v>2.3237230038062766E-2</v>
      </c>
      <c r="P61" s="2955">
        <f t="shared" ref="P61:Q64" si="167">K61/SUM(K$61:K$64)*(E$61/E$65-1)</f>
        <v>0.16146893866323722</v>
      </c>
      <c r="Q61" s="2955">
        <f t="shared" si="167"/>
        <v>5.0755230321793784E-2</v>
      </c>
      <c r="R61" s="2896"/>
      <c r="S61" s="2905"/>
      <c r="T61" s="2906"/>
      <c r="U61" s="2906"/>
      <c r="V61" s="2906"/>
      <c r="X61" s="2956"/>
      <c r="Y61" s="2956"/>
      <c r="Z61" s="2956"/>
    </row>
    <row r="62" spans="1:26">
      <c r="A62" s="2892" t="s">
        <v>2592</v>
      </c>
      <c r="B62" s="2893">
        <f t="shared" ref="B62:C64" si="168">B63+(B$61-B$65)*I62/SUM(I$61:I$64)</f>
        <v>149.00125628140702</v>
      </c>
      <c r="C62" s="2893">
        <f t="shared" si="168"/>
        <v>137.95592286501378</v>
      </c>
      <c r="D62" s="2893">
        <f t="shared" si="142"/>
        <v>137.95592286501378</v>
      </c>
      <c r="E62" s="2893">
        <f t="shared" ref="E62:F64" si="169">E63+(E$61-E$65)*K62/SUM(K$61:K$64)</f>
        <v>169.97231450719823</v>
      </c>
      <c r="F62" s="2893">
        <f t="shared" si="169"/>
        <v>116.21390374331551</v>
      </c>
      <c r="G62" s="3574">
        <v>2006</v>
      </c>
      <c r="H62" s="2919">
        <v>3</v>
      </c>
      <c r="I62" s="2919">
        <v>0.92</v>
      </c>
      <c r="J62" s="2919">
        <v>1.08</v>
      </c>
      <c r="K62" s="2919">
        <v>0.73</v>
      </c>
      <c r="L62" s="2920">
        <v>1.08</v>
      </c>
      <c r="N62" s="2954">
        <f t="shared" si="166"/>
        <v>1.7587939698492462E-2</v>
      </c>
      <c r="O62" s="2955">
        <f t="shared" si="166"/>
        <v>1.1355750425840628E-2</v>
      </c>
      <c r="P62" s="2955">
        <f t="shared" si="167"/>
        <v>2.0862358446754544E-2</v>
      </c>
      <c r="Q62" s="2955">
        <f t="shared" si="167"/>
        <v>1.0132282578103011E-2</v>
      </c>
      <c r="R62" s="2896"/>
      <c r="S62" s="2895"/>
      <c r="T62" s="2881"/>
      <c r="U62" s="2881"/>
      <c r="V62" s="2881"/>
      <c r="X62" s="2956"/>
      <c r="Y62" s="2956"/>
      <c r="Z62" s="2956"/>
    </row>
    <row r="63" spans="1:26">
      <c r="A63" s="2892" t="s">
        <v>2593</v>
      </c>
      <c r="B63" s="2893">
        <f t="shared" si="168"/>
        <v>146.57412060301507</v>
      </c>
      <c r="C63" s="2893">
        <f t="shared" si="168"/>
        <v>136.46831955922866</v>
      </c>
      <c r="D63" s="2893">
        <f t="shared" si="142"/>
        <v>136.46831955922866</v>
      </c>
      <c r="E63" s="2893">
        <f t="shared" si="169"/>
        <v>166.73864894795128</v>
      </c>
      <c r="F63" s="2893">
        <f t="shared" si="169"/>
        <v>115.05882352941177</v>
      </c>
      <c r="G63" s="3574">
        <v>2006</v>
      </c>
      <c r="H63" s="2907">
        <v>2</v>
      </c>
      <c r="I63" s="2907">
        <v>0.96</v>
      </c>
      <c r="J63" s="2907">
        <v>0.25</v>
      </c>
      <c r="K63" s="2907">
        <v>1.9</v>
      </c>
      <c r="L63" s="2908">
        <v>0.95</v>
      </c>
      <c r="N63" s="2954">
        <f t="shared" si="166"/>
        <v>1.8352632728861701E-2</v>
      </c>
      <c r="O63" s="2955">
        <f t="shared" si="166"/>
        <v>2.6286459319075526E-3</v>
      </c>
      <c r="P63" s="2955">
        <f t="shared" si="167"/>
        <v>5.4299289107991269E-2</v>
      </c>
      <c r="Q63" s="2955">
        <f t="shared" si="167"/>
        <v>8.9126559714794995E-3</v>
      </c>
      <c r="R63" s="2896"/>
      <c r="S63" s="2895"/>
      <c r="T63" s="2881"/>
      <c r="U63" s="2881"/>
      <c r="V63" s="2881"/>
      <c r="X63" s="2956"/>
      <c r="Y63" s="2956"/>
      <c r="Z63" s="2956"/>
    </row>
    <row r="64" spans="1:26">
      <c r="A64" s="2892" t="s">
        <v>2594</v>
      </c>
      <c r="B64" s="2893">
        <f t="shared" si="168"/>
        <v>144.04145728643215</v>
      </c>
      <c r="C64" s="2893">
        <f t="shared" si="168"/>
        <v>136.12396694214877</v>
      </c>
      <c r="D64" s="2893">
        <f t="shared" si="142"/>
        <v>136.12396694214877</v>
      </c>
      <c r="E64" s="2893">
        <f t="shared" si="169"/>
        <v>158.32225913621264</v>
      </c>
      <c r="F64" s="2893">
        <f t="shared" si="169"/>
        <v>114.04278074866311</v>
      </c>
      <c r="G64" s="3575">
        <v>2006</v>
      </c>
      <c r="H64" s="2894">
        <v>1</v>
      </c>
      <c r="I64" s="2894">
        <v>2.29</v>
      </c>
      <c r="J64" s="2894">
        <v>3.72</v>
      </c>
      <c r="K64" s="2894">
        <v>0.75</v>
      </c>
      <c r="L64" s="2900">
        <v>0.04</v>
      </c>
      <c r="N64" s="2957">
        <f t="shared" si="166"/>
        <v>4.3778675988638847E-2</v>
      </c>
      <c r="O64" s="2958">
        <f t="shared" si="166"/>
        <v>3.9114251466784385E-2</v>
      </c>
      <c r="P64" s="2958">
        <f t="shared" si="167"/>
        <v>2.1433929911049188E-2</v>
      </c>
      <c r="Q64" s="2958">
        <f t="shared" si="167"/>
        <v>3.7526972511492629E-4</v>
      </c>
      <c r="R64" s="2896"/>
      <c r="S64" s="2897">
        <f>B64/B65-1</f>
        <v>4.3778675988638716E-2</v>
      </c>
      <c r="T64" s="2898">
        <f>C64/C65-1</f>
        <v>3.91142514667846E-2</v>
      </c>
      <c r="U64" s="2898">
        <f>E64/E65-1</f>
        <v>2.143392991104931E-2</v>
      </c>
      <c r="V64" s="2898">
        <f>F64/F65-1</f>
        <v>3.7526972511492396E-4</v>
      </c>
      <c r="X64" s="2956"/>
      <c r="Y64" s="2956"/>
      <c r="Z64" s="2956"/>
    </row>
    <row r="65" spans="1:26" ht="13.5" thickBot="1">
      <c r="A65" s="2892" t="s">
        <v>2595</v>
      </c>
      <c r="B65" s="2921">
        <v>138</v>
      </c>
      <c r="C65" s="2921">
        <v>131</v>
      </c>
      <c r="D65" s="2921">
        <f t="shared" si="142"/>
        <v>131</v>
      </c>
      <c r="E65" s="2921">
        <v>155</v>
      </c>
      <c r="F65" s="2922">
        <v>114</v>
      </c>
      <c r="G65" s="3573">
        <v>2005</v>
      </c>
      <c r="H65" s="2916">
        <v>4</v>
      </c>
      <c r="I65" s="2916">
        <v>3.29</v>
      </c>
      <c r="J65" s="2916">
        <v>1.44</v>
      </c>
      <c r="K65" s="2916">
        <v>0.66</v>
      </c>
      <c r="L65" s="2917">
        <v>7.78</v>
      </c>
      <c r="N65" s="2954">
        <f t="shared" ref="N65:O68" si="170">I65/SUM(I$65:I$68)*(B$65/B$69-1)</f>
        <v>9.9404603216919935E-2</v>
      </c>
      <c r="O65" s="2955">
        <f t="shared" si="170"/>
        <v>4.7636550760861554E-2</v>
      </c>
      <c r="P65" s="2955">
        <f t="shared" ref="P65:Q68" si="171">K65/SUM(K$65:K$68)*(E$65/E$69-1)</f>
        <v>8.3756345177664976E-2</v>
      </c>
      <c r="Q65" s="2955">
        <f t="shared" si="171"/>
        <v>5.2148766661559584E-2</v>
      </c>
      <c r="R65" s="2896"/>
      <c r="S65" s="2905"/>
      <c r="T65" s="2906"/>
      <c r="U65" s="2906"/>
      <c r="V65" s="2906"/>
      <c r="X65" s="2956"/>
      <c r="Y65" s="2956"/>
      <c r="Z65" s="2956"/>
    </row>
    <row r="66" spans="1:26">
      <c r="A66" s="2892" t="s">
        <v>2596</v>
      </c>
      <c r="B66" s="2893">
        <f t="shared" ref="B66:C68" si="172">B67+(B$65-B$69)*I66/SUM(I$65:I$68)</f>
        <v>125.9720430107527</v>
      </c>
      <c r="C66" s="2893">
        <f t="shared" si="172"/>
        <v>125.1883408071749</v>
      </c>
      <c r="D66" s="2893">
        <f t="shared" si="142"/>
        <v>125.1883408071749</v>
      </c>
      <c r="E66" s="2893">
        <f t="shared" ref="E66:F68" si="173">E67+(E$65-E$69)*K66/SUM(K$65:K$68)</f>
        <v>144.61421319796952</v>
      </c>
      <c r="F66" s="2893">
        <f t="shared" si="173"/>
        <v>108.42008196721311</v>
      </c>
      <c r="G66" s="3574">
        <v>2005</v>
      </c>
      <c r="H66" s="2919">
        <v>3</v>
      </c>
      <c r="I66" s="2919">
        <v>0.46</v>
      </c>
      <c r="J66" s="2919">
        <v>0.32</v>
      </c>
      <c r="K66" s="2919">
        <v>0.42</v>
      </c>
      <c r="L66" s="2920">
        <v>0.64</v>
      </c>
      <c r="N66" s="2954">
        <f t="shared" si="170"/>
        <v>1.3898515951301874E-2</v>
      </c>
      <c r="O66" s="2955">
        <f t="shared" si="170"/>
        <v>1.0585900169080346E-2</v>
      </c>
      <c r="P66" s="2955">
        <f t="shared" si="171"/>
        <v>5.3299492385786795E-2</v>
      </c>
      <c r="Q66" s="2955">
        <f t="shared" si="171"/>
        <v>4.2898728359123568E-3</v>
      </c>
      <c r="R66" s="2896"/>
      <c r="S66" s="2895"/>
      <c r="T66" s="2881"/>
      <c r="U66" s="2881"/>
      <c r="V66" s="2881"/>
      <c r="X66" s="2956"/>
      <c r="Y66" s="2956"/>
      <c r="Z66" s="2956"/>
    </row>
    <row r="67" spans="1:26">
      <c r="A67" s="2892" t="s">
        <v>2597</v>
      </c>
      <c r="B67" s="2893">
        <f t="shared" si="172"/>
        <v>124.29032258064517</v>
      </c>
      <c r="C67" s="2893">
        <f t="shared" si="172"/>
        <v>123.8968609865471</v>
      </c>
      <c r="D67" s="2893">
        <f t="shared" si="142"/>
        <v>123.8968609865471</v>
      </c>
      <c r="E67" s="2893">
        <f t="shared" si="173"/>
        <v>138.00507614213197</v>
      </c>
      <c r="F67" s="2893">
        <f t="shared" si="173"/>
        <v>107.96106557377048</v>
      </c>
      <c r="G67" s="3574">
        <v>2005</v>
      </c>
      <c r="H67" s="2907">
        <v>2</v>
      </c>
      <c r="I67" s="2907">
        <v>0.47</v>
      </c>
      <c r="J67" s="2907">
        <v>0.1</v>
      </c>
      <c r="K67" s="2907">
        <v>0.52</v>
      </c>
      <c r="L67" s="2908">
        <v>0.79</v>
      </c>
      <c r="N67" s="2954">
        <f t="shared" si="170"/>
        <v>1.420065760241713E-2</v>
      </c>
      <c r="O67" s="2955">
        <f t="shared" si="170"/>
        <v>3.3080938028376083E-3</v>
      </c>
      <c r="P67" s="2955">
        <f t="shared" si="171"/>
        <v>6.598984771573603E-2</v>
      </c>
      <c r="Q67" s="2955">
        <f t="shared" si="171"/>
        <v>5.2953117818293153E-3</v>
      </c>
      <c r="R67" s="2896"/>
      <c r="S67" s="2895"/>
      <c r="T67" s="2881"/>
      <c r="U67" s="2881"/>
      <c r="V67" s="2881"/>
      <c r="X67" s="2956"/>
      <c r="Y67" s="2956"/>
      <c r="Z67" s="2956"/>
    </row>
    <row r="68" spans="1:26">
      <c r="A68" s="2892" t="s">
        <v>2598</v>
      </c>
      <c r="B68" s="2893">
        <f t="shared" si="172"/>
        <v>122.57204301075269</v>
      </c>
      <c r="C68" s="2893">
        <f t="shared" si="172"/>
        <v>123.4932735426009</v>
      </c>
      <c r="D68" s="2893">
        <f t="shared" si="142"/>
        <v>123.4932735426009</v>
      </c>
      <c r="E68" s="2893">
        <f t="shared" si="173"/>
        <v>129.82233502538071</v>
      </c>
      <c r="F68" s="2893">
        <f t="shared" si="173"/>
        <v>107.39446721311475</v>
      </c>
      <c r="G68" s="3575">
        <v>2005</v>
      </c>
      <c r="H68" s="2894">
        <v>1</v>
      </c>
      <c r="I68" s="2894">
        <v>0.43</v>
      </c>
      <c r="J68" s="2894">
        <v>0.37</v>
      </c>
      <c r="K68" s="2894">
        <v>0.37</v>
      </c>
      <c r="L68" s="2900">
        <v>0.55000000000000004</v>
      </c>
      <c r="N68" s="2957">
        <f t="shared" si="170"/>
        <v>1.2992090997956099E-2</v>
      </c>
      <c r="O68" s="2958">
        <f t="shared" si="170"/>
        <v>1.2239947070499151E-2</v>
      </c>
      <c r="P68" s="2958">
        <f t="shared" si="171"/>
        <v>4.6954314720812178E-2</v>
      </c>
      <c r="Q68" s="2958">
        <f t="shared" si="171"/>
        <v>3.6866094683621815E-3</v>
      </c>
      <c r="R68" s="2896"/>
      <c r="S68" s="2897">
        <f>B68/B69-1</f>
        <v>1.2992090997956174E-2</v>
      </c>
      <c r="T68" s="2898">
        <f>C68/C69-1</f>
        <v>1.2239947070499246E-2</v>
      </c>
      <c r="U68" s="2898">
        <f>E68/E69-1</f>
        <v>4.695431472081224E-2</v>
      </c>
      <c r="V68" s="2898">
        <f>F68/F69-1</f>
        <v>3.6866094683620787E-3</v>
      </c>
      <c r="X68" s="2956"/>
      <c r="Y68" s="2956"/>
      <c r="Z68" s="2956"/>
    </row>
    <row r="69" spans="1:26" ht="13.5" thickBot="1">
      <c r="A69" s="2892" t="s">
        <v>2599</v>
      </c>
      <c r="B69" s="2942">
        <v>121</v>
      </c>
      <c r="C69" s="2942">
        <v>122</v>
      </c>
      <c r="D69" s="2942">
        <f t="shared" si="142"/>
        <v>122</v>
      </c>
      <c r="E69" s="2942">
        <v>124</v>
      </c>
      <c r="F69" s="2943">
        <v>107</v>
      </c>
      <c r="G69" s="3573">
        <v>2004</v>
      </c>
      <c r="H69" s="2916">
        <v>4</v>
      </c>
      <c r="I69" s="2916">
        <v>0.33</v>
      </c>
      <c r="J69" s="2916">
        <v>0.5</v>
      </c>
      <c r="K69" s="2916">
        <v>0.5</v>
      </c>
      <c r="L69" s="2917">
        <v>0</v>
      </c>
      <c r="N69" s="2954">
        <f t="shared" ref="N69:O72" si="174">I69/SUM(I$69:I$72)*(B$69/B$73-1)</f>
        <v>1.3391770148526898E-2</v>
      </c>
      <c r="O69" s="2955">
        <f t="shared" si="174"/>
        <v>1.063264221158958E-2</v>
      </c>
      <c r="P69" s="2955">
        <f t="shared" ref="P69:Q72" si="175">K69/SUM(K$69:K$72)*(E$69/E$73-1)</f>
        <v>2.2244466688911134E-2</v>
      </c>
      <c r="Q69" s="2955">
        <f t="shared" si="175"/>
        <v>0</v>
      </c>
      <c r="R69" s="2896"/>
      <c r="S69" s="2905"/>
      <c r="T69" s="2906"/>
      <c r="U69" s="2906"/>
      <c r="V69" s="2906"/>
      <c r="X69" s="2956"/>
      <c r="Y69" s="2956"/>
      <c r="Z69" s="2956"/>
    </row>
    <row r="70" spans="1:26">
      <c r="A70" s="2892" t="s">
        <v>2600</v>
      </c>
      <c r="B70" s="2893">
        <f t="shared" ref="B70:C72" si="176">B71+(B$69-B$73)*I70/SUM(I$69:I$72)</f>
        <v>119.51351351351352</v>
      </c>
      <c r="C70" s="2893">
        <f t="shared" si="176"/>
        <v>120.7878787878788</v>
      </c>
      <c r="D70" s="2893">
        <f t="shared" si="142"/>
        <v>120.7878787878788</v>
      </c>
      <c r="E70" s="2893">
        <f t="shared" ref="E70:F72" si="177">E71+(E$69-E$73)*K70/SUM(K$69:K$72)</f>
        <v>121.5975975975976</v>
      </c>
      <c r="F70" s="2893">
        <f t="shared" si="177"/>
        <v>107</v>
      </c>
      <c r="G70" s="3574">
        <v>2004</v>
      </c>
      <c r="H70" s="2919">
        <v>3</v>
      </c>
      <c r="I70" s="2919">
        <v>0.56000000000000005</v>
      </c>
      <c r="J70" s="2919">
        <v>0.8</v>
      </c>
      <c r="K70" s="2919">
        <v>0.83</v>
      </c>
      <c r="L70" s="2920">
        <v>0.06</v>
      </c>
      <c r="N70" s="2954">
        <f t="shared" si="174"/>
        <v>2.2725428130833527E-2</v>
      </c>
      <c r="O70" s="2955">
        <f t="shared" si="174"/>
        <v>1.7012227538543329E-2</v>
      </c>
      <c r="P70" s="2955">
        <f t="shared" si="175"/>
        <v>3.6925814703592477E-2</v>
      </c>
      <c r="Q70" s="2955">
        <f t="shared" si="175"/>
        <v>2.8846153846153744E-2</v>
      </c>
      <c r="R70" s="2896"/>
      <c r="S70" s="2895"/>
      <c r="T70" s="2881"/>
      <c r="U70" s="2881"/>
      <c r="V70" s="2881"/>
      <c r="X70" s="2956"/>
      <c r="Y70" s="2956"/>
      <c r="Z70" s="2956"/>
    </row>
    <row r="71" spans="1:26">
      <c r="A71" s="2892" t="s">
        <v>2601</v>
      </c>
      <c r="B71" s="2893">
        <f t="shared" si="176"/>
        <v>116.99099099099099</v>
      </c>
      <c r="C71" s="2893">
        <f t="shared" si="176"/>
        <v>118.84848484848486</v>
      </c>
      <c r="D71" s="2893">
        <f t="shared" si="142"/>
        <v>118.84848484848486</v>
      </c>
      <c r="E71" s="2893">
        <f t="shared" si="177"/>
        <v>117.60960960960961</v>
      </c>
      <c r="F71" s="2893">
        <f t="shared" si="177"/>
        <v>104</v>
      </c>
      <c r="G71" s="3574">
        <v>2004</v>
      </c>
      <c r="H71" s="2907">
        <v>2</v>
      </c>
      <c r="I71" s="2907">
        <v>1</v>
      </c>
      <c r="J71" s="2907">
        <v>1.5</v>
      </c>
      <c r="K71" s="2907">
        <v>1.5</v>
      </c>
      <c r="L71" s="2908">
        <v>0</v>
      </c>
      <c r="N71" s="2954">
        <f t="shared" si="174"/>
        <v>4.0581121662202721E-2</v>
      </c>
      <c r="O71" s="2955">
        <f t="shared" si="174"/>
        <v>3.1897926634768738E-2</v>
      </c>
      <c r="P71" s="2955">
        <f t="shared" si="175"/>
        <v>6.6733400066733395E-2</v>
      </c>
      <c r="Q71" s="2955">
        <f t="shared" si="175"/>
        <v>0</v>
      </c>
      <c r="R71" s="2896"/>
      <c r="S71" s="2895"/>
      <c r="T71" s="2881"/>
      <c r="U71" s="2881"/>
      <c r="V71" s="2881"/>
      <c r="X71" s="2956"/>
      <c r="Y71" s="2956"/>
      <c r="Z71" s="2956"/>
    </row>
    <row r="72" spans="1:26" s="2948" customFormat="1" ht="13.5" thickBot="1">
      <c r="A72" s="2892" t="s">
        <v>2602</v>
      </c>
      <c r="B72" s="2945">
        <f t="shared" si="176"/>
        <v>112.48648648648648</v>
      </c>
      <c r="C72" s="2945">
        <f t="shared" si="176"/>
        <v>115.21212121212122</v>
      </c>
      <c r="D72" s="2945">
        <f t="shared" si="142"/>
        <v>115.21212121212122</v>
      </c>
      <c r="E72" s="2945">
        <f t="shared" si="177"/>
        <v>110.4024024024024</v>
      </c>
      <c r="F72" s="2945">
        <f t="shared" si="177"/>
        <v>104</v>
      </c>
      <c r="G72" s="3575">
        <v>2004</v>
      </c>
      <c r="H72" s="2946">
        <v>1</v>
      </c>
      <c r="I72" s="2946">
        <v>0.33</v>
      </c>
      <c r="J72" s="2946">
        <v>0.5</v>
      </c>
      <c r="K72" s="2946">
        <v>0.5</v>
      </c>
      <c r="L72" s="2947">
        <v>0</v>
      </c>
      <c r="N72" s="2959">
        <f t="shared" si="174"/>
        <v>1.3391770148526898E-2</v>
      </c>
      <c r="O72" s="2960">
        <f t="shared" si="174"/>
        <v>1.063264221158958E-2</v>
      </c>
      <c r="P72" s="2960">
        <f t="shared" si="175"/>
        <v>2.2244466688911134E-2</v>
      </c>
      <c r="Q72" s="2960">
        <f t="shared" si="175"/>
        <v>0</v>
      </c>
      <c r="R72" s="2951"/>
      <c r="S72" s="2949">
        <f>B72/B73-1</f>
        <v>1.3391770148526883E-2</v>
      </c>
      <c r="T72" s="2950">
        <f>C72/C73-1</f>
        <v>1.063264221158966E-2</v>
      </c>
      <c r="U72" s="2950">
        <f>E72/E73-1</f>
        <v>2.2244466688911224E-2</v>
      </c>
      <c r="V72" s="2950">
        <f>F72/F73-1</f>
        <v>0</v>
      </c>
      <c r="X72" s="2961"/>
      <c r="Y72" s="2961"/>
      <c r="Z72" s="2961"/>
    </row>
    <row r="73" spans="1:26" ht="13.5" thickBot="1">
      <c r="A73" s="2892" t="s">
        <v>2603</v>
      </c>
      <c r="B73" s="2962">
        <v>111</v>
      </c>
      <c r="C73" s="2962">
        <v>114</v>
      </c>
      <c r="D73" s="2962">
        <f t="shared" si="142"/>
        <v>114</v>
      </c>
      <c r="E73" s="2962">
        <v>108</v>
      </c>
      <c r="F73" s="2963">
        <v>104</v>
      </c>
      <c r="G73" s="3573">
        <v>2003</v>
      </c>
      <c r="H73" s="2952">
        <v>4</v>
      </c>
      <c r="I73" s="2964"/>
      <c r="J73" s="2964"/>
      <c r="K73" s="2964"/>
      <c r="L73" s="2964"/>
      <c r="N73" s="2965"/>
      <c r="O73" s="2964"/>
      <c r="P73" s="2964"/>
      <c r="Q73" s="2964"/>
      <c r="S73" s="2965"/>
      <c r="T73" s="2964"/>
      <c r="U73" s="2964"/>
      <c r="V73" s="2964"/>
      <c r="X73" s="2956"/>
      <c r="Y73" s="2956"/>
      <c r="Z73" s="2956"/>
    </row>
    <row r="74" spans="1:26">
      <c r="A74" s="2892" t="s">
        <v>2604</v>
      </c>
      <c r="B74" s="2966">
        <f t="shared" ref="B74:C76" si="178">B75+(B$73-B$77)/4</f>
        <v>109.75</v>
      </c>
      <c r="C74" s="2966">
        <f t="shared" si="178"/>
        <v>112.25</v>
      </c>
      <c r="D74" s="2966">
        <f t="shared" si="142"/>
        <v>112.25</v>
      </c>
      <c r="E74" s="2966">
        <f t="shared" ref="E74:F76" si="179">E75+(E$73-E$77)/4</f>
        <v>107.25</v>
      </c>
      <c r="F74" s="2966">
        <f t="shared" si="179"/>
        <v>103.5</v>
      </c>
      <c r="G74" s="3574">
        <v>2003</v>
      </c>
      <c r="H74" s="2919">
        <v>3</v>
      </c>
      <c r="I74" s="2964"/>
      <c r="J74" s="2964"/>
      <c r="K74" s="2964"/>
      <c r="L74" s="2964"/>
      <c r="X74" s="2956"/>
      <c r="Y74" s="2956"/>
      <c r="Z74" s="2956"/>
    </row>
    <row r="75" spans="1:26">
      <c r="A75" s="2892" t="s">
        <v>2605</v>
      </c>
      <c r="B75" s="2966">
        <f t="shared" si="178"/>
        <v>108.5</v>
      </c>
      <c r="C75" s="2966">
        <f t="shared" si="178"/>
        <v>110.5</v>
      </c>
      <c r="D75" s="2966">
        <f t="shared" si="142"/>
        <v>110.5</v>
      </c>
      <c r="E75" s="2966">
        <f t="shared" si="179"/>
        <v>106.5</v>
      </c>
      <c r="F75" s="2966">
        <f t="shared" si="179"/>
        <v>103</v>
      </c>
      <c r="G75" s="3574">
        <v>2003</v>
      </c>
      <c r="H75" s="2907">
        <v>2</v>
      </c>
      <c r="I75" s="2964"/>
      <c r="J75" s="2964"/>
      <c r="K75" s="2964"/>
      <c r="L75" s="2964"/>
      <c r="X75" s="2956"/>
      <c r="Y75" s="2956"/>
      <c r="Z75" s="2956"/>
    </row>
    <row r="76" spans="1:26" ht="13.5" thickBot="1">
      <c r="A76" s="2892" t="s">
        <v>2606</v>
      </c>
      <c r="B76" s="2966">
        <f t="shared" si="178"/>
        <v>107.25</v>
      </c>
      <c r="C76" s="2966">
        <f t="shared" si="178"/>
        <v>108.75</v>
      </c>
      <c r="D76" s="2966">
        <f t="shared" si="142"/>
        <v>108.75</v>
      </c>
      <c r="E76" s="2966">
        <f t="shared" si="179"/>
        <v>105.75</v>
      </c>
      <c r="F76" s="2966">
        <f t="shared" si="179"/>
        <v>102.5</v>
      </c>
      <c r="G76" s="3575">
        <v>2003</v>
      </c>
      <c r="H76" s="2967">
        <v>1</v>
      </c>
      <c r="I76" s="2964"/>
      <c r="J76" s="2964"/>
      <c r="K76" s="2964"/>
      <c r="L76" s="2964"/>
      <c r="S76" s="2895"/>
      <c r="T76" s="2881"/>
      <c r="U76" s="2881"/>
      <c r="X76" s="2956"/>
      <c r="Y76" s="2956"/>
      <c r="Z76" s="2956"/>
    </row>
    <row r="77" spans="1:26" ht="13.5" thickBot="1">
      <c r="A77" s="2892" t="s">
        <v>2607</v>
      </c>
      <c r="B77" s="2968">
        <v>106</v>
      </c>
      <c r="C77" s="2968">
        <v>107</v>
      </c>
      <c r="D77" s="2968">
        <f t="shared" si="142"/>
        <v>107</v>
      </c>
      <c r="E77" s="2968">
        <v>105</v>
      </c>
      <c r="F77" s="2969">
        <v>102</v>
      </c>
      <c r="G77" s="3573">
        <v>2002</v>
      </c>
      <c r="H77" s="2916">
        <v>4</v>
      </c>
      <c r="I77" s="2964"/>
      <c r="J77" s="2964"/>
      <c r="K77" s="2964"/>
      <c r="L77" s="2964"/>
      <c r="N77" s="2965"/>
      <c r="O77" s="2964"/>
      <c r="P77" s="2964"/>
      <c r="Q77" s="2964"/>
      <c r="S77" s="2965"/>
      <c r="T77" s="2964"/>
      <c r="U77" s="2964"/>
      <c r="V77" s="2964"/>
      <c r="X77" s="2956"/>
      <c r="Y77" s="2956"/>
      <c r="Z77" s="2956"/>
    </row>
    <row r="78" spans="1:26">
      <c r="A78" s="2892" t="s">
        <v>2608</v>
      </c>
      <c r="B78" s="2966">
        <f t="shared" ref="B78:C80" si="180">B79+(B$77-B$81)/4</f>
        <v>105</v>
      </c>
      <c r="C78" s="2966">
        <f t="shared" si="180"/>
        <v>106</v>
      </c>
      <c r="D78" s="2966">
        <f t="shared" si="142"/>
        <v>106</v>
      </c>
      <c r="E78" s="2966">
        <f t="shared" ref="E78:F80" si="181">E79+(E$77-E$81)/4</f>
        <v>104.5</v>
      </c>
      <c r="F78" s="2966">
        <f t="shared" si="181"/>
        <v>101.5</v>
      </c>
      <c r="G78" s="3574">
        <v>2002</v>
      </c>
      <c r="H78" s="2919">
        <v>3</v>
      </c>
      <c r="I78" s="2964"/>
      <c r="J78" s="2964"/>
      <c r="K78" s="2964"/>
      <c r="L78" s="2964"/>
      <c r="X78" s="2956"/>
      <c r="Y78" s="2956"/>
      <c r="Z78" s="2956"/>
    </row>
    <row r="79" spans="1:26">
      <c r="A79" s="2892" t="s">
        <v>2609</v>
      </c>
      <c r="B79" s="2966">
        <f t="shared" si="180"/>
        <v>104</v>
      </c>
      <c r="C79" s="2966">
        <f t="shared" si="180"/>
        <v>105</v>
      </c>
      <c r="D79" s="2966">
        <f t="shared" si="142"/>
        <v>105</v>
      </c>
      <c r="E79" s="2966">
        <f t="shared" si="181"/>
        <v>104</v>
      </c>
      <c r="F79" s="2966">
        <f t="shared" si="181"/>
        <v>101</v>
      </c>
      <c r="G79" s="3574">
        <v>2002</v>
      </c>
      <c r="H79" s="2907">
        <v>2</v>
      </c>
      <c r="I79" s="2964"/>
      <c r="J79" s="2964"/>
      <c r="K79" s="2964"/>
      <c r="L79" s="2964"/>
      <c r="X79" s="2956"/>
      <c r="Y79" s="2956"/>
      <c r="Z79" s="2956"/>
    </row>
    <row r="80" spans="1:26" s="2929" customFormat="1" ht="13.5" thickBot="1">
      <c r="A80" s="2925" t="s">
        <v>2610</v>
      </c>
      <c r="B80" s="2932">
        <f t="shared" si="180"/>
        <v>103</v>
      </c>
      <c r="C80" s="2932">
        <f t="shared" si="180"/>
        <v>104</v>
      </c>
      <c r="D80" s="2932">
        <f t="shared" si="142"/>
        <v>104</v>
      </c>
      <c r="E80" s="2932">
        <f t="shared" si="181"/>
        <v>103.5</v>
      </c>
      <c r="F80" s="2932">
        <f t="shared" si="181"/>
        <v>100.5</v>
      </c>
      <c r="G80" s="3575">
        <v>2002</v>
      </c>
      <c r="H80" s="2970">
        <v>1</v>
      </c>
      <c r="I80" s="2971"/>
      <c r="J80" s="2971"/>
      <c r="K80" s="2971"/>
      <c r="L80" s="2971"/>
      <c r="N80" s="2972"/>
      <c r="S80" s="2972"/>
      <c r="X80" s="2973"/>
      <c r="Y80" s="2973"/>
      <c r="Z80" s="2973"/>
    </row>
    <row r="81" spans="1:26" ht="13.5" thickBot="1">
      <c r="B81" s="2974">
        <v>102</v>
      </c>
      <c r="C81" s="2975">
        <v>103</v>
      </c>
      <c r="D81" s="2975">
        <f t="shared" si="142"/>
        <v>103</v>
      </c>
      <c r="E81" s="2975">
        <v>103</v>
      </c>
      <c r="F81" s="2976">
        <v>100</v>
      </c>
      <c r="I81" s="2964"/>
      <c r="J81" s="2964"/>
      <c r="K81" s="2964"/>
      <c r="L81" s="2964"/>
      <c r="N81" s="2965"/>
      <c r="O81" s="2964"/>
      <c r="P81" s="2964"/>
      <c r="Q81" s="2964"/>
      <c r="S81" s="2965"/>
      <c r="T81" s="2964"/>
      <c r="U81" s="2964"/>
      <c r="V81" s="2964"/>
      <c r="X81" s="2906"/>
      <c r="Y81" s="2906"/>
      <c r="Z81" s="2906"/>
    </row>
    <row r="83" spans="1:26" s="2978" customFormat="1">
      <c r="A83" s="2977" t="s">
        <v>2611</v>
      </c>
      <c r="G83" s="2979"/>
      <c r="N83" s="2979"/>
      <c r="S83" s="2979"/>
    </row>
    <row r="84" spans="1:26" s="2978" customFormat="1">
      <c r="A84" s="2978" t="s">
        <v>2612</v>
      </c>
      <c r="G84" s="2979"/>
      <c r="N84" s="2979"/>
      <c r="S84" s="2979"/>
    </row>
    <row r="85" spans="1:26" s="2978" customFormat="1">
      <c r="A85" s="2978" t="s">
        <v>2613</v>
      </c>
      <c r="G85" s="2979"/>
      <c r="I85" s="2980"/>
      <c r="J85" s="2980"/>
      <c r="K85" s="2980"/>
      <c r="L85" s="2980"/>
      <c r="N85" s="2981"/>
      <c r="O85" s="2980"/>
      <c r="P85" s="2980"/>
      <c r="Q85" s="2980"/>
      <c r="S85" s="2981"/>
      <c r="T85" s="2980"/>
      <c r="U85" s="2980"/>
      <c r="V85" s="2980"/>
    </row>
    <row r="86" spans="1:26" s="2978" customFormat="1">
      <c r="A86" s="2978" t="s">
        <v>2614</v>
      </c>
      <c r="G86" s="2979"/>
      <c r="N86" s="2979"/>
      <c r="S86" s="2979"/>
    </row>
    <row r="93" spans="1:26" ht="13.5" thickBot="1"/>
    <row r="94" spans="1:26">
      <c r="G94" s="2880"/>
      <c r="S94" s="2982" t="s">
        <v>2615</v>
      </c>
      <c r="T94" s="2983" t="s">
        <v>2616</v>
      </c>
      <c r="U94" s="2983" t="s">
        <v>2617</v>
      </c>
      <c r="V94" s="2983" t="s">
        <v>2618</v>
      </c>
    </row>
    <row r="95" spans="1:26">
      <c r="G95" s="2880"/>
      <c r="N95" s="2905"/>
      <c r="O95" s="2906"/>
      <c r="P95" s="2906"/>
      <c r="Q95" s="2906"/>
      <c r="S95" s="2984">
        <v>2006</v>
      </c>
      <c r="T95" s="2985">
        <v>15.1</v>
      </c>
      <c r="U95" s="2985">
        <v>7.43</v>
      </c>
      <c r="V95" s="2985">
        <v>26.26</v>
      </c>
    </row>
    <row r="96" spans="1:26">
      <c r="G96" s="2880"/>
      <c r="N96" s="2905"/>
      <c r="O96" s="2906"/>
      <c r="P96" s="2906"/>
      <c r="Q96" s="2906"/>
      <c r="S96" s="2986">
        <v>2005</v>
      </c>
      <c r="T96" s="2987">
        <v>13.9</v>
      </c>
      <c r="U96" s="2987">
        <v>7.49</v>
      </c>
      <c r="V96" s="2987">
        <v>24.92</v>
      </c>
    </row>
    <row r="97" spans="7:22">
      <c r="G97" s="2880"/>
      <c r="N97" s="2905"/>
      <c r="O97" s="2906"/>
      <c r="P97" s="2906"/>
      <c r="Q97" s="2906"/>
      <c r="S97" s="2984">
        <v>2004</v>
      </c>
      <c r="T97" s="2985">
        <v>9.48</v>
      </c>
      <c r="U97" s="2985">
        <v>7.2</v>
      </c>
      <c r="V97" s="2985">
        <v>14.68</v>
      </c>
    </row>
    <row r="98" spans="7:22">
      <c r="G98" s="2880"/>
      <c r="N98" s="2905"/>
      <c r="O98" s="2906"/>
      <c r="P98" s="2906"/>
      <c r="Q98" s="2906"/>
      <c r="S98" s="2986">
        <v>2003</v>
      </c>
      <c r="T98" s="2987">
        <v>4.5</v>
      </c>
      <c r="U98" s="2987">
        <v>6.12</v>
      </c>
      <c r="V98" s="2987">
        <v>2.34</v>
      </c>
    </row>
    <row r="99" spans="7:22" ht="13.5" thickBot="1">
      <c r="G99" s="2880"/>
      <c r="N99" s="2905"/>
      <c r="O99" s="2906"/>
      <c r="P99" s="2906"/>
      <c r="Q99" s="2906"/>
      <c r="S99" s="2988">
        <v>2002</v>
      </c>
      <c r="T99" s="2989">
        <v>3.59</v>
      </c>
      <c r="U99" s="2989">
        <v>4.54</v>
      </c>
      <c r="V99" s="2989">
        <v>2.5499999999999998</v>
      </c>
    </row>
    <row r="100" spans="7:22">
      <c r="G100" s="2880"/>
      <c r="N100" s="2905"/>
      <c r="O100" s="2906"/>
      <c r="P100" s="2906"/>
      <c r="Q100" s="2906"/>
    </row>
    <row r="101" spans="7:22">
      <c r="G101" s="2880"/>
      <c r="N101" s="2905"/>
      <c r="O101" s="2906"/>
      <c r="P101" s="2906"/>
      <c r="Q101" s="2906"/>
    </row>
    <row r="102" spans="7:22">
      <c r="G102" s="2880"/>
      <c r="N102" s="2905"/>
      <c r="O102" s="2906"/>
      <c r="P102" s="2906"/>
      <c r="Q102" s="2906"/>
    </row>
    <row r="103" spans="7:22">
      <c r="G103" s="2880"/>
      <c r="N103" s="2905"/>
      <c r="O103" s="2906"/>
      <c r="P103" s="2906"/>
      <c r="Q103" s="2906"/>
    </row>
    <row r="104" spans="7:22">
      <c r="G104" s="2880"/>
      <c r="N104" s="2905"/>
      <c r="O104" s="2906"/>
      <c r="P104" s="2906"/>
      <c r="Q104" s="2906"/>
    </row>
    <row r="105" spans="7:22">
      <c r="G105" s="2880"/>
      <c r="N105" s="2905"/>
      <c r="O105" s="2906"/>
      <c r="P105" s="2906"/>
      <c r="Q105" s="2906"/>
    </row>
    <row r="106" spans="7:22">
      <c r="G106" s="2880"/>
      <c r="N106" s="2905"/>
      <c r="O106" s="2906"/>
      <c r="P106" s="2906"/>
      <c r="Q106" s="2906"/>
    </row>
    <row r="107" spans="7:22">
      <c r="G107" s="2880"/>
      <c r="N107" s="2905"/>
      <c r="O107" s="2906"/>
      <c r="P107" s="2906"/>
      <c r="Q107" s="2906"/>
    </row>
    <row r="108" spans="7:22">
      <c r="G108" s="2880"/>
      <c r="N108" s="2905"/>
      <c r="O108" s="2906"/>
      <c r="P108" s="2906"/>
      <c r="Q108" s="2906"/>
    </row>
    <row r="109" spans="7:22">
      <c r="G109" s="2880"/>
      <c r="N109" s="2905"/>
      <c r="O109" s="2906"/>
      <c r="P109" s="2906"/>
      <c r="Q109" s="2906"/>
    </row>
    <row r="110" spans="7:22">
      <c r="G110" s="2880"/>
      <c r="N110" s="2905"/>
      <c r="O110" s="2906"/>
      <c r="P110" s="2906"/>
      <c r="Q110" s="2906"/>
      <c r="S110" s="2880"/>
    </row>
    <row r="111" spans="7:22">
      <c r="G111" s="2880"/>
      <c r="N111" s="2905"/>
      <c r="O111" s="2906"/>
      <c r="P111" s="2906"/>
      <c r="Q111" s="2906"/>
      <c r="S111" s="2880"/>
    </row>
    <row r="112" spans="7:22">
      <c r="G112" s="2880"/>
      <c r="N112" s="2905"/>
      <c r="O112" s="2906"/>
      <c r="P112" s="2906"/>
      <c r="Q112" s="2906"/>
      <c r="S112" s="2880"/>
    </row>
    <row r="113" spans="7:19">
      <c r="G113" s="2880"/>
      <c r="N113" s="2905"/>
      <c r="O113" s="2906"/>
      <c r="P113" s="2906"/>
      <c r="Q113" s="2906"/>
      <c r="S113" s="2880"/>
    </row>
    <row r="114" spans="7:19">
      <c r="G114" s="2880"/>
      <c r="N114" s="2905"/>
      <c r="O114" s="2906"/>
      <c r="P114" s="2906"/>
      <c r="Q114" s="2906"/>
      <c r="S114" s="2880"/>
    </row>
    <row r="115" spans="7:19">
      <c r="G115" s="2880"/>
      <c r="N115" s="2905"/>
      <c r="O115" s="2906"/>
      <c r="P115" s="2906"/>
      <c r="Q115" s="2906"/>
      <c r="S115" s="2880"/>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A2:G42"/>
    </sheetView>
  </sheetViews>
  <sheetFormatPr defaultColWidth="8.875" defaultRowHeight="13.5"/>
  <cols>
    <col min="1" max="1" width="22.75" style="3242" customWidth="1"/>
    <col min="2" max="2" width="12.5" style="3242" customWidth="1"/>
    <col min="3" max="3" width="12.125" style="3242" customWidth="1"/>
    <col min="4" max="4" width="16.625" style="3242" customWidth="1"/>
    <col min="5" max="5" width="12.5" style="3242" customWidth="1"/>
    <col min="6" max="6" width="12.75" style="3242" customWidth="1"/>
    <col min="7" max="16384" width="8.875" style="3242"/>
  </cols>
  <sheetData>
    <row r="1" spans="1:14" ht="20.25">
      <c r="A1" s="3245" t="s">
        <v>2915</v>
      </c>
      <c r="B1" s="3240"/>
      <c r="C1" s="3240"/>
      <c r="D1" s="3240"/>
      <c r="E1" s="3240"/>
      <c r="F1" s="3240"/>
      <c r="G1" s="3241"/>
      <c r="H1" s="3241"/>
      <c r="I1" s="3241"/>
      <c r="J1" s="3241"/>
      <c r="K1" s="3241"/>
      <c r="L1" s="3241"/>
      <c r="M1" s="3241"/>
      <c r="N1" s="3241"/>
    </row>
    <row r="2" spans="1:14" ht="14.25">
      <c r="A2" s="3246" t="s">
        <v>2910</v>
      </c>
      <c r="B2" s="3251">
        <f ca="1">SUMIF(B7:B14,"&lt;&gt;#ref!",B7:B14)</f>
        <v>0</v>
      </c>
      <c r="C2" s="3246" t="s">
        <v>2911</v>
      </c>
      <c r="D2" s="3243"/>
      <c r="E2" s="3243"/>
      <c r="F2" s="3243"/>
      <c r="G2" s="3241"/>
      <c r="H2" s="3241"/>
      <c r="I2" s="3241"/>
      <c r="J2" s="3241"/>
      <c r="K2" s="3241"/>
      <c r="L2" s="3241"/>
      <c r="M2" s="3241"/>
      <c r="N2" s="3241"/>
    </row>
    <row r="3" spans="1:14" ht="14.25">
      <c r="A3" s="3246" t="s">
        <v>2940</v>
      </c>
      <c r="B3" s="3251" t="e">
        <f ca="1">ROUND(B2*10000/E3,0)</f>
        <v>#DIV/0!</v>
      </c>
      <c r="C3" s="3246" t="s">
        <v>2066</v>
      </c>
      <c r="D3" s="3246" t="s">
        <v>2912</v>
      </c>
      <c r="E3" s="3244">
        <f ca="1">SUMIF(E7:E14,"&lt;&gt;#ref!",E7:E14)</f>
        <v>0</v>
      </c>
      <c r="F3" s="3243"/>
      <c r="G3" s="3241"/>
      <c r="H3" s="3241"/>
      <c r="I3" s="3241"/>
      <c r="J3" s="3241"/>
      <c r="K3" s="3241"/>
      <c r="L3" s="3241"/>
      <c r="M3" s="3241"/>
      <c r="N3" s="3241"/>
    </row>
    <row r="4" spans="1:14" ht="14.25">
      <c r="A4" s="3246" t="s">
        <v>2918</v>
      </c>
      <c r="B4" s="3251" t="e">
        <f ca="1">ROUND(B2*10000/E4,0)</f>
        <v>#DIV/0!</v>
      </c>
      <c r="C4" s="3246" t="s">
        <v>2066</v>
      </c>
      <c r="D4" s="3246" t="s">
        <v>2919</v>
      </c>
      <c r="E4" s="3244">
        <f ca="1">SUMIF(F7:F14,"&lt;&gt;#ref!",F7:F14)</f>
        <v>0</v>
      </c>
      <c r="F4" s="3243"/>
      <c r="G4" s="3241"/>
      <c r="H4" s="3241"/>
      <c r="I4" s="3241"/>
      <c r="J4" s="3241"/>
      <c r="K4" s="3241"/>
      <c r="L4" s="3241"/>
      <c r="M4" s="3241"/>
      <c r="N4" s="3241"/>
    </row>
    <row r="5" spans="1:14" ht="14.25">
      <c r="A5" s="3247"/>
      <c r="B5" s="3243"/>
      <c r="C5" s="3243"/>
      <c r="D5" s="3243"/>
      <c r="E5" s="3243"/>
      <c r="F5" s="3243"/>
      <c r="G5" s="3241"/>
      <c r="H5" s="3241"/>
      <c r="I5" s="3241"/>
      <c r="J5" s="3241"/>
      <c r="K5" s="3241"/>
      <c r="L5" s="3241"/>
      <c r="M5" s="3241"/>
      <c r="N5" s="3241"/>
    </row>
    <row r="6" spans="1:14" ht="28.5">
      <c r="A6" s="3248" t="s">
        <v>2916</v>
      </c>
      <c r="B6" s="3246" t="s">
        <v>2913</v>
      </c>
      <c r="C6" s="2784"/>
      <c r="D6" s="3243"/>
      <c r="E6" s="3246" t="s">
        <v>2914</v>
      </c>
      <c r="F6" s="3246" t="s">
        <v>2917</v>
      </c>
      <c r="G6" s="3241"/>
      <c r="H6" s="3241"/>
      <c r="I6" s="3241"/>
      <c r="J6" s="3241"/>
      <c r="K6" s="3241"/>
      <c r="L6" s="3241"/>
      <c r="M6" s="3241"/>
      <c r="N6" s="3241"/>
    </row>
    <row r="7" spans="1:14" ht="14.25">
      <c r="A7" s="3249"/>
      <c r="B7" s="3251" t="e">
        <f ca="1">SUMIF(INDIRECT("'"&amp;A7&amp;"'"&amp;"!A:A"),"总价",INDIRECT("'"&amp;A7&amp;"'"&amp;"!B:B"))</f>
        <v>#REF!</v>
      </c>
      <c r="C7" s="3246" t="s">
        <v>2911</v>
      </c>
      <c r="D7" s="3243"/>
      <c r="E7" s="3244" t="e">
        <f ca="1">SUMIF(INDIRECT("'"&amp;A7&amp;"'"&amp;"!C:C"),"建筑面积",INDIRECT("'"&amp;A7&amp;"'"&amp;"!D:D"))</f>
        <v>#REF!</v>
      </c>
      <c r="F7" s="3244" t="e">
        <f ca="1">SUMIF(INDIRECT("'"&amp;A7&amp;"'"&amp;"!E:E"),"土地面积",INDIRECT("'"&amp;A7&amp;"'"&amp;"!F:F"))</f>
        <v>#REF!</v>
      </c>
      <c r="G7" s="3241"/>
      <c r="H7" s="3241"/>
      <c r="I7" s="3241"/>
      <c r="J7" s="3241"/>
      <c r="K7" s="3241"/>
      <c r="L7" s="3241"/>
      <c r="M7" s="3241"/>
      <c r="N7" s="3241"/>
    </row>
    <row r="8" spans="1:14" ht="14.25">
      <c r="A8" s="3249"/>
      <c r="B8" s="3251" t="e">
        <f t="shared" ref="B8:B14" ca="1" si="0">SUMIF(INDIRECT("'"&amp;A8&amp;"'"&amp;"!A:A"),"总价",INDIRECT("'"&amp;A8&amp;"'"&amp;"!B:B"))</f>
        <v>#REF!</v>
      </c>
      <c r="C8" s="3246" t="s">
        <v>2911</v>
      </c>
      <c r="D8" s="3243"/>
      <c r="E8" s="3244" t="e">
        <f t="shared" ref="E8:E14" ca="1" si="1">SUMIF(INDIRECT("'"&amp;A8&amp;"'"&amp;"!C:C"),"建筑面积",INDIRECT("'"&amp;A8&amp;"'"&amp;"!D:D"))</f>
        <v>#REF!</v>
      </c>
      <c r="F8" s="3244" t="e">
        <f t="shared" ref="F8:F14" ca="1" si="2">SUMIF(INDIRECT("'"&amp;A8&amp;"'"&amp;"!E:E"),"土地面积",INDIRECT("'"&amp;A8&amp;"'"&amp;"!F:F"))</f>
        <v>#REF!</v>
      </c>
      <c r="G8" s="3241"/>
      <c r="H8" s="3241"/>
      <c r="I8" s="3241"/>
      <c r="J8" s="3241"/>
      <c r="K8" s="3241"/>
      <c r="L8" s="3241"/>
      <c r="M8" s="3241"/>
      <c r="N8" s="3241"/>
    </row>
    <row r="9" spans="1:14" ht="14.25">
      <c r="A9" s="3249"/>
      <c r="B9" s="3251" t="e">
        <f t="shared" ca="1" si="0"/>
        <v>#REF!</v>
      </c>
      <c r="C9" s="3246" t="s">
        <v>2911</v>
      </c>
      <c r="D9" s="3243"/>
      <c r="E9" s="3244" t="e">
        <f t="shared" ca="1" si="1"/>
        <v>#REF!</v>
      </c>
      <c r="F9" s="3244" t="e">
        <f t="shared" ca="1" si="2"/>
        <v>#REF!</v>
      </c>
      <c r="G9" s="3241"/>
      <c r="H9" s="3241"/>
      <c r="I9" s="3241"/>
      <c r="J9" s="3241"/>
      <c r="K9" s="3241"/>
      <c r="L9" s="3241"/>
      <c r="M9" s="3241"/>
      <c r="N9" s="3241"/>
    </row>
    <row r="10" spans="1:14" ht="14.25">
      <c r="A10" s="3249"/>
      <c r="B10" s="3251" t="e">
        <f t="shared" ca="1" si="0"/>
        <v>#REF!</v>
      </c>
      <c r="C10" s="3246" t="s">
        <v>2911</v>
      </c>
      <c r="D10" s="3243"/>
      <c r="E10" s="3244" t="e">
        <f t="shared" ca="1" si="1"/>
        <v>#REF!</v>
      </c>
      <c r="F10" s="3244" t="e">
        <f t="shared" ca="1" si="2"/>
        <v>#REF!</v>
      </c>
      <c r="G10" s="3241"/>
      <c r="H10" s="3241"/>
      <c r="I10" s="3241"/>
      <c r="J10" s="3241"/>
      <c r="K10" s="3241"/>
      <c r="L10" s="3241"/>
      <c r="M10" s="3241"/>
      <c r="N10" s="3241"/>
    </row>
    <row r="11" spans="1:14" ht="14.25">
      <c r="A11" s="3249"/>
      <c r="B11" s="3251" t="e">
        <f t="shared" ca="1" si="0"/>
        <v>#REF!</v>
      </c>
      <c r="C11" s="3246" t="s">
        <v>2911</v>
      </c>
      <c r="D11" s="3243"/>
      <c r="E11" s="3244" t="e">
        <f t="shared" ca="1" si="1"/>
        <v>#REF!</v>
      </c>
      <c r="F11" s="3244" t="e">
        <f t="shared" ca="1" si="2"/>
        <v>#REF!</v>
      </c>
      <c r="G11" s="3241"/>
      <c r="H11" s="3241"/>
      <c r="I11" s="3241"/>
      <c r="J11" s="3241"/>
      <c r="K11" s="3241"/>
      <c r="L11" s="3241"/>
      <c r="M11" s="3241"/>
      <c r="N11" s="3241"/>
    </row>
    <row r="12" spans="1:14" ht="14.25">
      <c r="A12" s="3249"/>
      <c r="B12" s="3251" t="e">
        <f t="shared" ca="1" si="0"/>
        <v>#REF!</v>
      </c>
      <c r="C12" s="3246" t="s">
        <v>2911</v>
      </c>
      <c r="D12" s="3243"/>
      <c r="E12" s="3244" t="e">
        <f t="shared" ca="1" si="1"/>
        <v>#REF!</v>
      </c>
      <c r="F12" s="3244" t="e">
        <f t="shared" ca="1" si="2"/>
        <v>#REF!</v>
      </c>
      <c r="G12" s="3241"/>
      <c r="H12" s="3241"/>
      <c r="I12" s="3241"/>
      <c r="J12" s="3241"/>
      <c r="K12" s="3241"/>
      <c r="L12" s="3241"/>
      <c r="M12" s="3241"/>
      <c r="N12" s="3241"/>
    </row>
    <row r="13" spans="1:14" ht="14.25">
      <c r="A13" s="3249"/>
      <c r="B13" s="3251" t="e">
        <f t="shared" ca="1" si="0"/>
        <v>#REF!</v>
      </c>
      <c r="C13" s="3246" t="s">
        <v>2911</v>
      </c>
      <c r="D13" s="3243"/>
      <c r="E13" s="3244" t="e">
        <f t="shared" ca="1" si="1"/>
        <v>#REF!</v>
      </c>
      <c r="F13" s="3244" t="e">
        <f t="shared" ca="1" si="2"/>
        <v>#REF!</v>
      </c>
      <c r="G13" s="3241"/>
      <c r="H13" s="3241"/>
      <c r="I13" s="3241"/>
      <c r="J13" s="3241"/>
      <c r="K13" s="3241"/>
      <c r="L13" s="3241"/>
      <c r="M13" s="3241"/>
      <c r="N13" s="3241"/>
    </row>
    <row r="14" spans="1:14" ht="14.25">
      <c r="A14" s="3250"/>
      <c r="B14" s="3251" t="e">
        <f t="shared" ca="1" si="0"/>
        <v>#REF!</v>
      </c>
      <c r="C14" s="3246" t="s">
        <v>2911</v>
      </c>
      <c r="D14" s="3243"/>
      <c r="E14" s="3244" t="e">
        <f t="shared" ca="1" si="1"/>
        <v>#REF!</v>
      </c>
      <c r="F14" s="3244" t="e">
        <f t="shared" ca="1" si="2"/>
        <v>#REF!</v>
      </c>
      <c r="G14" s="3241"/>
      <c r="H14" s="3241"/>
      <c r="I14" s="3241"/>
      <c r="J14" s="3241"/>
      <c r="K14" s="3241"/>
      <c r="L14" s="3241"/>
      <c r="M14" s="3241"/>
      <c r="N14" s="3241"/>
    </row>
    <row r="15" spans="1:14">
      <c r="A15" s="3241"/>
      <c r="B15" s="3241"/>
      <c r="C15" s="3241"/>
      <c r="D15" s="3241"/>
      <c r="E15" s="3241"/>
      <c r="F15" s="3241"/>
      <c r="G15" s="3241"/>
      <c r="H15" s="3241"/>
      <c r="I15" s="3241"/>
      <c r="J15" s="3241"/>
      <c r="K15" s="3241"/>
      <c r="L15" s="3241"/>
      <c r="M15" s="3241"/>
      <c r="N15" s="3241"/>
    </row>
    <row r="16" spans="1:14">
      <c r="A16" s="3241"/>
      <c r="B16" s="3241"/>
      <c r="C16" s="3241"/>
      <c r="D16" s="3241"/>
      <c r="E16" s="3241"/>
      <c r="F16" s="3241"/>
      <c r="G16" s="3241"/>
      <c r="H16" s="3241"/>
      <c r="I16" s="3241"/>
      <c r="J16" s="3241"/>
      <c r="K16" s="3241"/>
      <c r="L16" s="3241"/>
      <c r="M16" s="3241"/>
      <c r="N16" s="3241"/>
    </row>
    <row r="17" spans="1:14">
      <c r="A17" s="3241"/>
      <c r="B17" s="3241"/>
      <c r="C17" s="3241"/>
      <c r="D17" s="3241"/>
      <c r="E17" s="3241"/>
      <c r="F17" s="3241"/>
      <c r="G17" s="3241"/>
      <c r="H17" s="3241"/>
      <c r="I17" s="3241"/>
      <c r="J17" s="3241"/>
      <c r="K17" s="3241"/>
      <c r="L17" s="3241"/>
      <c r="M17" s="3241"/>
      <c r="N17" s="3241"/>
    </row>
    <row r="18" spans="1:14">
      <c r="A18" s="3241"/>
      <c r="B18" s="3241"/>
      <c r="C18" s="3241"/>
      <c r="D18" s="3241"/>
      <c r="E18" s="3241"/>
      <c r="F18" s="3241"/>
      <c r="G18" s="3241"/>
      <c r="H18" s="3241"/>
      <c r="I18" s="3241"/>
      <c r="J18" s="3241"/>
      <c r="K18" s="3241"/>
      <c r="L18" s="3241"/>
      <c r="M18" s="3241"/>
      <c r="N18" s="3241"/>
    </row>
    <row r="19" spans="1:14">
      <c r="A19" s="3241"/>
      <c r="B19" s="3241"/>
      <c r="C19" s="3241"/>
      <c r="D19" s="3241"/>
      <c r="E19" s="3241"/>
      <c r="F19" s="3241"/>
      <c r="G19" s="3241"/>
      <c r="H19" s="3241"/>
      <c r="I19" s="3241"/>
      <c r="J19" s="3241"/>
      <c r="K19" s="3241"/>
      <c r="L19" s="3241"/>
      <c r="M19" s="3241"/>
      <c r="N19" s="3241"/>
    </row>
    <row r="20" spans="1:14">
      <c r="A20" s="3241"/>
      <c r="B20" s="3241"/>
      <c r="C20" s="3241"/>
      <c r="D20" s="3241"/>
      <c r="E20" s="3241"/>
      <c r="F20" s="3241"/>
      <c r="G20" s="3241"/>
      <c r="H20" s="3241"/>
      <c r="I20" s="3241"/>
      <c r="J20" s="3241"/>
      <c r="K20" s="3241"/>
      <c r="L20" s="3241"/>
      <c r="M20" s="3241"/>
      <c r="N20" s="3241"/>
    </row>
    <row r="21" spans="1:14">
      <c r="A21" s="3241"/>
      <c r="B21" s="3241"/>
      <c r="C21" s="3241"/>
      <c r="D21" s="3241"/>
      <c r="E21" s="3241"/>
      <c r="F21" s="3241"/>
      <c r="G21" s="3241"/>
      <c r="H21" s="3241"/>
      <c r="I21" s="3241"/>
      <c r="J21" s="3241"/>
      <c r="K21" s="3241"/>
      <c r="L21" s="3241"/>
      <c r="M21" s="3241"/>
      <c r="N21" s="3241"/>
    </row>
    <row r="22" spans="1:14">
      <c r="A22" s="3241"/>
      <c r="B22" s="3241"/>
      <c r="C22" s="3241"/>
      <c r="D22" s="3241"/>
      <c r="E22" s="3241"/>
      <c r="F22" s="3241"/>
      <c r="G22" s="3241"/>
      <c r="H22" s="3241"/>
      <c r="I22" s="3241"/>
      <c r="J22" s="3241"/>
      <c r="K22" s="3241"/>
      <c r="L22" s="3241"/>
      <c r="M22" s="3241"/>
      <c r="N22" s="3241"/>
    </row>
    <row r="23" spans="1:14">
      <c r="A23" s="3241"/>
      <c r="B23" s="3241"/>
      <c r="C23" s="3241"/>
      <c r="D23" s="3241"/>
      <c r="E23" s="3241"/>
      <c r="F23" s="3241"/>
      <c r="G23" s="3241"/>
      <c r="H23" s="3241"/>
      <c r="I23" s="3241"/>
      <c r="J23" s="3241"/>
      <c r="K23" s="3241"/>
      <c r="L23" s="3241"/>
      <c r="M23" s="3241"/>
      <c r="N23" s="3241"/>
    </row>
    <row r="24" spans="1:14">
      <c r="A24" s="3241"/>
      <c r="B24" s="3241"/>
      <c r="C24" s="3241"/>
      <c r="D24" s="3241"/>
      <c r="E24" s="3241"/>
      <c r="F24" s="3241"/>
      <c r="G24" s="3241"/>
      <c r="H24" s="3241"/>
      <c r="I24" s="3241"/>
      <c r="J24" s="3241"/>
      <c r="K24" s="3241"/>
      <c r="L24" s="3241"/>
      <c r="M24" s="3241"/>
      <c r="N24" s="3241"/>
    </row>
    <row r="25" spans="1:14">
      <c r="A25" s="3241"/>
      <c r="B25" s="3241"/>
      <c r="C25" s="3241"/>
      <c r="D25" s="3241"/>
      <c r="E25" s="3241"/>
      <c r="F25" s="3241"/>
      <c r="G25" s="3241"/>
      <c r="H25" s="3241"/>
      <c r="I25" s="3241"/>
      <c r="J25" s="3241"/>
      <c r="K25" s="3241"/>
      <c r="L25" s="3241"/>
      <c r="M25" s="3241"/>
      <c r="N25" s="3241"/>
    </row>
    <row r="26" spans="1:14">
      <c r="A26" s="3241"/>
      <c r="B26" s="3241"/>
      <c r="C26" s="3241"/>
      <c r="D26" s="3241"/>
      <c r="E26" s="3241"/>
      <c r="F26" s="3241"/>
      <c r="G26" s="3241"/>
      <c r="H26" s="3241"/>
      <c r="I26" s="3241"/>
      <c r="J26" s="3241"/>
      <c r="K26" s="3241"/>
      <c r="L26" s="3241"/>
      <c r="M26" s="3241"/>
      <c r="N26" s="3241"/>
    </row>
    <row r="27" spans="1:14">
      <c r="A27" s="3241"/>
      <c r="B27" s="3241"/>
      <c r="C27" s="3241"/>
      <c r="D27" s="3241"/>
      <c r="E27" s="3241"/>
      <c r="F27" s="3241"/>
      <c r="G27" s="3241"/>
      <c r="H27" s="3241"/>
      <c r="I27" s="3241"/>
      <c r="J27" s="3241"/>
      <c r="K27" s="3241"/>
      <c r="L27" s="3241"/>
      <c r="M27" s="3241"/>
      <c r="N27" s="3241"/>
    </row>
    <row r="28" spans="1:14">
      <c r="A28" s="3241"/>
      <c r="B28" s="3241"/>
      <c r="C28" s="3241"/>
      <c r="D28" s="3241"/>
      <c r="E28" s="3241"/>
      <c r="F28" s="3241"/>
      <c r="G28" s="3241"/>
      <c r="H28" s="3241"/>
      <c r="I28" s="3241"/>
      <c r="J28" s="3241"/>
      <c r="K28" s="3241"/>
      <c r="L28" s="3241"/>
      <c r="M28" s="3241"/>
      <c r="N28" s="3241"/>
    </row>
    <row r="29" spans="1:14">
      <c r="A29" s="3241"/>
      <c r="B29" s="3241"/>
      <c r="C29" s="3241"/>
      <c r="D29" s="3241"/>
      <c r="E29" s="3241"/>
      <c r="F29" s="3241"/>
      <c r="G29" s="3241"/>
      <c r="H29" s="3241"/>
      <c r="I29" s="3241"/>
      <c r="J29" s="3241"/>
      <c r="K29" s="3241"/>
      <c r="L29" s="3241"/>
      <c r="M29" s="3241"/>
      <c r="N29" s="3241"/>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A2:G42"/>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621</v>
      </c>
      <c r="B1" s="729"/>
      <c r="C1" s="762"/>
      <c r="D1" s="1931"/>
      <c r="E1" s="2240" t="s">
        <v>2358</v>
      </c>
      <c r="F1" s="2241">
        <f ca="1">J54</f>
        <v>-2.5</v>
      </c>
      <c r="G1" s="763">
        <f>MATCH(C1,'数据-取费表'!A6:A16,0)+5</f>
        <v>10</v>
      </c>
      <c r="H1" s="1302"/>
      <c r="I1" s="1932"/>
      <c r="J1" s="1932"/>
      <c r="K1" s="1933"/>
      <c r="L1" s="1932"/>
      <c r="M1" s="1932"/>
      <c r="N1" s="1934"/>
      <c r="O1" s="1934"/>
      <c r="P1" s="1934"/>
      <c r="Q1" s="1934"/>
      <c r="R1" s="1934"/>
      <c r="S1" s="1934"/>
      <c r="T1" s="1934"/>
      <c r="U1" s="1934"/>
      <c r="V1" s="1934"/>
      <c r="W1" s="1934"/>
      <c r="X1" s="1934"/>
      <c r="Y1" s="1934"/>
    </row>
    <row r="2" spans="1:25" ht="18" customHeight="1">
      <c r="A2" s="1570" t="s">
        <v>622</v>
      </c>
      <c r="B2" s="764">
        <f ca="1">IF(ISERROR(C45+J31),0,C45+J31)</f>
        <v>0</v>
      </c>
      <c r="C2" s="1303"/>
      <c r="D2" s="1936"/>
      <c r="E2" s="1937"/>
      <c r="F2" s="1937"/>
      <c r="G2" s="1522"/>
      <c r="H2" s="1315"/>
      <c r="I2" s="1938"/>
      <c r="J2" s="1938"/>
      <c r="K2" s="1939"/>
      <c r="L2" s="1938"/>
      <c r="M2" s="1938"/>
    </row>
    <row r="3" spans="1:25" ht="18" customHeight="1">
      <c r="A3" s="1571" t="s">
        <v>1676</v>
      </c>
      <c r="B3" s="1338">
        <f ca="1">ROUND(B2*10000/'数据-汇总表'!E3,0)</f>
        <v>0</v>
      </c>
      <c r="C3" s="1303"/>
      <c r="D3" s="1936"/>
      <c r="E3" s="1937"/>
      <c r="F3" s="1937"/>
      <c r="G3" s="1522"/>
      <c r="H3" s="765" t="s">
        <v>688</v>
      </c>
      <c r="I3" s="1938"/>
      <c r="J3" s="1938"/>
      <c r="K3" s="1939"/>
      <c r="L3" s="1938"/>
      <c r="M3" s="1938"/>
    </row>
    <row r="4" spans="1:25" ht="18" customHeight="1">
      <c r="A4" s="1572" t="s">
        <v>689</v>
      </c>
      <c r="B4" s="1304">
        <f ca="1">ROUND(B2*10000/'数据-汇总表'!D3,0)</f>
        <v>0</v>
      </c>
      <c r="C4" s="421"/>
      <c r="D4" s="1936"/>
      <c r="E4" s="1937"/>
      <c r="F4" s="1937"/>
      <c r="G4" s="1522"/>
      <c r="H4" s="765"/>
      <c r="I4" s="1938"/>
      <c r="J4" s="1938"/>
      <c r="K4" s="1939"/>
      <c r="L4" s="1938"/>
      <c r="M4" s="1938"/>
    </row>
    <row r="5" spans="1:25" ht="18" customHeight="1" thickBot="1">
      <c r="A5" s="1573"/>
      <c r="B5" s="423">
        <f ca="1">ROUND(B2/('数据-汇总表'!D3/666.67),0)</f>
        <v>0</v>
      </c>
      <c r="C5" s="424" t="s">
        <v>690</v>
      </c>
      <c r="D5" s="1936"/>
      <c r="E5" s="1937"/>
      <c r="F5" s="1937"/>
      <c r="G5" s="1522"/>
      <c r="H5" s="765"/>
      <c r="I5" s="1938"/>
      <c r="J5" s="1938"/>
      <c r="K5" s="1939"/>
      <c r="L5" s="1938"/>
      <c r="M5" s="1938"/>
    </row>
    <row r="6" spans="1:25" ht="18" customHeight="1">
      <c r="A6" s="1741" t="s">
        <v>691</v>
      </c>
      <c r="B6" s="1733" t="s">
        <v>692</v>
      </c>
      <c r="C6" s="1733" t="s">
        <v>625</v>
      </c>
      <c r="D6" s="1733" t="s">
        <v>626</v>
      </c>
      <c r="E6" s="768" t="s">
        <v>627</v>
      </c>
      <c r="F6" s="769"/>
      <c r="G6" s="1524"/>
      <c r="H6" s="1741" t="s">
        <v>623</v>
      </c>
      <c r="I6" s="1733" t="s">
        <v>624</v>
      </c>
      <c r="J6" s="1733" t="s">
        <v>625</v>
      </c>
      <c r="K6" s="1733" t="s">
        <v>626</v>
      </c>
      <c r="L6" s="768" t="s">
        <v>627</v>
      </c>
      <c r="M6" s="769"/>
    </row>
    <row r="7" spans="1:25" ht="18" customHeight="1">
      <c r="A7" s="770">
        <v>1</v>
      </c>
      <c r="B7" s="771" t="s">
        <v>2439</v>
      </c>
      <c r="C7" s="53">
        <f ca="1">C8+C12+C14</f>
        <v>0</v>
      </c>
      <c r="D7" s="2347" t="s">
        <v>2442</v>
      </c>
      <c r="E7" s="2341"/>
      <c r="F7" s="2342"/>
      <c r="G7" s="1524"/>
      <c r="H7" s="770">
        <v>1</v>
      </c>
      <c r="I7" s="771" t="s">
        <v>2439</v>
      </c>
      <c r="J7" s="53">
        <f ca="1">J8+J12+J14</f>
        <v>0</v>
      </c>
      <c r="K7" s="2347" t="s">
        <v>2442</v>
      </c>
      <c r="L7" s="2341"/>
      <c r="M7" s="2342"/>
    </row>
    <row r="8" spans="1:25" ht="18" customHeight="1">
      <c r="A8" s="1743" t="s">
        <v>1814</v>
      </c>
      <c r="B8" s="3582" t="s">
        <v>2444</v>
      </c>
      <c r="C8" s="1738">
        <f ca="1">ROUND(F8*F10*F9*(1-F11)/10000,0)</f>
        <v>0</v>
      </c>
      <c r="D8" s="1735" t="s">
        <v>2515</v>
      </c>
      <c r="E8" s="61" t="s">
        <v>630</v>
      </c>
      <c r="F8" s="774">
        <f ca="1">INDIRECT("'数据-取费表'!u"&amp;$G$1)</f>
        <v>0</v>
      </c>
      <c r="G8" s="1524"/>
      <c r="H8" s="2355" t="s">
        <v>1814</v>
      </c>
      <c r="I8" s="3582" t="s">
        <v>2444</v>
      </c>
      <c r="J8" s="772">
        <f ca="1">ROUND(M8*M10*M9*(1-M11)/10000,0)</f>
        <v>0</v>
      </c>
      <c r="K8" s="338" t="s">
        <v>2515</v>
      </c>
      <c r="L8" s="773" t="s">
        <v>1728</v>
      </c>
      <c r="M8" s="774">
        <f ca="1">INDIRECT("'数据-取费表'!z"&amp;$G$1)</f>
        <v>0</v>
      </c>
    </row>
    <row r="9" spans="1:25" ht="18" customHeight="1">
      <c r="A9" s="2351"/>
      <c r="B9" s="3583"/>
      <c r="C9" s="1739"/>
      <c r="D9" s="1736"/>
      <c r="E9" s="61" t="s">
        <v>631</v>
      </c>
      <c r="F9" s="774">
        <f ca="1">IF(INDIRECT("'数据-取费表'!ah"&amp;$G$1)="",INDIRECT("'数据-取费表'!k"&amp;$G$1),INDIRECT("'数据-取费表'!ah"&amp;$G$1))</f>
        <v>0</v>
      </c>
      <c r="G9" s="1524"/>
      <c r="H9" s="2340"/>
      <c r="I9" s="3583"/>
      <c r="J9" s="777"/>
      <c r="K9" s="778"/>
      <c r="L9" s="773" t="s">
        <v>1729</v>
      </c>
      <c r="M9" s="774">
        <f ca="1">F9</f>
        <v>0</v>
      </c>
    </row>
    <row r="10" spans="1:25" ht="18" customHeight="1">
      <c r="A10" s="2344"/>
      <c r="B10" s="3584"/>
      <c r="C10" s="1739"/>
      <c r="D10" s="1736"/>
      <c r="E10" s="61" t="s">
        <v>632</v>
      </c>
      <c r="F10" s="774">
        <f ca="1">INDIRECT("'数据-取费表'!ai"&amp;$G$1)</f>
        <v>0</v>
      </c>
      <c r="G10" s="1524"/>
      <c r="H10" s="2340"/>
      <c r="I10" s="3584"/>
      <c r="J10" s="777"/>
      <c r="K10" s="778"/>
      <c r="L10" s="773" t="s">
        <v>1730</v>
      </c>
      <c r="M10" s="774">
        <f ca="1">INDIRECT("'数据-取费表'!ai"&amp;$G$1)</f>
        <v>0</v>
      </c>
    </row>
    <row r="11" spans="1:25" ht="18" customHeight="1">
      <c r="A11" s="775"/>
      <c r="B11" s="3585"/>
      <c r="C11" s="1739"/>
      <c r="D11" s="1736"/>
      <c r="E11" s="61" t="s">
        <v>633</v>
      </c>
      <c r="F11" s="783">
        <f ca="1">INDIRECT("'数据-取费表'!w"&amp;$G$1)</f>
        <v>0</v>
      </c>
      <c r="G11" s="1524"/>
      <c r="H11" s="2356"/>
      <c r="I11" s="3584"/>
      <c r="J11" s="777"/>
      <c r="K11" s="778"/>
      <c r="L11" s="784" t="s">
        <v>1731</v>
      </c>
      <c r="M11" s="785">
        <f ca="1">INDIRECT("'数据-取费表'!ab"&amp;$G$1)</f>
        <v>0</v>
      </c>
    </row>
    <row r="12" spans="1:25" ht="18" customHeight="1">
      <c r="A12" s="1743" t="s">
        <v>1815</v>
      </c>
      <c r="B12" s="2345" t="s">
        <v>2440</v>
      </c>
      <c r="C12" s="788">
        <f ca="1">ROUND(IF(F12="押一",C8/12*F13,IF(F12="押二",C8/12*2*F13,IF(F12="押三",C8/12*3*F13,C13*F13))),0)</f>
        <v>0</v>
      </c>
      <c r="D12" s="2352" t="s">
        <v>2937</v>
      </c>
      <c r="E12" s="2349" t="s">
        <v>2445</v>
      </c>
      <c r="F12" s="2463"/>
      <c r="G12" s="1524"/>
      <c r="H12" s="2412" t="s">
        <v>1815</v>
      </c>
      <c r="I12" s="2417" t="s">
        <v>2440</v>
      </c>
      <c r="J12" s="772">
        <f ca="1">ROUND(IF(M12="押一",J8/12*M13,IF(M12="押二",J8/12*2*M13,IF(M12="押三",J8/12*3*M13,J13*M13))),0)</f>
        <v>0</v>
      </c>
      <c r="K12" s="2352" t="s">
        <v>2937</v>
      </c>
      <c r="L12" s="2349" t="s">
        <v>2445</v>
      </c>
      <c r="M12" s="2463"/>
    </row>
    <row r="13" spans="1:25" ht="18" customHeight="1">
      <c r="A13" s="779"/>
      <c r="B13" s="2346" t="s">
        <v>2554</v>
      </c>
      <c r="C13" s="2350"/>
      <c r="D13" s="778"/>
      <c r="E13" s="2349" t="s">
        <v>2437</v>
      </c>
      <c r="F13" s="785">
        <f ca="1">'数据-取费表'!B39</f>
        <v>1.4999999999999999E-2</v>
      </c>
      <c r="G13" s="1524"/>
      <c r="H13" s="2413"/>
      <c r="I13" s="2346" t="s">
        <v>2554</v>
      </c>
      <c r="J13" s="2350"/>
      <c r="K13" s="2414"/>
      <c r="L13" s="2349" t="s">
        <v>2437</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1864</v>
      </c>
      <c r="B15" s="1740" t="s">
        <v>634</v>
      </c>
      <c r="C15" s="781">
        <f ca="1">ROUND(C31*F15,0)</f>
        <v>0</v>
      </c>
      <c r="D15" s="1747" t="s">
        <v>635</v>
      </c>
      <c r="E15" s="784" t="s">
        <v>636</v>
      </c>
      <c r="F15" s="789">
        <f ca="1">INDIRECT("'数据-取费表'!y"&amp;$G$1)</f>
        <v>0</v>
      </c>
      <c r="G15" s="1524"/>
      <c r="H15" s="1742" t="s">
        <v>1816</v>
      </c>
      <c r="I15" s="1740" t="s">
        <v>637</v>
      </c>
      <c r="J15" s="1732">
        <f ca="1">ROUND(J16*J17,0)</f>
        <v>0</v>
      </c>
      <c r="K15" s="1734" t="s">
        <v>635</v>
      </c>
      <c r="L15" s="790"/>
      <c r="M15" s="791"/>
    </row>
    <row r="16" spans="1:25" ht="18" customHeight="1">
      <c r="A16" s="792" t="s">
        <v>1865</v>
      </c>
      <c r="B16" s="773" t="s">
        <v>638</v>
      </c>
      <c r="C16" s="793">
        <f ca="1">INDIRECT("'数据-取费表'!m"&amp;$G$1)+INDIRECT("'数据-取费表'!t"&amp;$G$1)</f>
        <v>0</v>
      </c>
      <c r="D16" s="1891" t="s">
        <v>639</v>
      </c>
      <c r="E16" s="1892"/>
      <c r="F16" s="794"/>
      <c r="G16" s="1524"/>
      <c r="H16" s="792" t="s">
        <v>2057</v>
      </c>
      <c r="I16" s="2109" t="s">
        <v>2804</v>
      </c>
      <c r="J16" s="53">
        <f ca="1">C31</f>
        <v>0</v>
      </c>
      <c r="K16" s="26"/>
      <c r="L16" s="790"/>
      <c r="M16" s="791"/>
    </row>
    <row r="17" spans="1:25" s="1945" customFormat="1" ht="18" customHeight="1">
      <c r="A17" s="792" t="s">
        <v>1839</v>
      </c>
      <c r="B17" s="773" t="s">
        <v>640</v>
      </c>
      <c r="C17" s="53">
        <f ca="1">ROUND(C16*F17,0)</f>
        <v>0</v>
      </c>
      <c r="D17" s="795" t="s">
        <v>641</v>
      </c>
      <c r="E17" s="795" t="s">
        <v>642</v>
      </c>
      <c r="F17" s="796">
        <f>'数据-取费表'!B33</f>
        <v>0.03</v>
      </c>
      <c r="G17" s="1525"/>
      <c r="H17" s="792" t="s">
        <v>2058</v>
      </c>
      <c r="I17" s="773" t="s">
        <v>636</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1840</v>
      </c>
      <c r="B18" s="773" t="s">
        <v>643</v>
      </c>
      <c r="C18" s="53">
        <f ca="1">ROUND(INDIRECT("'数据-取费表'!m"&amp;$G$1)*F18,0)</f>
        <v>0</v>
      </c>
      <c r="D18" s="773" t="s">
        <v>641</v>
      </c>
      <c r="E18" s="773" t="s">
        <v>642</v>
      </c>
      <c r="F18" s="798">
        <f ca="1">IF(INDIRECT("'数据-取费表'!c"&amp;$G$1)="住宅",'数据-取费表'!B34,0)</f>
        <v>0</v>
      </c>
      <c r="G18" s="1524"/>
      <c r="H18" s="786" t="s">
        <v>1817</v>
      </c>
      <c r="I18" s="787" t="s">
        <v>644</v>
      </c>
      <c r="J18" s="788">
        <f ca="1">ROUND(J19+J24+J25+J26,0)</f>
        <v>0</v>
      </c>
      <c r="K18" s="26" t="s">
        <v>645</v>
      </c>
      <c r="L18" s="1894"/>
      <c r="M18" s="56"/>
    </row>
    <row r="19" spans="1:25" s="1945" customFormat="1" ht="18" customHeight="1">
      <c r="A19" s="792" t="s">
        <v>1841</v>
      </c>
      <c r="B19" s="773" t="s">
        <v>646</v>
      </c>
      <c r="C19" s="53">
        <f ca="1">ROUND(F19*(INDIRECT("'数据-取费表'!k"&amp;$G$1)+INDIRECT("'数据-取费表'!S"&amp;$G$1))/10000,0)</f>
        <v>0</v>
      </c>
      <c r="D19" s="773" t="s">
        <v>647</v>
      </c>
      <c r="E19" s="773" t="s">
        <v>648</v>
      </c>
      <c r="F19" s="56">
        <f>'数据-取费表'!B35</f>
        <v>200</v>
      </c>
      <c r="G19" s="1525"/>
      <c r="H19" s="792" t="s">
        <v>2057</v>
      </c>
      <c r="I19" s="773" t="s">
        <v>649</v>
      </c>
      <c r="J19" s="3013">
        <f ca="1">ROUND(IF(AND(项目基本情况!B11="自然人",项目基本情况!B10="北京市"),J8*M19/(1+'数据-取费表'!C42),J20+J21+J22),0)</f>
        <v>0</v>
      </c>
      <c r="K19" s="1891" t="s">
        <v>650</v>
      </c>
      <c r="L19" s="1889" t="s">
        <v>651</v>
      </c>
      <c r="M19" s="3012"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1842</v>
      </c>
      <c r="B20" s="773" t="s">
        <v>652</v>
      </c>
      <c r="C20" s="53">
        <f ca="1">ROUND(C16*F20,0)</f>
        <v>0</v>
      </c>
      <c r="D20" s="773" t="s">
        <v>641</v>
      </c>
      <c r="E20" s="773" t="s">
        <v>642</v>
      </c>
      <c r="F20" s="798">
        <f>'数据-取费表'!B36</f>
        <v>1.4999999999999999E-2</v>
      </c>
      <c r="G20" s="1525"/>
      <c r="H20" s="792" t="s">
        <v>1821</v>
      </c>
      <c r="I20" s="773" t="s">
        <v>653</v>
      </c>
      <c r="J20" s="53">
        <f ca="1">ROUND(J8*M20/(1+'数据-取费表'!C42),1)</f>
        <v>0</v>
      </c>
      <c r="K20" s="1889" t="s">
        <v>654</v>
      </c>
      <c r="L20" s="773" t="s">
        <v>642</v>
      </c>
      <c r="M20" s="798">
        <f>'数据-取费表'!B41</f>
        <v>5.5000000000000007E-2</v>
      </c>
      <c r="N20" s="1944"/>
      <c r="O20" s="1944"/>
      <c r="P20" s="1944"/>
      <c r="Q20" s="1944"/>
      <c r="R20" s="1944"/>
      <c r="S20" s="1944"/>
      <c r="T20" s="1944"/>
      <c r="U20" s="1944"/>
      <c r="V20" s="1944"/>
      <c r="W20" s="1944"/>
      <c r="X20" s="1944"/>
      <c r="Y20" s="1944"/>
    </row>
    <row r="21" spans="1:25" ht="18" customHeight="1">
      <c r="A21" s="792" t="s">
        <v>1866</v>
      </c>
      <c r="B21" s="773" t="s">
        <v>655</v>
      </c>
      <c r="C21" s="53">
        <f ca="1">SUM(C16:C20)</f>
        <v>0</v>
      </c>
      <c r="D21" s="258" t="s">
        <v>656</v>
      </c>
      <c r="E21" s="1894"/>
      <c r="F21" s="56"/>
      <c r="G21" s="1524"/>
      <c r="H21" s="1743" t="s">
        <v>1839</v>
      </c>
      <c r="I21" s="773" t="s">
        <v>657</v>
      </c>
      <c r="J21" s="53">
        <f ca="1">IF(K21="按租金收入计税",ROUND(J8*M21/(1+'数据-取费表'!C42),1),ROUND(C31*F35*0.7,1))</f>
        <v>0</v>
      </c>
      <c r="K21" s="799" t="s">
        <v>658</v>
      </c>
      <c r="L21" s="773" t="s">
        <v>642</v>
      </c>
      <c r="M21" s="798">
        <f>IF(K21="按租金收入计税",'数据-取费表'!B51,'数据-取费表'!B50)</f>
        <v>1.2E-2</v>
      </c>
    </row>
    <row r="22" spans="1:25" s="1945" customFormat="1" ht="18" customHeight="1">
      <c r="A22" s="792" t="s">
        <v>1867</v>
      </c>
      <c r="B22" s="773" t="s">
        <v>659</v>
      </c>
      <c r="C22" s="53">
        <f ca="1">ROUND(C21*F22,0)</f>
        <v>0</v>
      </c>
      <c r="D22" s="800" t="s">
        <v>660</v>
      </c>
      <c r="E22" s="773" t="s">
        <v>642</v>
      </c>
      <c r="F22" s="798">
        <f>'数据-取费表'!B37</f>
        <v>1.4999999999999999E-2</v>
      </c>
      <c r="G22" s="1525"/>
      <c r="H22" s="1745" t="s">
        <v>1840</v>
      </c>
      <c r="I22" s="1735" t="s">
        <v>661</v>
      </c>
      <c r="J22" s="54">
        <f ca="1">ROUND(M22*M23/10000,0)</f>
        <v>0</v>
      </c>
      <c r="K22" s="802" t="s">
        <v>662</v>
      </c>
      <c r="L22" s="773" t="s">
        <v>663</v>
      </c>
      <c r="M22" s="631">
        <f>'数据-取费表'!B52</f>
        <v>8</v>
      </c>
      <c r="N22" s="1944"/>
      <c r="O22" s="1944"/>
      <c r="P22" s="1944"/>
      <c r="Q22" s="1944"/>
      <c r="R22" s="1944"/>
      <c r="S22" s="1944"/>
      <c r="T22" s="1944"/>
      <c r="U22" s="1944"/>
      <c r="V22" s="1944"/>
      <c r="W22" s="1944"/>
      <c r="X22" s="1944"/>
      <c r="Y22" s="1944"/>
    </row>
    <row r="23" spans="1:25" s="1945" customFormat="1" ht="18" customHeight="1">
      <c r="A23" s="792" t="s">
        <v>1868</v>
      </c>
      <c r="B23" s="773" t="s">
        <v>664</v>
      </c>
      <c r="C23" s="53" t="s">
        <v>1</v>
      </c>
      <c r="D23" s="800" t="s">
        <v>665</v>
      </c>
      <c r="E23" s="773" t="s">
        <v>666</v>
      </c>
      <c r="F23" s="798">
        <f>'数据-取费表'!B38</f>
        <v>1.4999999999999999E-2</v>
      </c>
      <c r="G23" s="1525"/>
      <c r="H23" s="1746"/>
      <c r="I23" s="1737"/>
      <c r="J23" s="69"/>
      <c r="K23" s="804"/>
      <c r="L23" s="773" t="s">
        <v>667</v>
      </c>
      <c r="M23" s="774">
        <f ca="1">INDIRECT("'数据-取费表'!r"&amp;$G$1)</f>
        <v>0</v>
      </c>
      <c r="N23" s="1944"/>
      <c r="O23" s="1944"/>
      <c r="P23" s="1944"/>
      <c r="Q23" s="1944"/>
      <c r="R23" s="1944"/>
      <c r="S23" s="1944"/>
      <c r="T23" s="1944"/>
      <c r="U23" s="1944"/>
      <c r="V23" s="1944"/>
      <c r="W23" s="1944"/>
      <c r="X23" s="1944"/>
      <c r="Y23" s="1944"/>
    </row>
    <row r="24" spans="1:25" ht="18" customHeight="1">
      <c r="A24" s="792" t="s">
        <v>1869</v>
      </c>
      <c r="B24" s="773" t="s">
        <v>668</v>
      </c>
      <c r="C24" s="53"/>
      <c r="D24" s="2422" t="str">
        <f>IF(F25&lt;=1,"单利计息。","复利计息。")&amp;"建造成本、管理费用、销售费用产生的利息。"</f>
        <v>复利计息。建造成本、管理费用、销售费用产生的利息。</v>
      </c>
      <c r="E24" s="1894"/>
      <c r="F24" s="56"/>
      <c r="G24" s="1524"/>
      <c r="H24" s="1744" t="s">
        <v>2058</v>
      </c>
      <c r="I24" s="773" t="s">
        <v>669</v>
      </c>
      <c r="J24" s="53">
        <f ca="1">ROUND(J16*M24,0)</f>
        <v>0</v>
      </c>
      <c r="K24" s="1889" t="s">
        <v>670</v>
      </c>
      <c r="L24" s="773" t="s">
        <v>642</v>
      </c>
      <c r="M24" s="805">
        <f ca="1">INDIRECT("'数据-取费表'!Ak"&amp;$G$1)</f>
        <v>0</v>
      </c>
    </row>
    <row r="25" spans="1:25" s="1945" customFormat="1" ht="18" customHeight="1">
      <c r="A25" s="792" t="s">
        <v>1865</v>
      </c>
      <c r="B25" s="773" t="s">
        <v>2420</v>
      </c>
      <c r="C25" s="53">
        <f ca="1">ROUND(IF('数据-取费表'!B22&lt;=1,(C21+C22)*F26*F25/2,(C21+C22)*(POWER((1+F26),F25/2)-1)),0)</f>
        <v>0</v>
      </c>
      <c r="D25" s="2421" t="str">
        <f>IF(F25&lt;=1,"(建造成本+管理费用)×利率×(建设周期÷2)","(建造成本+管理费用)×((1+利率)^(建设周期÷2)-1)")</f>
        <v>(建造成本+管理费用)×((1+利率)^(建设周期÷2)-1)</v>
      </c>
      <c r="E25" s="773" t="s">
        <v>671</v>
      </c>
      <c r="F25" s="631">
        <f>'数据-取费表'!B20</f>
        <v>2.5</v>
      </c>
      <c r="G25" s="1525"/>
      <c r="H25" s="792" t="s">
        <v>1868</v>
      </c>
      <c r="I25" s="773" t="s">
        <v>672</v>
      </c>
      <c r="J25" s="53">
        <f ca="1">ROUND(J15*M25,0)</f>
        <v>0</v>
      </c>
      <c r="K25" s="1889" t="s">
        <v>673</v>
      </c>
      <c r="L25" s="773" t="s">
        <v>642</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1839</v>
      </c>
      <c r="B26" s="773" t="s">
        <v>674</v>
      </c>
      <c r="C26" s="53">
        <f ca="1">ROUND(IF('数据-取费表'!B22&lt;=1,F23*F26*F25/2,F23*(POWER((1+F26),F25/2)-1)),4)</f>
        <v>8.9999999999999998E-4</v>
      </c>
      <c r="D26" s="2421" t="str">
        <f>IF(F25&lt;=1,"销售费用×利率×(建设周期÷2)","销售费用×((1+利率)^(建设周期÷2)-1)")</f>
        <v>销售费用×((1+利率)^(建设周期÷2)-1)</v>
      </c>
      <c r="E26" s="773" t="s">
        <v>675</v>
      </c>
      <c r="F26" s="807">
        <f ca="1">'数据-取费表'!B40</f>
        <v>4.7500000000000001E-2</v>
      </c>
      <c r="G26" s="1525"/>
      <c r="H26" s="792" t="s">
        <v>1869</v>
      </c>
      <c r="I26" s="773" t="s">
        <v>659</v>
      </c>
      <c r="J26" s="53">
        <f ca="1">ROUND(J7*M26,0)</f>
        <v>0</v>
      </c>
      <c r="K26" s="1889" t="s">
        <v>676</v>
      </c>
      <c r="L26" s="773" t="s">
        <v>642</v>
      </c>
      <c r="M26" s="783">
        <f ca="1">INDIRECT("'数据-取费表'!Am"&amp;$G$1)</f>
        <v>0</v>
      </c>
      <c r="N26" s="1944"/>
      <c r="O26" s="1944"/>
      <c r="P26" s="1944"/>
      <c r="Q26" s="1944"/>
      <c r="R26" s="1944"/>
      <c r="S26" s="1944"/>
      <c r="T26" s="1944"/>
      <c r="U26" s="1944"/>
      <c r="V26" s="1944"/>
      <c r="W26" s="1944"/>
      <c r="X26" s="1944"/>
      <c r="Y26" s="1944"/>
    </row>
    <row r="27" spans="1:25" ht="18" customHeight="1">
      <c r="A27" s="792" t="s">
        <v>1871</v>
      </c>
      <c r="B27" s="773" t="s">
        <v>677</v>
      </c>
      <c r="C27" s="53"/>
      <c r="D27" s="258" t="s">
        <v>678</v>
      </c>
      <c r="E27" s="1894"/>
      <c r="F27" s="56"/>
      <c r="G27" s="1524"/>
      <c r="H27" s="786" t="s">
        <v>1818</v>
      </c>
      <c r="I27" s="2722" t="s">
        <v>2801</v>
      </c>
      <c r="J27" s="788">
        <f ca="1">J7-J18</f>
        <v>0</v>
      </c>
      <c r="K27" s="1891" t="s">
        <v>693</v>
      </c>
      <c r="L27" s="1893"/>
      <c r="M27" s="808"/>
    </row>
    <row r="28" spans="1:25" ht="18" customHeight="1">
      <c r="A28" s="792" t="s">
        <v>1865</v>
      </c>
      <c r="B28" s="773" t="s">
        <v>2421</v>
      </c>
      <c r="C28" s="53">
        <f ca="1">ROUND((C21+C22)*F28,0)</f>
        <v>0</v>
      </c>
      <c r="D28" s="800" t="s">
        <v>694</v>
      </c>
      <c r="E28" s="784" t="s">
        <v>695</v>
      </c>
      <c r="F28" s="783">
        <f ca="1">INDIRECT("'数据-取费表'!q"&amp;$G$1)</f>
        <v>0</v>
      </c>
      <c r="G28" s="1524"/>
      <c r="H28" s="770" t="s">
        <v>1827</v>
      </c>
      <c r="I28" s="771" t="s">
        <v>696</v>
      </c>
      <c r="J28" s="772">
        <f ca="1">IF(J7&lt;&gt;0,ROUND(J27*(1-((1+M30)/(1+M28))^M29)/(M28-M30),0),0)</f>
        <v>0</v>
      </c>
      <c r="K28" s="802" t="s">
        <v>697</v>
      </c>
      <c r="L28" s="773" t="s">
        <v>698</v>
      </c>
      <c r="M28" s="783">
        <f ca="1">INDIRECT("'数据-取费表'!I"&amp;$G$1)</f>
        <v>0</v>
      </c>
    </row>
    <row r="29" spans="1:25" ht="18" customHeight="1">
      <c r="A29" s="792" t="s">
        <v>1839</v>
      </c>
      <c r="B29" s="773" t="s">
        <v>679</v>
      </c>
      <c r="C29" s="53">
        <f ca="1">ROUND(F23*F28,4)</f>
        <v>0</v>
      </c>
      <c r="D29" s="800" t="s">
        <v>699</v>
      </c>
      <c r="E29" s="795"/>
      <c r="F29" s="796"/>
      <c r="G29" s="1524"/>
      <c r="H29" s="775"/>
      <c r="I29" s="776"/>
      <c r="J29" s="777"/>
      <c r="K29" s="809" t="s">
        <v>700</v>
      </c>
      <c r="L29" s="773" t="s">
        <v>701</v>
      </c>
      <c r="M29" s="810">
        <f ca="1">INDIRECT("'数据-取费表'!ag"&amp;$G$1)</f>
        <v>0</v>
      </c>
    </row>
    <row r="30" spans="1:25" s="1945" customFormat="1" ht="18" customHeight="1">
      <c r="A30" s="792" t="s">
        <v>1872</v>
      </c>
      <c r="B30" s="773" t="s">
        <v>680</v>
      </c>
      <c r="C30" s="53">
        <f>ROUND(F30/(1+'数据-取费表'!C42),4)</f>
        <v>5.2400000000000002E-2</v>
      </c>
      <c r="D30" s="800" t="s">
        <v>702</v>
      </c>
      <c r="E30" s="773" t="s">
        <v>642</v>
      </c>
      <c r="F30" s="798">
        <f>'数据-取费表'!B41</f>
        <v>5.5000000000000007E-2</v>
      </c>
      <c r="G30" s="1525"/>
      <c r="H30" s="779"/>
      <c r="I30" s="780"/>
      <c r="J30" s="781"/>
      <c r="K30" s="804"/>
      <c r="L30" s="773" t="s">
        <v>703</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1873</v>
      </c>
      <c r="B31" s="2392" t="s">
        <v>2802</v>
      </c>
      <c r="C31" s="2395">
        <f ca="1">ROUND((C21+C22+C25+C28)/(1-F23-C26-C29-C30),0)</f>
        <v>0</v>
      </c>
      <c r="D31" s="2396"/>
      <c r="E31" s="2397"/>
      <c r="F31" s="2398"/>
      <c r="G31" s="1525"/>
      <c r="H31" s="811" t="s">
        <v>1862</v>
      </c>
      <c r="I31" s="2723" t="s">
        <v>2803</v>
      </c>
      <c r="J31" s="813">
        <f ca="1">ROUND(J28/(1+F45)^F46,0)</f>
        <v>0</v>
      </c>
      <c r="K31" s="814" t="s">
        <v>681</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682</v>
      </c>
      <c r="C32" s="781">
        <f ca="1">ROUND(C33+C38+C39+C40,0)</f>
        <v>0</v>
      </c>
      <c r="D32" s="1734" t="s">
        <v>645</v>
      </c>
      <c r="E32" s="2338"/>
      <c r="F32" s="2342"/>
      <c r="G32" s="1943"/>
      <c r="H32" s="1946"/>
      <c r="I32" s="1947"/>
      <c r="J32" s="1948"/>
      <c r="K32" s="1949"/>
      <c r="L32" s="1950"/>
      <c r="M32" s="1951"/>
    </row>
    <row r="33" spans="1:18" ht="18" customHeight="1">
      <c r="A33" s="792" t="s">
        <v>1866</v>
      </c>
      <c r="B33" s="773" t="s">
        <v>649</v>
      </c>
      <c r="C33" s="3013">
        <f ca="1">ROUND(IF(AND(项目基本情况!B11="自然人",项目基本情况!B10="北京市"),C8*F33/(1+'数据-取费表'!C42),C34+C35+C36),0)</f>
        <v>0</v>
      </c>
      <c r="D33" s="1891" t="s">
        <v>650</v>
      </c>
      <c r="E33" s="1889" t="s">
        <v>683</v>
      </c>
      <c r="F33" s="3012" t="str">
        <f>IF(项目基本情况!B11="企业","——",IF('数据-取费表'!B10="住宅",IF(F8*F9*F10/12/(1+'数据-取费表'!F30)&gt;100000,4%,2.5%),IF(F8*F9*F10/12/(1+'数据-取费表'!F30)&gt;100000,12%,7%)))</f>
        <v>——</v>
      </c>
      <c r="G33" s="1943"/>
      <c r="H33" s="3252" t="s">
        <v>2995</v>
      </c>
      <c r="I33" s="1947"/>
      <c r="J33" s="1948"/>
      <c r="K33" s="1949"/>
      <c r="L33" s="1950"/>
      <c r="M33" s="1951"/>
    </row>
    <row r="34" spans="1:18" ht="18" customHeight="1">
      <c r="A34" s="792" t="s">
        <v>1865</v>
      </c>
      <c r="B34" s="773" t="s">
        <v>653</v>
      </c>
      <c r="C34" s="53">
        <f ca="1">ROUND(C8*F34/(1+'数据-取费表'!C42),1)</f>
        <v>0</v>
      </c>
      <c r="D34" s="1889" t="s">
        <v>654</v>
      </c>
      <c r="E34" s="773" t="s">
        <v>642</v>
      </c>
      <c r="F34" s="798">
        <f>'数据-取费表'!B41</f>
        <v>5.5000000000000007E-2</v>
      </c>
      <c r="G34" s="1943"/>
      <c r="H34" s="1952"/>
      <c r="I34" s="1953"/>
      <c r="J34" s="1954"/>
      <c r="K34" s="1955"/>
      <c r="L34" s="1956"/>
      <c r="M34" s="1957"/>
    </row>
    <row r="35" spans="1:18" ht="18" customHeight="1">
      <c r="A35" s="792" t="s">
        <v>1839</v>
      </c>
      <c r="B35" s="773" t="s">
        <v>657</v>
      </c>
      <c r="C35" s="53">
        <f ca="1">IF(D35="按租金收入计税",ROUND(C8*F35/(1+'数据-取费表'!C42),1),IF(D35="按房产原值计税",ROUND(C31*F35*0.7,1),INDIRECT("'数据-取费表'!Aj"&amp;$G$1)))</f>
        <v>0</v>
      </c>
      <c r="D35" s="799" t="s">
        <v>1670</v>
      </c>
      <c r="E35" s="773" t="s">
        <v>642</v>
      </c>
      <c r="F35" s="798">
        <f>IF(D35="按租金收入计税",'数据-取费表'!B51,'数据-取费表'!B50)</f>
        <v>1.2E-2</v>
      </c>
      <c r="G35" s="1943"/>
      <c r="H35" s="1958"/>
      <c r="I35" s="1958"/>
      <c r="J35" s="1958"/>
      <c r="K35" s="1959"/>
      <c r="L35" s="1958"/>
      <c r="M35" s="1958"/>
    </row>
    <row r="36" spans="1:18" ht="18" customHeight="1">
      <c r="A36" s="801" t="s">
        <v>1870</v>
      </c>
      <c r="B36" s="338" t="s">
        <v>661</v>
      </c>
      <c r="C36" s="54">
        <f ca="1">ROUND(F36*F37/10000,1)</f>
        <v>0</v>
      </c>
      <c r="D36" s="802" t="s">
        <v>662</v>
      </c>
      <c r="E36" s="773" t="s">
        <v>663</v>
      </c>
      <c r="F36" s="631">
        <f>'数据-取费表'!B52</f>
        <v>8</v>
      </c>
      <c r="G36" s="1943"/>
      <c r="H36" s="1946"/>
      <c r="I36" s="3581"/>
      <c r="J36" s="1960"/>
      <c r="K36" s="1961"/>
      <c r="L36" s="1960"/>
      <c r="M36" s="1960"/>
    </row>
    <row r="37" spans="1:18" ht="18" customHeight="1">
      <c r="A37" s="803"/>
      <c r="B37" s="782"/>
      <c r="C37" s="69"/>
      <c r="D37" s="804"/>
      <c r="E37" s="773" t="s">
        <v>667</v>
      </c>
      <c r="F37" s="774">
        <f ca="1">INDIRECT("'数据-取费表'!r"&amp;$G$1)</f>
        <v>0</v>
      </c>
      <c r="G37" s="1943"/>
      <c r="H37" s="1946"/>
      <c r="I37" s="3581"/>
      <c r="J37" s="1958"/>
      <c r="K37" s="1959"/>
      <c r="L37" s="1958"/>
      <c r="M37" s="1958"/>
    </row>
    <row r="38" spans="1:18" ht="18" customHeight="1">
      <c r="A38" s="792" t="s">
        <v>1867</v>
      </c>
      <c r="B38" s="773" t="s">
        <v>669</v>
      </c>
      <c r="C38" s="53">
        <f ca="1">ROUND(C31*F38,1)</f>
        <v>0</v>
      </c>
      <c r="D38" s="1889" t="s">
        <v>684</v>
      </c>
      <c r="E38" s="773" t="s">
        <v>642</v>
      </c>
      <c r="F38" s="805">
        <f ca="1">INDIRECT("'数据-取费表'!Ak"&amp;$G$1)</f>
        <v>0</v>
      </c>
      <c r="G38" s="1943"/>
      <c r="H38" s="1958"/>
      <c r="I38" s="3016"/>
      <c r="J38" s="1898"/>
      <c r="K38" s="1962"/>
      <c r="L38" s="1958"/>
      <c r="M38" s="1958"/>
    </row>
    <row r="39" spans="1:18" ht="18" customHeight="1">
      <c r="A39" s="792" t="s">
        <v>1868</v>
      </c>
      <c r="B39" s="773" t="s">
        <v>672</v>
      </c>
      <c r="C39" s="53">
        <f ca="1">ROUND(C15*F39,1)</f>
        <v>0</v>
      </c>
      <c r="D39" s="1889" t="s">
        <v>673</v>
      </c>
      <c r="E39" s="773" t="s">
        <v>642</v>
      </c>
      <c r="F39" s="806">
        <f ca="1">INDIRECT("'数据-取费表'!Al"&amp;$G$1)</f>
        <v>0</v>
      </c>
      <c r="G39" s="1943"/>
      <c r="H39" s="1958"/>
      <c r="I39" s="3016"/>
      <c r="J39" s="1898"/>
      <c r="K39" s="1962"/>
      <c r="L39" s="1958"/>
      <c r="M39" s="1958"/>
    </row>
    <row r="40" spans="1:18" ht="18" customHeight="1" thickBot="1">
      <c r="A40" s="2411" t="s">
        <v>1869</v>
      </c>
      <c r="B40" s="2397" t="s">
        <v>659</v>
      </c>
      <c r="C40" s="2395">
        <f ca="1">ROUND(C7*F40,1)</f>
        <v>0</v>
      </c>
      <c r="D40" s="2396" t="s">
        <v>676</v>
      </c>
      <c r="E40" s="2397" t="s">
        <v>642</v>
      </c>
      <c r="F40" s="2393">
        <f ca="1">INDIRECT("'数据-取费表'!Am"&amp;$G$1)</f>
        <v>0</v>
      </c>
      <c r="G40" s="1943"/>
      <c r="H40" s="1958"/>
      <c r="I40" s="3016"/>
      <c r="J40" s="1898"/>
      <c r="K40" s="1963"/>
      <c r="L40" s="1958"/>
      <c r="M40" s="1958"/>
    </row>
    <row r="41" spans="1:18" ht="18" customHeight="1" thickTop="1">
      <c r="A41" s="1742">
        <v>4</v>
      </c>
      <c r="B41" s="1740" t="s">
        <v>685</v>
      </c>
      <c r="C41" s="1305"/>
      <c r="D41" s="1306"/>
      <c r="E41" s="1306"/>
      <c r="F41" s="1307"/>
      <c r="G41" s="1943"/>
      <c r="H41" s="1943"/>
      <c r="I41" s="1943"/>
      <c r="J41" s="1943"/>
      <c r="K41" s="1963"/>
      <c r="L41" s="1943"/>
      <c r="M41" s="1943"/>
    </row>
    <row r="42" spans="1:18" ht="18" customHeight="1">
      <c r="A42" s="792" t="s">
        <v>1866</v>
      </c>
      <c r="B42" s="823" t="s">
        <v>686</v>
      </c>
      <c r="C42" s="817">
        <f ca="1">C7-C32</f>
        <v>0</v>
      </c>
      <c r="D42" s="1891" t="s">
        <v>687</v>
      </c>
      <c r="E42" s="1893"/>
      <c r="F42" s="808"/>
      <c r="G42" s="1943"/>
      <c r="H42" s="1943"/>
      <c r="I42" s="1943"/>
      <c r="J42" s="1943"/>
      <c r="K42" s="1963"/>
      <c r="L42" s="1943"/>
      <c r="M42" s="1943"/>
    </row>
    <row r="43" spans="1:18" ht="18" customHeight="1">
      <c r="A43" s="792" t="s">
        <v>1867</v>
      </c>
      <c r="B43" s="823" t="s">
        <v>704</v>
      </c>
      <c r="C43" s="824">
        <f ca="1">ROUND(C15*F43,0)</f>
        <v>0</v>
      </c>
      <c r="D43" s="1308" t="s">
        <v>705</v>
      </c>
      <c r="E43" s="2789" t="s">
        <v>2926</v>
      </c>
      <c r="F43" s="2790">
        <f ca="1">INDIRECT("'数据-取费表'!j"&amp;$G$1)</f>
        <v>0</v>
      </c>
      <c r="G43" s="1943"/>
      <c r="H43" s="1943"/>
      <c r="I43" s="1943"/>
      <c r="J43" s="1943"/>
      <c r="K43" s="1963"/>
      <c r="L43" s="1943"/>
      <c r="M43" s="1943"/>
    </row>
    <row r="44" spans="1:18" ht="18" customHeight="1">
      <c r="A44" s="792" t="s">
        <v>1868</v>
      </c>
      <c r="B44" s="823" t="s">
        <v>706</v>
      </c>
      <c r="C44" s="1309">
        <f ca="1">C42-C43</f>
        <v>0</v>
      </c>
      <c r="D44" s="456" t="s">
        <v>707</v>
      </c>
      <c r="E44" s="457"/>
      <c r="F44" s="458"/>
      <c r="G44" s="1943"/>
      <c r="H44" s="1943"/>
      <c r="I44" s="1943"/>
      <c r="J44" s="1943"/>
      <c r="K44" s="1963"/>
      <c r="L44" s="1943"/>
      <c r="M44" s="1943"/>
    </row>
    <row r="45" spans="1:18" ht="18" customHeight="1">
      <c r="A45" s="792" t="s">
        <v>1869</v>
      </c>
      <c r="B45" s="1308" t="s">
        <v>708</v>
      </c>
      <c r="C45" s="2745">
        <f ca="1">ROUND(-PV(F45,F46,C44,0),0)</f>
        <v>0</v>
      </c>
      <c r="D45" s="1310" t="s">
        <v>709</v>
      </c>
      <c r="E45" s="795" t="s">
        <v>710</v>
      </c>
      <c r="F45" s="818">
        <f ca="1">INDIRECT("'数据-取费表'!h"&amp;$G$1)</f>
        <v>0</v>
      </c>
      <c r="G45" s="1943"/>
      <c r="H45" s="1943"/>
      <c r="I45" s="1943"/>
      <c r="J45" s="1943"/>
      <c r="K45" s="1963"/>
      <c r="L45" s="1943"/>
      <c r="M45" s="1943"/>
    </row>
    <row r="46" spans="1:18" ht="18" customHeight="1" thickBot="1">
      <c r="A46" s="819"/>
      <c r="B46" s="1311"/>
      <c r="C46" s="1312"/>
      <c r="D46" s="1313"/>
      <c r="E46" s="2791" t="s">
        <v>2929</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2327</v>
      </c>
      <c r="J47" s="2232"/>
      <c r="K47" s="2233"/>
      <c r="L47" s="2805" t="str">
        <f ca="1">IF(M48="住宅",0,IF(L49&gt;J52,L61,J61))</f>
        <v>0</v>
      </c>
      <c r="O47" s="2247" t="s">
        <v>2394</v>
      </c>
      <c r="P47" s="1524"/>
      <c r="Q47" s="1532"/>
      <c r="R47" s="1524"/>
    </row>
    <row r="48" spans="1:18" s="1940" customFormat="1" ht="18" customHeight="1" thickBot="1">
      <c r="A48" s="1964"/>
      <c r="C48" s="1967"/>
      <c r="D48" s="1968"/>
      <c r="E48" s="1968"/>
      <c r="F48" s="1969"/>
      <c r="G48" s="1970"/>
      <c r="I48" s="2796" t="s">
        <v>2328</v>
      </c>
      <c r="J48" s="2234"/>
      <c r="K48" s="2802" t="s">
        <v>2333</v>
      </c>
      <c r="L48" s="2806">
        <f ca="1">INDIRECT("'数据-取费表'!d"&amp;$G$1)</f>
        <v>0</v>
      </c>
      <c r="M48" s="2788" t="str">
        <f>IF(ISNUMBER(FIND("住宅",C1)),"住宅","非住宅")</f>
        <v>非住宅</v>
      </c>
      <c r="O48" s="2248" t="s">
        <v>2359</v>
      </c>
      <c r="P48" s="2249" t="s">
        <v>2360</v>
      </c>
      <c r="Q48" s="2250" t="s">
        <v>2361</v>
      </c>
      <c r="R48" s="2249" t="s">
        <v>2362</v>
      </c>
    </row>
    <row r="49" spans="1:18" s="1940" customFormat="1" ht="18" customHeight="1" thickBot="1">
      <c r="A49" s="1964"/>
      <c r="D49" s="1971"/>
      <c r="E49" s="1972"/>
      <c r="F49" s="1969"/>
      <c r="G49" s="1970"/>
      <c r="H49" s="1973"/>
      <c r="I49" s="2793" t="s">
        <v>2329</v>
      </c>
      <c r="J49" s="2235"/>
      <c r="K49" s="2803" t="s">
        <v>2335</v>
      </c>
      <c r="L49" s="1820">
        <f ca="1">INDIRECT("'数据-取费表'!f"&amp;$G$1)</f>
        <v>0</v>
      </c>
      <c r="O49" s="2251" t="s">
        <v>2363</v>
      </c>
      <c r="P49" s="2252" t="s">
        <v>2389</v>
      </c>
      <c r="Q49" s="2253">
        <f ca="1">C41+J31</f>
        <v>0</v>
      </c>
      <c r="R49" s="2252" t="s">
        <v>2364</v>
      </c>
    </row>
    <row r="50" spans="1:18" s="1940" customFormat="1" ht="18" customHeight="1" thickBot="1">
      <c r="A50" s="1964"/>
      <c r="D50" s="1974"/>
      <c r="E50" s="1974"/>
      <c r="F50" s="1968"/>
      <c r="G50" s="1975"/>
      <c r="H50" s="1973"/>
      <c r="I50" s="2793" t="s">
        <v>2330</v>
      </c>
      <c r="J50" s="2236"/>
      <c r="K50" s="2804" t="s">
        <v>2336</v>
      </c>
      <c r="L50" s="2237"/>
      <c r="O50" s="2251" t="s">
        <v>2365</v>
      </c>
      <c r="P50" s="2252" t="s">
        <v>2390</v>
      </c>
      <c r="Q50" s="2253" t="str">
        <f ca="1">J61</f>
        <v>0</v>
      </c>
      <c r="R50" s="2252" t="s">
        <v>2366</v>
      </c>
    </row>
    <row r="51" spans="1:18" s="1940" customFormat="1" ht="18" customHeight="1" thickBot="1">
      <c r="A51" s="1976"/>
      <c r="D51" s="1974"/>
      <c r="E51" s="1974"/>
      <c r="F51" s="1965"/>
      <c r="H51" s="1973"/>
      <c r="I51" s="2793" t="s">
        <v>2331</v>
      </c>
      <c r="J51" s="2800">
        <f>SUMPRODUCT((I64:I66=J48)*(J63:L63=J49)*(J64:L66))</f>
        <v>0</v>
      </c>
      <c r="K51" s="2804" t="s">
        <v>2337</v>
      </c>
      <c r="L51" s="2237"/>
      <c r="O51" s="2254" t="s">
        <v>2367</v>
      </c>
      <c r="P51" s="2252" t="s">
        <v>2391</v>
      </c>
      <c r="Q51" s="2253">
        <f ca="1">C31</f>
        <v>0</v>
      </c>
      <c r="R51" s="2252" t="s">
        <v>2364</v>
      </c>
    </row>
    <row r="52" spans="1:18" s="1940" customFormat="1" ht="18" customHeight="1" thickBot="1">
      <c r="A52" s="1976"/>
      <c r="F52" s="1965"/>
      <c r="I52" s="2797" t="s">
        <v>2332</v>
      </c>
      <c r="J52" s="2801">
        <f>IF(J50="",J51,J50+J51-YEAR('数据-取费表'!B3))</f>
        <v>0</v>
      </c>
      <c r="K52" s="2793" t="s">
        <v>2338</v>
      </c>
      <c r="L52" s="2807">
        <f ca="1">C45</f>
        <v>0</v>
      </c>
      <c r="O52" s="2254" t="s">
        <v>2368</v>
      </c>
      <c r="P52" s="2252" t="s">
        <v>2369</v>
      </c>
      <c r="Q52" s="2255" t="e">
        <f ca="1">J59</f>
        <v>#VALUE!</v>
      </c>
      <c r="R52" s="2256"/>
    </row>
    <row r="53" spans="1:18" s="1940" customFormat="1" ht="18" customHeight="1" thickBot="1">
      <c r="A53" s="1976"/>
      <c r="F53" s="1965"/>
      <c r="I53" s="2798" t="s">
        <v>2405</v>
      </c>
      <c r="J53" s="2238"/>
      <c r="K53" s="2798" t="s">
        <v>2404</v>
      </c>
      <c r="L53" s="2238"/>
      <c r="O53" s="2254" t="s">
        <v>2370</v>
      </c>
      <c r="P53" s="2252" t="s">
        <v>2371</v>
      </c>
      <c r="Q53" s="2255">
        <f>J53</f>
        <v>0</v>
      </c>
      <c r="R53" s="2256"/>
    </row>
    <row r="54" spans="1:18" s="1940" customFormat="1" ht="29.25" thickBot="1">
      <c r="A54" s="1976"/>
      <c r="I54" s="2799" t="s">
        <v>2941</v>
      </c>
      <c r="J54" s="2852">
        <f ca="1">IF(M48="住宅",MAX(J52,L49-'数据-取费表'!B20),MIN(J52,L49-'数据-取费表'!B20))</f>
        <v>-2.5</v>
      </c>
      <c r="K54" s="3586"/>
      <c r="L54" s="3587"/>
      <c r="O54" s="2254" t="s">
        <v>2372</v>
      </c>
      <c r="P54" s="2252" t="s">
        <v>2373</v>
      </c>
      <c r="Q54" s="2253">
        <f ca="1">J54</f>
        <v>-2.5</v>
      </c>
      <c r="R54" s="2252" t="s">
        <v>2374</v>
      </c>
    </row>
    <row r="55" spans="1:18" s="1940" customFormat="1" ht="18" customHeight="1" thickBot="1">
      <c r="A55" s="1976"/>
      <c r="I55" s="28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8"/>
      <c r="K55" s="2809"/>
      <c r="O55" s="2251" t="s">
        <v>2375</v>
      </c>
      <c r="P55" s="2252" t="s">
        <v>2392</v>
      </c>
      <c r="Q55" s="2253">
        <f ca="1">Q49+Q50</f>
        <v>0</v>
      </c>
      <c r="R55" s="2256" t="s">
        <v>2376</v>
      </c>
    </row>
    <row r="56" spans="1:18" s="1940" customFormat="1" ht="16.5" thickBot="1">
      <c r="A56" s="1976"/>
      <c r="B56" s="1977"/>
      <c r="C56" s="1977"/>
      <c r="I56" s="2810" t="s">
        <v>2339</v>
      </c>
      <c r="J56" s="2782" t="e">
        <f ca="1">ROUND(IF(J48="钢混",J58/J51,1-(1-2%)*(J51-J58)/J51),3)</f>
        <v>#VALUE!</v>
      </c>
      <c r="K56" s="2811" t="s">
        <v>2340</v>
      </c>
      <c r="L56" s="2239"/>
      <c r="O56" s="2257" t="s">
        <v>2395</v>
      </c>
      <c r="P56" s="1524"/>
      <c r="Q56" s="1532"/>
      <c r="R56" s="1524"/>
    </row>
    <row r="57" spans="1:18" s="1940" customFormat="1" ht="43.5" thickBot="1">
      <c r="A57" s="1976"/>
      <c r="B57" s="1977"/>
      <c r="C57" s="1977"/>
      <c r="I57" s="2812" t="s">
        <v>2341</v>
      </c>
      <c r="J57" s="2822" t="s">
        <v>1668</v>
      </c>
      <c r="K57" s="2793" t="s">
        <v>2346</v>
      </c>
      <c r="L57" s="1820">
        <f ca="1">IF(L49&lt;J52,"——",L49-J52)</f>
        <v>0</v>
      </c>
      <c r="O57" s="2248" t="s">
        <v>2359</v>
      </c>
      <c r="P57" s="2249" t="s">
        <v>2360</v>
      </c>
      <c r="Q57" s="2250" t="s">
        <v>2361</v>
      </c>
      <c r="R57" s="2249" t="s">
        <v>2362</v>
      </c>
    </row>
    <row r="58" spans="1:18" s="1940" customFormat="1" ht="29.25" thickBot="1">
      <c r="A58" s="1976"/>
      <c r="B58" s="1977"/>
      <c r="C58" s="1977"/>
      <c r="I58" s="2813" t="s">
        <v>2342</v>
      </c>
      <c r="J58" s="2814" t="str">
        <f ca="1">IF(OR(M48="住宅",J52&lt;L49,J57="是"),"——",J52-L49)</f>
        <v>——</v>
      </c>
      <c r="K58" s="2793" t="s">
        <v>2347</v>
      </c>
      <c r="L58" s="1820">
        <f ca="1">IF(L49&lt;J52,"——",IF(L56="比较法",L50,IF(L56="基准地价",L51,L52)))</f>
        <v>0</v>
      </c>
      <c r="O58" s="2251" t="s">
        <v>2363</v>
      </c>
      <c r="P58" s="2252" t="s">
        <v>2389</v>
      </c>
      <c r="Q58" s="2253">
        <f ca="1">C41+J31</f>
        <v>0</v>
      </c>
      <c r="R58" s="2252" t="s">
        <v>2364</v>
      </c>
    </row>
    <row r="59" spans="1:18" s="1940" customFormat="1" ht="29.25" thickBot="1">
      <c r="A59" s="1976"/>
      <c r="B59" s="1977"/>
      <c r="C59" s="1977"/>
      <c r="I59" s="2813" t="s">
        <v>2343</v>
      </c>
      <c r="J59" s="2783" t="e">
        <f ca="1">IF(J56&lt;0.4,0.4,J56)</f>
        <v>#VALUE!</v>
      </c>
      <c r="K59" s="2793" t="s">
        <v>2348</v>
      </c>
      <c r="L59" s="1820">
        <f ca="1">IF(ISERROR(POWER(1+L53,L48-L49)*(POWER(1+L53,L49)-1)/(POWER(1+L53,L48)-1)),0,POWER(1+L53,L48-L49)*(POWER(1+L53,L49)-1)/(POWER(1+L53,L48)-1))</f>
        <v>0</v>
      </c>
      <c r="O59" s="2251" t="s">
        <v>2365</v>
      </c>
      <c r="P59" s="2252" t="s">
        <v>2396</v>
      </c>
      <c r="Q59" s="2253" t="e">
        <f ca="1">L61</f>
        <v>#DIV/0!</v>
      </c>
      <c r="R59" s="2256" t="s">
        <v>2398</v>
      </c>
    </row>
    <row r="60" spans="1:18" s="1940" customFormat="1" ht="29.25" thickBot="1">
      <c r="A60" s="1976"/>
      <c r="B60" s="1977"/>
      <c r="C60" s="1977"/>
      <c r="I60" s="2813" t="s">
        <v>2344</v>
      </c>
      <c r="J60" s="2814" t="str">
        <f ca="1">IF(OR(M48="住宅",J52&lt;L49,J57="是"),"——",ROUND(C30*J59,0))</f>
        <v>——</v>
      </c>
      <c r="K60" s="2793" t="s">
        <v>2349</v>
      </c>
      <c r="L60" s="1820">
        <f ca="1">IF(ISERROR(POWER(1+L53,L48-J52)*(POWER(1+L53,J52)-1)/(POWER(1+L53,L48)-1)),0,POWER(1+L53,L48-J52)*(POWER(1+L53,J52)-1)/(POWER(1+L53,L48)-1))</f>
        <v>0</v>
      </c>
      <c r="O60" s="2254" t="s">
        <v>2367</v>
      </c>
      <c r="P60" s="2252" t="s">
        <v>2397</v>
      </c>
      <c r="Q60" s="2253">
        <f>IF(L56="比较法",L50,IF(L56="基准地价",L51,0))</f>
        <v>0</v>
      </c>
      <c r="R60" s="2252" t="s">
        <v>2364</v>
      </c>
    </row>
    <row r="61" spans="1:18" s="1940" customFormat="1" ht="15.75" thickBot="1">
      <c r="A61" s="1976"/>
      <c r="B61" s="1977"/>
      <c r="C61" s="1977"/>
      <c r="I61" s="2815" t="s">
        <v>2345</v>
      </c>
      <c r="J61" s="2816" t="str">
        <f ca="1">IF(OR(M48="住宅",J52&lt;L49,J57="是"),"0",ROUND(J60/(1+J53)^J54,0))</f>
        <v>0</v>
      </c>
      <c r="K61" s="2817" t="s">
        <v>2350</v>
      </c>
      <c r="L61" s="2816" t="e">
        <f ca="1">IF(OR(M48="住宅",L49&lt;J52),0,ROUND(L58*(L59/L60-1),0))</f>
        <v>#DIV/0!</v>
      </c>
      <c r="O61" s="2254" t="s">
        <v>2368</v>
      </c>
      <c r="P61" s="2252" t="s">
        <v>2377</v>
      </c>
      <c r="Q61" s="2255">
        <f>L53</f>
        <v>0</v>
      </c>
      <c r="R61" s="2256"/>
    </row>
    <row r="62" spans="1:18" s="1940" customFormat="1" ht="20.25" thickBot="1">
      <c r="A62" s="1976"/>
      <c r="B62" s="1977"/>
      <c r="C62" s="1977"/>
      <c r="K62" s="1966"/>
      <c r="O62" s="2254" t="s">
        <v>2370</v>
      </c>
      <c r="P62" s="2252" t="s">
        <v>2378</v>
      </c>
      <c r="Q62" s="2253">
        <f ca="1">L59</f>
        <v>0</v>
      </c>
      <c r="R62" s="2256" t="s">
        <v>2379</v>
      </c>
    </row>
    <row r="63" spans="1:18" s="1940" customFormat="1" ht="20.25" thickBot="1">
      <c r="A63" s="1976"/>
      <c r="B63" s="1977"/>
      <c r="C63" s="1977"/>
      <c r="I63" s="2818" t="s">
        <v>2351</v>
      </c>
      <c r="J63" s="2819" t="s">
        <v>2352</v>
      </c>
      <c r="K63" s="2819" t="s">
        <v>2353</v>
      </c>
      <c r="L63" s="2819" t="s">
        <v>2334</v>
      </c>
      <c r="M63" s="2820" t="s">
        <v>2909</v>
      </c>
      <c r="O63" s="2254" t="s">
        <v>2372</v>
      </c>
      <c r="P63" s="2252" t="s">
        <v>2380</v>
      </c>
      <c r="Q63" s="2253">
        <f ca="1">L60</f>
        <v>0</v>
      </c>
      <c r="R63" s="2256" t="s">
        <v>2381</v>
      </c>
    </row>
    <row r="64" spans="1:18" s="1940" customFormat="1" ht="15.75" thickBot="1">
      <c r="A64" s="1976"/>
      <c r="B64" s="1977"/>
      <c r="C64" s="1977"/>
      <c r="I64" s="2818" t="s">
        <v>2354</v>
      </c>
      <c r="J64" s="2819">
        <v>70</v>
      </c>
      <c r="K64" s="2819">
        <v>50</v>
      </c>
      <c r="L64" s="2819">
        <v>80</v>
      </c>
      <c r="M64" s="2821">
        <v>0.02</v>
      </c>
      <c r="O64" s="2251" t="s">
        <v>2375</v>
      </c>
      <c r="P64" s="2252" t="s">
        <v>2392</v>
      </c>
      <c r="Q64" s="2253" t="e">
        <f ca="1">Q58+Q59</f>
        <v>#DIV/0!</v>
      </c>
      <c r="R64" s="2256" t="s">
        <v>2376</v>
      </c>
    </row>
    <row r="65" spans="1:18" s="1940" customFormat="1" ht="16.5" thickBot="1">
      <c r="A65" s="1976"/>
      <c r="B65" s="1977"/>
      <c r="C65" s="1977"/>
      <c r="I65" s="2818" t="s">
        <v>2355</v>
      </c>
      <c r="J65" s="2819">
        <v>50</v>
      </c>
      <c r="K65" s="2819">
        <v>35</v>
      </c>
      <c r="L65" s="2819">
        <v>60</v>
      </c>
      <c r="M65" s="834">
        <v>0</v>
      </c>
      <c r="O65" s="2257" t="s">
        <v>2399</v>
      </c>
      <c r="P65" s="1524"/>
      <c r="Q65" s="1532"/>
      <c r="R65" s="1524"/>
    </row>
    <row r="66" spans="1:18" s="1940" customFormat="1" ht="15.75" thickBot="1">
      <c r="A66" s="1976"/>
      <c r="B66" s="1977"/>
      <c r="C66" s="1977"/>
      <c r="I66" s="2818" t="s">
        <v>2356</v>
      </c>
      <c r="J66" s="2819">
        <v>40</v>
      </c>
      <c r="K66" s="2819">
        <v>30</v>
      </c>
      <c r="L66" s="2819">
        <v>50</v>
      </c>
      <c r="M66" s="2821">
        <v>0.02</v>
      </c>
      <c r="O66" s="2248" t="s">
        <v>2359</v>
      </c>
      <c r="P66" s="2249" t="s">
        <v>2360</v>
      </c>
      <c r="Q66" s="2250" t="s">
        <v>2361</v>
      </c>
      <c r="R66" s="2249" t="s">
        <v>2362</v>
      </c>
    </row>
    <row r="67" spans="1:18" s="1940" customFormat="1" ht="15.75" thickBot="1">
      <c r="A67" s="1976"/>
      <c r="B67" s="1977"/>
      <c r="C67" s="1977"/>
      <c r="K67" s="1966"/>
      <c r="O67" s="2251" t="s">
        <v>2363</v>
      </c>
      <c r="P67" s="2252" t="s">
        <v>2389</v>
      </c>
      <c r="Q67" s="2253">
        <f ca="1">C41+J31</f>
        <v>0</v>
      </c>
      <c r="R67" s="2252" t="s">
        <v>2364</v>
      </c>
    </row>
    <row r="68" spans="1:18" s="1940" customFormat="1" ht="20.25" thickBot="1">
      <c r="A68" s="1976"/>
      <c r="B68" s="1977"/>
      <c r="C68" s="1977"/>
      <c r="K68" s="1966"/>
      <c r="O68" s="2251" t="s">
        <v>2365</v>
      </c>
      <c r="P68" s="2252" t="s">
        <v>2396</v>
      </c>
      <c r="Q68" s="2253" t="e">
        <f ca="1">L61</f>
        <v>#DIV/0!</v>
      </c>
      <c r="R68" s="2256" t="s">
        <v>2398</v>
      </c>
    </row>
    <row r="69" spans="1:18" s="1940" customFormat="1" ht="21.75" thickBot="1">
      <c r="A69" s="1976"/>
      <c r="B69" s="1977"/>
      <c r="C69" s="1977"/>
      <c r="K69" s="1966"/>
      <c r="O69" s="2254" t="s">
        <v>2367</v>
      </c>
      <c r="P69" s="2252" t="s">
        <v>2397</v>
      </c>
      <c r="Q69" s="2258">
        <f ca="1">L52</f>
        <v>0</v>
      </c>
      <c r="R69" s="2259" t="s">
        <v>2400</v>
      </c>
    </row>
    <row r="70" spans="1:18" s="1940" customFormat="1" ht="20.25" thickBot="1">
      <c r="A70" s="1976"/>
      <c r="B70" s="1977"/>
      <c r="C70" s="1977"/>
      <c r="K70" s="1966"/>
      <c r="O70" s="2254" t="s">
        <v>2368</v>
      </c>
      <c r="P70" s="2260" t="s">
        <v>2382</v>
      </c>
      <c r="Q70" s="2253">
        <f ca="1">ROUND(Q71-Q72*Q73,0)</f>
        <v>0</v>
      </c>
      <c r="R70" s="2256"/>
    </row>
    <row r="71" spans="1:18" s="1940" customFormat="1" ht="15.75" thickBot="1">
      <c r="A71" s="1976"/>
      <c r="B71" s="1977"/>
      <c r="C71" s="1977"/>
      <c r="K71" s="1966"/>
      <c r="O71" s="2254" t="s">
        <v>2383</v>
      </c>
      <c r="P71" s="2260" t="s">
        <v>2384</v>
      </c>
      <c r="Q71" s="2253">
        <f ca="1">C42</f>
        <v>0</v>
      </c>
      <c r="R71" s="2252" t="s">
        <v>2364</v>
      </c>
    </row>
    <row r="72" spans="1:18" s="1940" customFormat="1" ht="15.75" thickBot="1">
      <c r="A72" s="1976"/>
      <c r="B72" s="1977"/>
      <c r="C72" s="1977"/>
      <c r="K72" s="1966"/>
      <c r="O72" s="2254" t="s">
        <v>2385</v>
      </c>
      <c r="P72" s="2260" t="s">
        <v>2386</v>
      </c>
      <c r="Q72" s="2253">
        <f ca="1">C15</f>
        <v>0</v>
      </c>
      <c r="R72" s="2252" t="s">
        <v>2364</v>
      </c>
    </row>
    <row r="73" spans="1:18" s="1940" customFormat="1" ht="15.75" thickBot="1">
      <c r="A73" s="1976"/>
      <c r="B73" s="1977"/>
      <c r="C73" s="1977"/>
      <c r="K73" s="1966"/>
      <c r="O73" s="2254" t="s">
        <v>2387</v>
      </c>
      <c r="P73" s="2260" t="s">
        <v>2388</v>
      </c>
      <c r="Q73" s="2255">
        <f ca="1">F43</f>
        <v>0</v>
      </c>
      <c r="R73" s="2256"/>
    </row>
    <row r="74" spans="1:18" s="1940" customFormat="1" ht="15.75" thickBot="1">
      <c r="A74" s="1976"/>
      <c r="B74" s="1977"/>
      <c r="C74" s="1977"/>
      <c r="K74" s="1966"/>
      <c r="O74" s="2254" t="s">
        <v>2370</v>
      </c>
      <c r="P74" s="2252" t="s">
        <v>2377</v>
      </c>
      <c r="Q74" s="2255">
        <f>L53</f>
        <v>0</v>
      </c>
      <c r="R74" s="2256"/>
    </row>
    <row r="75" spans="1:18" s="1940" customFormat="1" ht="20.25" thickBot="1">
      <c r="A75" s="1976"/>
      <c r="B75" s="1977"/>
      <c r="C75" s="1977"/>
      <c r="K75" s="1966"/>
      <c r="O75" s="2254" t="s">
        <v>2372</v>
      </c>
      <c r="P75" s="2252" t="s">
        <v>2378</v>
      </c>
      <c r="Q75" s="2253">
        <f ca="1">L59</f>
        <v>0</v>
      </c>
      <c r="R75" s="2256" t="s">
        <v>2379</v>
      </c>
    </row>
    <row r="76" spans="1:18" s="1940" customFormat="1" ht="20.25" thickBot="1">
      <c r="A76" s="1976"/>
      <c r="B76" s="1977"/>
      <c r="C76" s="1977"/>
      <c r="K76" s="1966"/>
      <c r="O76" s="2254" t="s">
        <v>2401</v>
      </c>
      <c r="P76" s="2252" t="s">
        <v>2380</v>
      </c>
      <c r="Q76" s="2253">
        <f ca="1">L60</f>
        <v>0</v>
      </c>
      <c r="R76" s="2256" t="s">
        <v>2381</v>
      </c>
    </row>
    <row r="77" spans="1:18" s="1940" customFormat="1" ht="15.75" thickBot="1">
      <c r="A77" s="1976"/>
      <c r="B77" s="1977"/>
      <c r="C77" s="1977"/>
      <c r="K77" s="1966"/>
      <c r="O77" s="2251" t="s">
        <v>2375</v>
      </c>
      <c r="P77" s="2252" t="s">
        <v>2392</v>
      </c>
      <c r="Q77" s="2253" t="e">
        <f ca="1">Q67+Q68</f>
        <v>#DIV/0!</v>
      </c>
      <c r="R77" s="2256" t="s">
        <v>2376</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1894</v>
      </c>
    </row>
    <row r="2" spans="1:4">
      <c r="A2" s="1692"/>
    </row>
    <row r="3" spans="1:4" ht="18.75">
      <c r="A3" s="1710" t="str">
        <f>项目基本情况!B5&amp;"："</f>
        <v>浙金信托：</v>
      </c>
    </row>
    <row r="4" spans="1:4" ht="37.5">
      <c r="A4" s="1704" t="str">
        <f>"受贵公司委托，我公司对"&amp;项目基本情况!K2&amp;项目基本情况!B9&amp;"进行了预评估。"</f>
        <v>受贵公司委托，我公司对四川省内江市内江经开区甜德街西侧，甜和街东侧A-5-2地块出让国有建设用地使用权抵押价格进行了预评估。</v>
      </c>
    </row>
    <row r="5" spans="1:4" ht="18.75">
      <c r="A5" s="1707" t="s">
        <v>1895</v>
      </c>
    </row>
    <row r="6" spans="1:4" ht="93.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内江祥澳置业有限公司使用的、位于四川省内江市内江经开区甜德街西侧，甜和街东侧A-5-2地块出让国有建设用地使用权。根据《国有土地使用证》[]，估价对象（分摊）出让国有建设用地使用权面积为59775.26平方米。根据《建设工程规划许可证》[]、《出让合同》[]，估价对象规划建筑面积为172032.86平方米。</v>
      </c>
    </row>
    <row r="7" spans="1:4" ht="56.25">
      <c r="A7" s="1708" t="s">
        <v>2727</v>
      </c>
    </row>
    <row r="8" spans="1:4" ht="18.75">
      <c r="A8" s="1707" t="s">
        <v>1896</v>
      </c>
    </row>
    <row r="9" spans="1:4" ht="56.25">
      <c r="A9" s="170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2014</v>
      </c>
    </row>
    <row r="11" spans="1:4" ht="18.75">
      <c r="A11" s="1693" t="str">
        <f>TEXT(项目基本情况!D3,"yyyy年m月d日;;")&amp;IF(项目基本情况!B3=项目基本情况!D3,"（评估专业人员勘察现场之日）","")</f>
        <v>2021年2月27日（评估专业人员勘察现场之日）</v>
      </c>
    </row>
    <row r="12" spans="1:4" ht="18.75">
      <c r="A12" s="1710" t="s">
        <v>2013</v>
      </c>
    </row>
    <row r="13" spans="1:4" ht="18.75">
      <c r="A13" s="1704" t="s">
        <v>2908</v>
      </c>
    </row>
    <row r="14" spans="1:4" ht="37.5">
      <c r="A14" s="1704" t="str">
        <f>"根据"&amp;项目基本情况!F12&amp;"，本次评估估价对象证载（地类）用途为"&amp;项目基本情况!B12&amp;"。"</f>
        <v>根据《国有土地使用证》[]，本次评估估价对象证载（地类）用途为住宅、商业。</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2061</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根据《国有土地使用证》[]，估价对象（分摊）出让国有建设用地使用权面积为59775.26平方米。根据《建设工程规划许可证》[]、《出让合同》[]，估价对象规划建筑面积为172032.86平方米。</v>
      </c>
    </row>
    <row r="21" spans="1:1" ht="18.75">
      <c r="A21" s="1704" t="s">
        <v>2062</v>
      </c>
    </row>
    <row r="22" spans="1:1" ht="93.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12月10日、商业2059年12月10日地下车库2059年12月10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2063</v>
      </c>
    </row>
    <row r="25" spans="1:1" ht="75">
      <c r="A25" s="1704" t="str">
        <f>定义!C53</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 zoomScale="85" zoomScaleNormal="60" zoomScaleSheetLayoutView="85" workbookViewId="0">
      <selection activeCell="D39" sqref="D39"/>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35</v>
      </c>
      <c r="D1" s="2792" t="s">
        <v>3587</v>
      </c>
      <c r="E1" s="2240" t="s">
        <v>861</v>
      </c>
      <c r="F1" s="2241">
        <f ca="1">J53</f>
        <v>36.299999999999997</v>
      </c>
      <c r="G1" s="3253">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460</v>
      </c>
      <c r="B2" s="764">
        <f ca="1">C40+J29+L46</f>
        <v>3927</v>
      </c>
      <c r="C2" s="3258"/>
      <c r="D2" s="3259"/>
      <c r="E2" s="3260"/>
      <c r="F2" s="3260"/>
      <c r="G2" s="3254"/>
      <c r="H2" s="1938"/>
      <c r="I2" s="1938"/>
      <c r="J2" s="1938"/>
      <c r="K2" s="1939"/>
      <c r="L2" s="1938"/>
      <c r="M2" s="1938"/>
    </row>
    <row r="3" spans="1:33" ht="18" customHeight="1" thickBot="1">
      <c r="A3" s="821" t="s">
        <v>1717</v>
      </c>
      <c r="B3" s="822">
        <f ca="1">IF(ISERROR(B2*10000/F43),0,ROUND(B2*10000/F43,0))</f>
        <v>1032</v>
      </c>
      <c r="C3" s="3258"/>
      <c r="D3" s="3259"/>
      <c r="E3" s="3260"/>
      <c r="F3" s="3260"/>
      <c r="G3" s="3254"/>
      <c r="H3" s="765" t="s">
        <v>688</v>
      </c>
      <c r="I3" s="1315"/>
      <c r="J3" s="1315"/>
      <c r="K3" s="1523"/>
      <c r="L3" s="1315"/>
      <c r="M3" s="1315"/>
    </row>
    <row r="4" spans="1:33" ht="18" customHeight="1">
      <c r="A4" s="766" t="s">
        <v>1718</v>
      </c>
      <c r="B4" s="767" t="s">
        <v>1719</v>
      </c>
      <c r="C4" s="767" t="s">
        <v>1720</v>
      </c>
      <c r="D4" s="767" t="s">
        <v>626</v>
      </c>
      <c r="E4" s="768" t="s">
        <v>1721</v>
      </c>
      <c r="F4" s="769"/>
      <c r="G4" s="1943"/>
      <c r="H4" s="766" t="s">
        <v>1718</v>
      </c>
      <c r="I4" s="767" t="s">
        <v>1719</v>
      </c>
      <c r="J4" s="767" t="s">
        <v>1724</v>
      </c>
      <c r="K4" s="767" t="s">
        <v>1725</v>
      </c>
      <c r="L4" s="768" t="s">
        <v>1721</v>
      </c>
      <c r="M4" s="769"/>
    </row>
    <row r="5" spans="1:33" ht="18" customHeight="1">
      <c r="A5" s="770">
        <v>1</v>
      </c>
      <c r="B5" s="771" t="s">
        <v>2439</v>
      </c>
      <c r="C5" s="55">
        <f ca="1">C6+C10+C12</f>
        <v>366</v>
      </c>
      <c r="D5" s="2347" t="s">
        <v>2442</v>
      </c>
      <c r="E5" s="2341"/>
      <c r="F5" s="2342"/>
      <c r="G5" s="1943"/>
      <c r="H5" s="770">
        <v>1</v>
      </c>
      <c r="I5" s="771" t="s">
        <v>2439</v>
      </c>
      <c r="J5" s="55">
        <f ca="1">J6+J10+J12</f>
        <v>0</v>
      </c>
      <c r="K5" s="2347" t="s">
        <v>2442</v>
      </c>
      <c r="L5" s="2341"/>
      <c r="M5" s="2342"/>
    </row>
    <row r="6" spans="1:33" ht="18" customHeight="1">
      <c r="A6" s="1743" t="s">
        <v>1814</v>
      </c>
      <c r="B6" s="3582" t="s">
        <v>2444</v>
      </c>
      <c r="C6" s="772">
        <f ca="1">ROUND(F6*F8*F7*(1-F9)/10000,0)</f>
        <v>366</v>
      </c>
      <c r="D6" s="2348" t="s">
        <v>2443</v>
      </c>
      <c r="E6" s="773" t="s">
        <v>1728</v>
      </c>
      <c r="F6" s="774">
        <f ca="1">INDIRECT("'数据-取费表'!u"&amp;$G$1)</f>
        <v>260</v>
      </c>
      <c r="G6" s="1943"/>
      <c r="H6" s="2355" t="s">
        <v>1814</v>
      </c>
      <c r="I6" s="3582" t="s">
        <v>2444</v>
      </c>
      <c r="J6" s="772">
        <f ca="1">ROUND(M6*M8*M7*(1-M9)/10000,0)</f>
        <v>0</v>
      </c>
      <c r="K6" s="338" t="s">
        <v>1727</v>
      </c>
      <c r="L6" s="773" t="s">
        <v>1728</v>
      </c>
      <c r="M6" s="774">
        <f ca="1">INDIRECT("'数据-取费表'!z"&amp;$G$1)</f>
        <v>0</v>
      </c>
    </row>
    <row r="7" spans="1:33" ht="18" customHeight="1">
      <c r="A7" s="2351"/>
      <c r="B7" s="3583"/>
      <c r="C7" s="777"/>
      <c r="D7" s="778"/>
      <c r="E7" s="773" t="s">
        <v>1729</v>
      </c>
      <c r="F7" s="774">
        <f ca="1">IF(INDIRECT("'数据-取费表'!ah"&amp;$G$1)="",INDIRECT("'数据-取费表'!k"&amp;$G$1),INDIRECT("'数据-取费表'!ah"&amp;$G$1))</f>
        <v>1305</v>
      </c>
      <c r="G7" s="1943"/>
      <c r="H7" s="2340"/>
      <c r="I7" s="3583"/>
      <c r="J7" s="777"/>
      <c r="K7" s="778"/>
      <c r="L7" s="773" t="s">
        <v>1729</v>
      </c>
      <c r="M7" s="774">
        <f ca="1">F7</f>
        <v>1305</v>
      </c>
    </row>
    <row r="8" spans="1:33" ht="18" customHeight="1">
      <c r="A8" s="2344"/>
      <c r="B8" s="3584"/>
      <c r="C8" s="777"/>
      <c r="D8" s="778"/>
      <c r="E8" s="773" t="s">
        <v>1730</v>
      </c>
      <c r="F8" s="774">
        <f ca="1">INDIRECT("'数据-取费表'!ai"&amp;$G$1)</f>
        <v>12</v>
      </c>
      <c r="G8" s="1943"/>
      <c r="H8" s="2340"/>
      <c r="I8" s="3584"/>
      <c r="J8" s="777"/>
      <c r="K8" s="778"/>
      <c r="L8" s="773" t="s">
        <v>1730</v>
      </c>
      <c r="M8" s="774">
        <f ca="1">INDIRECT("'数据-取费表'!ai"&amp;$G$1)</f>
        <v>12</v>
      </c>
    </row>
    <row r="9" spans="1:33" ht="18" customHeight="1">
      <c r="A9" s="775"/>
      <c r="B9" s="3585"/>
      <c r="C9" s="777"/>
      <c r="D9" s="778"/>
      <c r="E9" s="773" t="s">
        <v>1731</v>
      </c>
      <c r="F9" s="783">
        <f ca="1">INDIRECT("'数据-取费表'!w"&amp;$G$1)</f>
        <v>0.1</v>
      </c>
      <c r="G9" s="1943"/>
      <c r="H9" s="2356"/>
      <c r="I9" s="3584"/>
      <c r="J9" s="777"/>
      <c r="K9" s="778"/>
      <c r="L9" s="784" t="s">
        <v>1731</v>
      </c>
      <c r="M9" s="785">
        <f ca="1">INDIRECT("'数据-取费表'!ab"&amp;$G$1)</f>
        <v>0</v>
      </c>
    </row>
    <row r="10" spans="1:33" ht="18" customHeight="1">
      <c r="A10" s="1743" t="s">
        <v>1824</v>
      </c>
      <c r="B10" s="2345" t="s">
        <v>2440</v>
      </c>
      <c r="C10" s="788">
        <f ca="1">ROUND(IF(F10="押一",C6/12*F11,IF(F10="押二",C6/12*2*F11,IF(F10="押三",C6/12*3*F11,C11*F11))),0)</f>
        <v>0</v>
      </c>
      <c r="D10" s="2352" t="s">
        <v>2937</v>
      </c>
      <c r="E10" s="2349" t="s">
        <v>2445</v>
      </c>
      <c r="F10" s="2463" t="s">
        <v>3567</v>
      </c>
      <c r="G10" s="1943"/>
      <c r="H10" s="2412" t="s">
        <v>1824</v>
      </c>
      <c r="I10" s="2417" t="s">
        <v>2440</v>
      </c>
      <c r="J10" s="772">
        <f ca="1">ROUND(IF(M10="押一",J6/12*M11,IF(M10="押二",J6/12*2*M11,IF(M10="押三",J6/12*3*M11,J11*M11))),0)</f>
        <v>0</v>
      </c>
      <c r="K10" s="2352" t="s">
        <v>2937</v>
      </c>
      <c r="L10" s="2349" t="s">
        <v>2445</v>
      </c>
      <c r="M10" s="2463"/>
    </row>
    <row r="11" spans="1:33" ht="18" customHeight="1">
      <c r="A11" s="779"/>
      <c r="B11" s="2346" t="s">
        <v>2554</v>
      </c>
      <c r="C11" s="2350"/>
      <c r="D11" s="778"/>
      <c r="E11" s="2349" t="s">
        <v>2437</v>
      </c>
      <c r="F11" s="785">
        <f ca="1">'数据-取费表'!B39</f>
        <v>1.4999999999999999E-2</v>
      </c>
      <c r="G11" s="1943"/>
      <c r="H11" s="2413"/>
      <c r="I11" s="2346" t="s">
        <v>2554</v>
      </c>
      <c r="J11" s="2350"/>
      <c r="K11" s="2414"/>
      <c r="L11" s="2349" t="s">
        <v>2437</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1732</v>
      </c>
      <c r="C13" s="781">
        <f ca="1">ROUND(C29*F13,0)</f>
        <v>9490</v>
      </c>
      <c r="D13" s="1747" t="s">
        <v>2284</v>
      </c>
      <c r="E13" s="1747" t="s">
        <v>1734</v>
      </c>
      <c r="F13" s="2387">
        <f ca="1">INDIRECT("'数据-取费表'!y"&amp;$G$1)</f>
        <v>1</v>
      </c>
      <c r="G13" s="1943"/>
      <c r="H13" s="1742">
        <v>2</v>
      </c>
      <c r="I13" s="1740" t="s">
        <v>1732</v>
      </c>
      <c r="J13" s="1732">
        <f ca="1">ROUND(J14*J15,0)</f>
        <v>0</v>
      </c>
      <c r="K13" s="1734" t="s">
        <v>1733</v>
      </c>
      <c r="L13" s="2403"/>
      <c r="M13" s="2404"/>
    </row>
    <row r="14" spans="1:33" ht="18" customHeight="1">
      <c r="A14" s="1574" t="s">
        <v>1874</v>
      </c>
      <c r="B14" s="773" t="s">
        <v>638</v>
      </c>
      <c r="C14" s="793">
        <f ca="1">INDIRECT("'数据-取费表'!m"&amp;$G$1)+INDIRECT("'数据-取费表'!t"&amp;$G$1)</f>
        <v>6911</v>
      </c>
      <c r="D14" s="3275" t="s">
        <v>1735</v>
      </c>
      <c r="E14" s="3274"/>
      <c r="F14" s="794"/>
      <c r="G14" s="1943"/>
      <c r="H14" s="1575" t="s">
        <v>1814</v>
      </c>
      <c r="I14" s="2109" t="s">
        <v>2804</v>
      </c>
      <c r="J14" s="53">
        <f ca="1">C29</f>
        <v>9490</v>
      </c>
      <c r="K14" s="26"/>
      <c r="L14" s="790"/>
      <c r="M14" s="791"/>
    </row>
    <row r="15" spans="1:33" s="1945" customFormat="1" ht="18" customHeight="1" thickBot="1">
      <c r="A15" s="1574" t="s">
        <v>1875</v>
      </c>
      <c r="B15" s="773" t="s">
        <v>640</v>
      </c>
      <c r="C15" s="53">
        <f ca="1">ROUND(C14*F15,0)</f>
        <v>207</v>
      </c>
      <c r="D15" s="795" t="s">
        <v>641</v>
      </c>
      <c r="E15" s="795" t="s">
        <v>1737</v>
      </c>
      <c r="F15" s="796">
        <f>'数据-取费表'!B33</f>
        <v>0.03</v>
      </c>
      <c r="G15" s="3255"/>
      <c r="H15" s="2402" t="s">
        <v>1879</v>
      </c>
      <c r="I15" s="2397" t="s">
        <v>1734</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1876</v>
      </c>
      <c r="B16" s="773" t="s">
        <v>643</v>
      </c>
      <c r="C16" s="53">
        <f ca="1">ROUND(INDIRECT("'数据-取费表'!m"&amp;$G$1)*F16,0)</f>
        <v>0</v>
      </c>
      <c r="D16" s="773" t="s">
        <v>641</v>
      </c>
      <c r="E16" s="773" t="s">
        <v>1737</v>
      </c>
      <c r="F16" s="798">
        <f ca="1">IF(INDIRECT("'数据-取费表'!c"&amp;$G$1)="住宅",'数据-取费表'!B34,0)</f>
        <v>0</v>
      </c>
      <c r="G16" s="1943"/>
      <c r="H16" s="1742" t="s">
        <v>1738</v>
      </c>
      <c r="I16" s="1740" t="s">
        <v>644</v>
      </c>
      <c r="J16" s="781">
        <f ca="1">ROUND(J17+J22+J23+J24,0)</f>
        <v>903</v>
      </c>
      <c r="K16" s="1734" t="s">
        <v>1740</v>
      </c>
      <c r="L16" s="3279"/>
      <c r="M16" s="2342"/>
    </row>
    <row r="17" spans="1:33" s="1945" customFormat="1" ht="18" customHeight="1">
      <c r="A17" s="1574" t="s">
        <v>1877</v>
      </c>
      <c r="B17" s="773" t="s">
        <v>646</v>
      </c>
      <c r="C17" s="53">
        <f ca="1">ROUND(F17*(F43+INDIRECT("'数据-取费表'!S"&amp;$G$1))/10000,0)</f>
        <v>768</v>
      </c>
      <c r="D17" s="773" t="s">
        <v>1741</v>
      </c>
      <c r="E17" s="773" t="s">
        <v>1742</v>
      </c>
      <c r="F17" s="56">
        <f>'数据-取费表'!B35</f>
        <v>200</v>
      </c>
      <c r="G17" s="3255"/>
      <c r="H17" s="1575" t="s">
        <v>1814</v>
      </c>
      <c r="I17" s="773" t="s">
        <v>649</v>
      </c>
      <c r="J17" s="3013">
        <f ca="1">ROUND(IF(AND(项目基本情况!B11="自然人",项目基本情况!B10="北京市"),J6*M17/(1+'数据-取费表'!C42),J18+J19+J20),0)</f>
        <v>808</v>
      </c>
      <c r="K17" s="3275" t="s">
        <v>1743</v>
      </c>
      <c r="L17" s="3276" t="s">
        <v>1744</v>
      </c>
      <c r="M17" s="3012"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1878</v>
      </c>
      <c r="B18" s="773" t="s">
        <v>652</v>
      </c>
      <c r="C18" s="53">
        <f ca="1">ROUND(C14*F18,0)</f>
        <v>104</v>
      </c>
      <c r="D18" s="773" t="s">
        <v>641</v>
      </c>
      <c r="E18" s="773" t="s">
        <v>1737</v>
      </c>
      <c r="F18" s="798">
        <f>'数据-取费表'!B36</f>
        <v>1.4999999999999999E-2</v>
      </c>
      <c r="G18" s="3255"/>
      <c r="H18" s="1574" t="s">
        <v>1874</v>
      </c>
      <c r="I18" s="773" t="s">
        <v>1745</v>
      </c>
      <c r="J18" s="53">
        <f ca="1">ROUND(J6*M18/(1+'数据-取费表'!C42),1)</f>
        <v>0</v>
      </c>
      <c r="K18" s="3276"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1814</v>
      </c>
      <c r="B19" s="773" t="s">
        <v>655</v>
      </c>
      <c r="C19" s="53">
        <f ca="1">SUM(C14:C18)</f>
        <v>7990</v>
      </c>
      <c r="D19" s="258" t="s">
        <v>1747</v>
      </c>
      <c r="E19" s="3284"/>
      <c r="F19" s="56"/>
      <c r="G19" s="1943"/>
      <c r="H19" s="1574" t="s">
        <v>1875</v>
      </c>
      <c r="I19" s="773" t="s">
        <v>1748</v>
      </c>
      <c r="J19" s="53">
        <f ca="1">IF(K19="按租金收入计税",ROUND(J6*M19/(1+'数据-取费表'!C42),1),ROUND(C29*F33*0.7,1))</f>
        <v>797.2</v>
      </c>
      <c r="K19" s="799" t="s">
        <v>658</v>
      </c>
      <c r="L19" s="773" t="s">
        <v>1737</v>
      </c>
      <c r="M19" s="798">
        <f>IF(K19="按租金收入计税",'数据-取费表'!B51,'数据-取费表'!B50)</f>
        <v>1.2E-2</v>
      </c>
    </row>
    <row r="20" spans="1:33" s="1945" customFormat="1" ht="18" customHeight="1">
      <c r="A20" s="1575" t="s">
        <v>1879</v>
      </c>
      <c r="B20" s="773" t="s">
        <v>659</v>
      </c>
      <c r="C20" s="53">
        <f ca="1">ROUND(C19*F20,0)</f>
        <v>120</v>
      </c>
      <c r="D20" s="800" t="s">
        <v>1749</v>
      </c>
      <c r="E20" s="773" t="s">
        <v>1737</v>
      </c>
      <c r="F20" s="798">
        <f>'数据-取费表'!B37</f>
        <v>1.4999999999999999E-2</v>
      </c>
      <c r="G20" s="3255"/>
      <c r="H20" s="1577" t="s">
        <v>1870</v>
      </c>
      <c r="I20" s="338" t="s">
        <v>661</v>
      </c>
      <c r="J20" s="54">
        <f ca="1">ROUND(M20*M21/10000,0)</f>
        <v>11</v>
      </c>
      <c r="K20" s="802" t="s">
        <v>1751</v>
      </c>
      <c r="L20" s="773" t="s">
        <v>663</v>
      </c>
      <c r="M20" s="631">
        <f>'数据-取费表'!B52</f>
        <v>8</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1880</v>
      </c>
      <c r="B21" s="773" t="s">
        <v>1753</v>
      </c>
      <c r="C21" s="53" t="s">
        <v>1754</v>
      </c>
      <c r="D21" s="800" t="s">
        <v>2285</v>
      </c>
      <c r="E21" s="773" t="s">
        <v>666</v>
      </c>
      <c r="F21" s="798">
        <f>'数据-取费表'!B38</f>
        <v>1.4999999999999999E-2</v>
      </c>
      <c r="G21" s="3255"/>
      <c r="H21" s="2357"/>
      <c r="I21" s="782"/>
      <c r="J21" s="69"/>
      <c r="K21" s="804"/>
      <c r="L21" s="773" t="s">
        <v>667</v>
      </c>
      <c r="M21" s="774">
        <f ca="1">INDIRECT("'数据-取费表'!r"&amp;$G$1)</f>
        <v>13340.230000000001</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1881</v>
      </c>
      <c r="B22" s="773" t="s">
        <v>668</v>
      </c>
      <c r="C22" s="53"/>
      <c r="D22" s="2422" t="str">
        <f>IF(F23&lt;=1,"单利计息。","复利计息。")&amp;"建造成本、管理费用、销售费用产生的利息。"</f>
        <v>复利计息。建造成本、管理费用、销售费用产生的利息。</v>
      </c>
      <c r="E22" s="3284"/>
      <c r="F22" s="56"/>
      <c r="G22" s="1943"/>
      <c r="H22" s="1575" t="s">
        <v>1879</v>
      </c>
      <c r="I22" s="773" t="s">
        <v>669</v>
      </c>
      <c r="J22" s="53">
        <f ca="1">ROUND(J14*M22,0)</f>
        <v>95</v>
      </c>
      <c r="K22" s="3276" t="s">
        <v>670</v>
      </c>
      <c r="L22" s="773" t="s">
        <v>1737</v>
      </c>
      <c r="M22" s="805">
        <f ca="1">INDIRECT("'数据-取费表'!Ak"&amp;$G$1)</f>
        <v>0.01</v>
      </c>
    </row>
    <row r="23" spans="1:33" s="1945" customFormat="1" ht="18" customHeight="1">
      <c r="A23" s="1574" t="s">
        <v>1821</v>
      </c>
      <c r="B23" s="773" t="s">
        <v>2420</v>
      </c>
      <c r="C23" s="53">
        <f ca="1">ROUND(IF('数据-取费表'!B22&lt;=1,(C19+C20)*F24*F23/2,(C19+C20)*(POWER((1+F24),F23/2)-1)),0)</f>
        <v>484</v>
      </c>
      <c r="D23" s="2421" t="str">
        <f>IF(F23&lt;=1,"(建造成本+管理费用)×利率×(建设周期÷2)","(建造成本+管理费用)×((1+利率)^(建设周期÷2)-1)")</f>
        <v>(建造成本+管理费用)×((1+利率)^(建设周期÷2)-1)</v>
      </c>
      <c r="E23" s="773" t="s">
        <v>1760</v>
      </c>
      <c r="F23" s="631">
        <f>'数据-取费表'!B20</f>
        <v>2.5</v>
      </c>
      <c r="G23" s="3255"/>
      <c r="H23" s="1575" t="s">
        <v>1880</v>
      </c>
      <c r="I23" s="773" t="s">
        <v>672</v>
      </c>
      <c r="J23" s="53">
        <f ca="1">ROUND(J13*M23,0)</f>
        <v>0</v>
      </c>
      <c r="K23" s="3276" t="s">
        <v>1761</v>
      </c>
      <c r="L23" s="773" t="s">
        <v>1737</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1822</v>
      </c>
      <c r="B24" s="773" t="s">
        <v>1762</v>
      </c>
      <c r="C24" s="53">
        <f ca="1">ROUND(IF('数据-取费表'!B22&lt;=1,F21*F24*F23/2,F21*(POWER((1+F24),F23/2)-1)),4)</f>
        <v>8.9999999999999998E-4</v>
      </c>
      <c r="D24" s="2421" t="str">
        <f>IF(F23&lt;=1,"销售费用×利率×(建设周期÷2)","销售费用×((1+利率)^(建设周期÷2)-1)")</f>
        <v>销售费用×((1+利率)^(建设周期÷2)-1)</v>
      </c>
      <c r="E24" s="773" t="s">
        <v>1763</v>
      </c>
      <c r="F24" s="807">
        <f ca="1">'数据-取费表'!B40</f>
        <v>4.7500000000000001E-2</v>
      </c>
      <c r="G24" s="3255"/>
      <c r="H24" s="2402" t="s">
        <v>1881</v>
      </c>
      <c r="I24" s="2397" t="s">
        <v>659</v>
      </c>
      <c r="J24" s="2395">
        <f ca="1">ROUND(J5*M24,0)</f>
        <v>0</v>
      </c>
      <c r="K24" s="2396" t="s">
        <v>1764</v>
      </c>
      <c r="L24" s="2397" t="s">
        <v>1737</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1830</v>
      </c>
      <c r="B25" s="773" t="s">
        <v>677</v>
      </c>
      <c r="C25" s="53"/>
      <c r="D25" s="258" t="s">
        <v>1765</v>
      </c>
      <c r="E25" s="3284"/>
      <c r="F25" s="56"/>
      <c r="G25" s="1943"/>
      <c r="H25" s="1742" t="s">
        <v>1766</v>
      </c>
      <c r="I25" s="2721" t="s">
        <v>2801</v>
      </c>
      <c r="J25" s="781">
        <f ca="1">J5-J16</f>
        <v>-903</v>
      </c>
      <c r="K25" s="2399" t="s">
        <v>1767</v>
      </c>
      <c r="L25" s="2400"/>
      <c r="M25" s="2401"/>
    </row>
    <row r="26" spans="1:33" ht="18" customHeight="1">
      <c r="A26" s="1574" t="s">
        <v>1821</v>
      </c>
      <c r="B26" s="773" t="s">
        <v>2421</v>
      </c>
      <c r="C26" s="53">
        <f ca="1">ROUND((C19+C20)*F26,0)</f>
        <v>243</v>
      </c>
      <c r="D26" s="800" t="s">
        <v>1768</v>
      </c>
      <c r="E26" s="784" t="s">
        <v>1769</v>
      </c>
      <c r="F26" s="783">
        <f ca="1">INDIRECT("'数据-取费表'!q"&amp;$G$1)</f>
        <v>0.03</v>
      </c>
      <c r="G26" s="1943"/>
      <c r="H26" s="2353" t="s">
        <v>1770</v>
      </c>
      <c r="I26" s="2110" t="s">
        <v>2806</v>
      </c>
      <c r="J26" s="772">
        <f ca="1">IF(J5&lt;&gt;0,ROUND(J25*(1-((1+M28)/(1+M26))^M27)/(M26-M28),0),0)</f>
        <v>0</v>
      </c>
      <c r="K26" s="802" t="s">
        <v>1771</v>
      </c>
      <c r="L26" s="773" t="s">
        <v>2403</v>
      </c>
      <c r="M26" s="783">
        <f ca="1">INDIRECT("'数据-取费表'!I"&amp;$G$1)</f>
        <v>0.05</v>
      </c>
    </row>
    <row r="27" spans="1:33" ht="18" customHeight="1">
      <c r="A27" s="1574" t="s">
        <v>1822</v>
      </c>
      <c r="B27" s="773" t="s">
        <v>679</v>
      </c>
      <c r="C27" s="53">
        <f ca="1">ROUND(F21*F26,4)</f>
        <v>5.0000000000000001E-4</v>
      </c>
      <c r="D27" s="800" t="s">
        <v>1772</v>
      </c>
      <c r="E27" s="795"/>
      <c r="F27" s="796"/>
      <c r="G27" s="1943"/>
      <c r="H27" s="2354"/>
      <c r="I27" s="776"/>
      <c r="J27" s="777"/>
      <c r="K27" s="809" t="s">
        <v>700</v>
      </c>
      <c r="L27" s="773" t="s">
        <v>1774</v>
      </c>
      <c r="M27" s="810">
        <f ca="1">INDIRECT("'数据-取费表'!ag"&amp;$G$1)</f>
        <v>0</v>
      </c>
    </row>
    <row r="28" spans="1:33" s="1945" customFormat="1" ht="18" customHeight="1">
      <c r="A28" s="1576" t="s">
        <v>1831</v>
      </c>
      <c r="B28" s="773" t="s">
        <v>680</v>
      </c>
      <c r="C28" s="53">
        <f>ROUND(F28/(1+'数据-取费表'!C42),4)</f>
        <v>5.2400000000000002E-2</v>
      </c>
      <c r="D28" s="800" t="s">
        <v>2286</v>
      </c>
      <c r="E28" s="773" t="s">
        <v>1737</v>
      </c>
      <c r="F28" s="798">
        <f>'数据-取费表'!B41</f>
        <v>5.5000000000000007E-2</v>
      </c>
      <c r="G28" s="3255"/>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1882</v>
      </c>
      <c r="B29" s="2392" t="s">
        <v>2287</v>
      </c>
      <c r="C29" s="2395">
        <f ca="1">ROUND((C19+C20+C23+C26)/(1-F21-C24-C27-C28),0)</f>
        <v>9490</v>
      </c>
      <c r="D29" s="2396"/>
      <c r="E29" s="2397"/>
      <c r="F29" s="2398"/>
      <c r="G29" s="3255"/>
      <c r="H29" s="811" t="s">
        <v>1777</v>
      </c>
      <c r="I29" s="812" t="s">
        <v>1778</v>
      </c>
      <c r="J29" s="813">
        <f ca="1">ROUND(J26/(1+F40)^F41,0)</f>
        <v>0</v>
      </c>
      <c r="K29" s="814" t="s">
        <v>681</v>
      </c>
      <c r="L29" s="815"/>
      <c r="M29" s="816">
        <f ca="1">INDIRECT("'数据-取费表'!k"&amp;$G$1)</f>
        <v>38058.699999999997</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644</v>
      </c>
      <c r="C30" s="781">
        <f ca="1">ROUND(C31+C36+C37+C38,0)</f>
        <v>185</v>
      </c>
      <c r="D30" s="1734" t="s">
        <v>645</v>
      </c>
      <c r="E30" s="3279"/>
      <c r="F30" s="2342"/>
      <c r="G30" s="1943"/>
      <c r="H30" s="1946"/>
      <c r="I30" s="1947"/>
      <c r="J30" s="1948"/>
      <c r="K30" s="1949"/>
      <c r="L30" s="1950"/>
      <c r="M30" s="1951"/>
    </row>
    <row r="31" spans="1:33" ht="18" customHeight="1">
      <c r="A31" s="1575" t="s">
        <v>1814</v>
      </c>
      <c r="B31" s="773" t="s">
        <v>649</v>
      </c>
      <c r="C31" s="3013">
        <f ca="1">ROUND(IF(AND(项目基本情况!B11="自然人",项目基本情况!B10="北京市"),C6*F31/(1+'数据-取费表'!C42),C32+C33+C34),0)</f>
        <v>72</v>
      </c>
      <c r="D31" s="3275" t="s">
        <v>1743</v>
      </c>
      <c r="E31" s="3276" t="s">
        <v>1783</v>
      </c>
      <c r="F31" s="3012" t="str">
        <f>IF(项目基本情况!B11="企业","——",IF('数据-取费表'!B10="住宅",IF(F6*F7*F8/12/(1+'数据-取费表'!F30)&gt;100000,4%,2.5%),IF(F6*F7*F8/12/(1+'数据-取费表'!F30)&gt;100000,12%,7%)))</f>
        <v>——</v>
      </c>
      <c r="G31" s="1943"/>
      <c r="H31" s="3252" t="s">
        <v>2995</v>
      </c>
      <c r="I31" s="1947"/>
      <c r="J31" s="1948"/>
      <c r="K31" s="1949"/>
      <c r="L31" s="1950"/>
      <c r="M31" s="1951"/>
    </row>
    <row r="32" spans="1:33" ht="18" customHeight="1">
      <c r="A32" s="1574" t="s">
        <v>1821</v>
      </c>
      <c r="B32" s="773" t="s">
        <v>1745</v>
      </c>
      <c r="C32" s="53">
        <f ca="1">ROUND(C6*F32/(1+'数据-取费表'!C42),1)</f>
        <v>19.2</v>
      </c>
      <c r="D32" s="3276" t="s">
        <v>1785</v>
      </c>
      <c r="E32" s="773" t="s">
        <v>1786</v>
      </c>
      <c r="F32" s="798">
        <f>'数据-取费表'!B41</f>
        <v>5.5000000000000007E-2</v>
      </c>
      <c r="G32" s="1943"/>
      <c r="H32" s="1952"/>
      <c r="I32" s="1953"/>
      <c r="J32" s="1954"/>
      <c r="K32" s="1955"/>
      <c r="L32" s="1956"/>
      <c r="M32" s="1957"/>
    </row>
    <row r="33" spans="1:18" ht="18" customHeight="1">
      <c r="A33" s="1574" t="s">
        <v>1822</v>
      </c>
      <c r="B33" s="773" t="s">
        <v>1787</v>
      </c>
      <c r="C33" s="53">
        <f ca="1">IF(D33="按租金收入计税",ROUND(C6*F33/(1+'数据-取费表'!C42),1),IF(D33="按房产原值计税",ROUND(C29*F33*0.7,1),INDIRECT("'数据-取费表'!Aj"&amp;$G$1)))</f>
        <v>41.8</v>
      </c>
      <c r="D33" s="799" t="s">
        <v>3566</v>
      </c>
      <c r="E33" s="773" t="s">
        <v>1786</v>
      </c>
      <c r="F33" s="798">
        <f>IF(D33="按租金收入计税",'数据-取费表'!B51,'数据-取费表'!B50)</f>
        <v>0.12</v>
      </c>
      <c r="G33" s="1943"/>
      <c r="H33" s="1958"/>
      <c r="I33" s="1958"/>
      <c r="J33" s="1958"/>
      <c r="K33" s="1959"/>
      <c r="L33" s="1958"/>
      <c r="M33" s="1958"/>
    </row>
    <row r="34" spans="1:18" ht="18" customHeight="1">
      <c r="A34" s="1577" t="s">
        <v>1823</v>
      </c>
      <c r="B34" s="338" t="s">
        <v>661</v>
      </c>
      <c r="C34" s="54">
        <f ca="1">ROUND(F34*F35/10000,1)</f>
        <v>10.7</v>
      </c>
      <c r="D34" s="802" t="s">
        <v>1789</v>
      </c>
      <c r="E34" s="773" t="s">
        <v>1790</v>
      </c>
      <c r="F34" s="631">
        <f>'数据-取费表'!B52</f>
        <v>8</v>
      </c>
      <c r="G34" s="1943"/>
      <c r="H34" s="1946"/>
      <c r="I34" s="823" t="s">
        <v>1803</v>
      </c>
      <c r="J34" s="824"/>
      <c r="K34" s="1961"/>
      <c r="L34" s="1960"/>
      <c r="M34" s="1960"/>
    </row>
    <row r="35" spans="1:18" ht="18" customHeight="1">
      <c r="A35" s="803"/>
      <c r="B35" s="782"/>
      <c r="C35" s="69"/>
      <c r="D35" s="804"/>
      <c r="E35" s="773" t="s">
        <v>667</v>
      </c>
      <c r="F35" s="774">
        <f ca="1">INDIRECT("'数据-取费表'!r"&amp;$G$1)</f>
        <v>13340.230000000001</v>
      </c>
      <c r="G35" s="1943"/>
      <c r="H35" s="1946"/>
      <c r="I35" s="825" t="s">
        <v>1804</v>
      </c>
      <c r="J35" s="826">
        <f ca="1">ROUND(C13*J36,0)</f>
        <v>807</v>
      </c>
      <c r="K35" s="1959"/>
      <c r="L35" s="1958"/>
      <c r="M35" s="1958"/>
    </row>
    <row r="36" spans="1:18" ht="18" customHeight="1">
      <c r="A36" s="1575" t="s">
        <v>1879</v>
      </c>
      <c r="B36" s="773" t="s">
        <v>669</v>
      </c>
      <c r="C36" s="53">
        <f ca="1">ROUND(C29*F36,1)</f>
        <v>94.9</v>
      </c>
      <c r="D36" s="3276" t="s">
        <v>1793</v>
      </c>
      <c r="E36" s="773" t="s">
        <v>1786</v>
      </c>
      <c r="F36" s="805">
        <f ca="1">INDIRECT("'数据-取费表'!Ak"&amp;$G$1)</f>
        <v>0.01</v>
      </c>
      <c r="G36" s="1943"/>
      <c r="H36" s="1958"/>
      <c r="I36" s="827" t="s">
        <v>1805</v>
      </c>
      <c r="J36" s="828">
        <f ca="1">INDIRECT("'数据-取费表'!j"&amp;$G$1)</f>
        <v>8.5000000000000006E-2</v>
      </c>
      <c r="K36" s="1962"/>
      <c r="L36" s="1958"/>
      <c r="M36" s="1958"/>
    </row>
    <row r="37" spans="1:18" ht="18" customHeight="1">
      <c r="A37" s="1575" t="s">
        <v>1880</v>
      </c>
      <c r="B37" s="773" t="s">
        <v>672</v>
      </c>
      <c r="C37" s="53">
        <f ca="1">ROUND(C13*F37,1)</f>
        <v>14.2</v>
      </c>
      <c r="D37" s="3276" t="s">
        <v>1794</v>
      </c>
      <c r="E37" s="773" t="s">
        <v>1786</v>
      </c>
      <c r="F37" s="806">
        <f ca="1">INDIRECT("'数据-取费表'!Al"&amp;$G$1)</f>
        <v>1.5E-3</v>
      </c>
      <c r="G37" s="1943"/>
      <c r="H37" s="1958"/>
      <c r="I37" s="829" t="s">
        <v>1806</v>
      </c>
      <c r="J37" s="830"/>
      <c r="K37" s="1962"/>
      <c r="L37" s="1958"/>
      <c r="M37" s="1958"/>
    </row>
    <row r="38" spans="1:18" ht="18" customHeight="1" thickBot="1">
      <c r="A38" s="2402" t="s">
        <v>1881</v>
      </c>
      <c r="B38" s="2397" t="s">
        <v>659</v>
      </c>
      <c r="C38" s="2395">
        <f ca="1">ROUND(C5*F38,1)</f>
        <v>3.7</v>
      </c>
      <c r="D38" s="2396" t="s">
        <v>1795</v>
      </c>
      <c r="E38" s="2397" t="s">
        <v>1786</v>
      </c>
      <c r="F38" s="2393">
        <f ca="1">INDIRECT("'数据-取费表'!Am"&amp;$G$1)</f>
        <v>0.01</v>
      </c>
      <c r="G38" s="1943"/>
      <c r="H38" s="1958"/>
      <c r="I38" s="831" t="s">
        <v>1807</v>
      </c>
      <c r="J38" s="832"/>
      <c r="K38" s="1963"/>
      <c r="L38" s="1958"/>
      <c r="M38" s="1958"/>
    </row>
    <row r="39" spans="1:18" ht="24.6" customHeight="1" thickTop="1">
      <c r="A39" s="1742" t="s">
        <v>1766</v>
      </c>
      <c r="B39" s="2721" t="s">
        <v>2801</v>
      </c>
      <c r="C39" s="781">
        <f ca="1">C5-C30</f>
        <v>181</v>
      </c>
      <c r="D39" s="2399" t="s">
        <v>1796</v>
      </c>
      <c r="E39" s="2400"/>
      <c r="F39" s="2401"/>
      <c r="G39" s="1943"/>
      <c r="H39" s="1958"/>
      <c r="I39" s="825" t="s">
        <v>1808</v>
      </c>
      <c r="J39" s="833">
        <f ca="1">ROUND(J35/C39,3)</f>
        <v>4.4589999999999996</v>
      </c>
      <c r="K39" s="1963"/>
      <c r="L39" s="1958"/>
      <c r="M39" s="1958"/>
    </row>
    <row r="40" spans="1:18" ht="18" customHeight="1">
      <c r="A40" s="770" t="s">
        <v>1885</v>
      </c>
      <c r="B40" s="2110" t="s">
        <v>2288</v>
      </c>
      <c r="C40" s="772">
        <f ca="1">ROUND(C39*(1-((1+F42)/(1+F40))^F41)/(F40-F42),0)</f>
        <v>3927</v>
      </c>
      <c r="D40" s="802" t="s">
        <v>1797</v>
      </c>
      <c r="E40" s="773" t="s">
        <v>2403</v>
      </c>
      <c r="F40" s="783">
        <f ca="1">INDIRECT("'数据-取费表'!I"&amp;$G$1)</f>
        <v>0.05</v>
      </c>
      <c r="G40" s="1943"/>
      <c r="H40" s="1943"/>
      <c r="I40" s="825" t="s">
        <v>1809</v>
      </c>
      <c r="J40" s="833">
        <f ca="1">1-J39</f>
        <v>-3.4589999999999996</v>
      </c>
      <c r="K40" s="1963"/>
      <c r="L40" s="1943"/>
      <c r="M40" s="1943"/>
    </row>
    <row r="41" spans="1:18" ht="18" customHeight="1">
      <c r="A41" s="775"/>
      <c r="B41" s="776"/>
      <c r="C41" s="777"/>
      <c r="D41" s="809" t="s">
        <v>1798</v>
      </c>
      <c r="E41" s="773" t="s">
        <v>1774</v>
      </c>
      <c r="F41" s="810">
        <f ca="1">IF(INDIRECT("'数据-取费表'!af"&amp;$G$1)=0,INDIRECT("'数据-取费表'!ae"&amp;$G$1),INDIRECT("'数据-取费表'!af"&amp;$G$1))</f>
        <v>36.299999999999997</v>
      </c>
      <c r="G41" s="1943"/>
      <c r="H41" s="1898"/>
      <c r="I41" s="831" t="s">
        <v>1810</v>
      </c>
      <c r="J41" s="834"/>
      <c r="K41" s="1962"/>
      <c r="L41" s="1898"/>
      <c r="M41" s="1898"/>
    </row>
    <row r="42" spans="1:18" ht="18" customHeight="1">
      <c r="A42" s="779"/>
      <c r="B42" s="780"/>
      <c r="C42" s="781"/>
      <c r="D42" s="804"/>
      <c r="E42" s="773" t="s">
        <v>1799</v>
      </c>
      <c r="F42" s="783">
        <f ca="1">INDIRECT("'数据-取费表'!v"&amp;$G$1)</f>
        <v>0.02</v>
      </c>
      <c r="G42" s="1943"/>
      <c r="H42" s="1898"/>
      <c r="I42" s="835" t="s">
        <v>1811</v>
      </c>
      <c r="J42" s="833">
        <f ca="1">ROUND(C13/C40,3)</f>
        <v>2.4169999999999998</v>
      </c>
      <c r="K42" s="1962"/>
      <c r="L42" s="1898"/>
      <c r="M42" s="1898"/>
    </row>
    <row r="43" spans="1:18" ht="18" customHeight="1" thickBot="1">
      <c r="A43" s="811" t="s">
        <v>1777</v>
      </c>
      <c r="B43" s="812" t="s">
        <v>1800</v>
      </c>
      <c r="C43" s="813">
        <f ca="1">ROUND(C40*10000/F43,0)</f>
        <v>1032</v>
      </c>
      <c r="D43" s="814" t="s">
        <v>1801</v>
      </c>
      <c r="E43" s="815" t="s">
        <v>1802</v>
      </c>
      <c r="F43" s="816">
        <f ca="1">INDIRECT("'数据-取费表'!k"&amp;$G$1)</f>
        <v>38058.699999999997</v>
      </c>
      <c r="G43" s="1943"/>
      <c r="H43" s="1898"/>
      <c r="I43" s="835" t="s">
        <v>1812</v>
      </c>
      <c r="J43" s="836">
        <f ca="1">1-J42</f>
        <v>-1.4169999999999998</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4">
        <f ca="1">C67-C40</f>
        <v>-5919</v>
      </c>
      <c r="D46" s="3256"/>
      <c r="E46" s="3256"/>
      <c r="F46" s="3256"/>
      <c r="I46" s="2231" t="s">
        <v>2327</v>
      </c>
      <c r="J46" s="2232"/>
      <c r="K46" s="2233"/>
      <c r="L46" s="2805">
        <f>IF(OR(M47="住宅",D1="土地（套用方法）"),0,IF(L48&gt;J51,L60,J60))</f>
        <v>0</v>
      </c>
      <c r="M46" s="3257"/>
      <c r="O46" s="2247" t="s">
        <v>2394</v>
      </c>
      <c r="P46" s="1524"/>
      <c r="Q46" s="1532"/>
      <c r="R46" s="1524"/>
    </row>
    <row r="47" spans="1:18" s="1940" customFormat="1" ht="18" customHeight="1" thickBot="1">
      <c r="A47" s="2225">
        <v>1</v>
      </c>
      <c r="B47" s="2226" t="s">
        <v>628</v>
      </c>
      <c r="C47" s="2424">
        <f ca="1">C48+C52+C54</f>
        <v>0</v>
      </c>
      <c r="D47" s="3256"/>
      <c r="E47" s="3256"/>
      <c r="F47" s="3256"/>
      <c r="I47" s="2796" t="s">
        <v>2328</v>
      </c>
      <c r="J47" s="2234" t="s">
        <v>3544</v>
      </c>
      <c r="K47" s="2802" t="s">
        <v>2333</v>
      </c>
      <c r="L47" s="2806">
        <f ca="1">INDIRECT("'数据-取费表'!d"&amp;$G$1)</f>
        <v>40</v>
      </c>
      <c r="M47" s="1532" t="str">
        <f>IF(ISNUMBER(FIND("住宅",C1)),"住宅","非住宅")</f>
        <v>非住宅</v>
      </c>
      <c r="O47" s="2248" t="s">
        <v>2359</v>
      </c>
      <c r="P47" s="2249" t="s">
        <v>2360</v>
      </c>
      <c r="Q47" s="2250" t="s">
        <v>2361</v>
      </c>
      <c r="R47" s="2249" t="s">
        <v>2362</v>
      </c>
    </row>
    <row r="48" spans="1:18" s="1940" customFormat="1" ht="18" customHeight="1" thickBot="1">
      <c r="A48" s="2482" t="s">
        <v>2498</v>
      </c>
      <c r="B48" s="2483" t="s">
        <v>2519</v>
      </c>
      <c r="C48" s="2227">
        <f ca="1">ROUND(F48*F50*F49*(1-F51)/10000,0)</f>
        <v>0</v>
      </c>
      <c r="D48" s="2228" t="s">
        <v>629</v>
      </c>
      <c r="E48" s="2229" t="s">
        <v>2283</v>
      </c>
      <c r="F48" s="2230"/>
      <c r="G48" s="1970"/>
      <c r="I48" s="2793" t="s">
        <v>2329</v>
      </c>
      <c r="J48" s="2235" t="s">
        <v>2334</v>
      </c>
      <c r="K48" s="2803" t="s">
        <v>2335</v>
      </c>
      <c r="L48" s="1820">
        <f ca="1">INDIRECT("'数据-取费表'!f"&amp;$G$1)</f>
        <v>38.799999999999997</v>
      </c>
      <c r="M48" s="3257"/>
      <c r="O48" s="2251" t="s">
        <v>2363</v>
      </c>
      <c r="P48" s="2252" t="s">
        <v>2389</v>
      </c>
      <c r="Q48" s="2253">
        <f ca="1">C40+J29</f>
        <v>3927</v>
      </c>
      <c r="R48" s="2252" t="s">
        <v>2364</v>
      </c>
    </row>
    <row r="49" spans="1:18" s="1940" customFormat="1" ht="18" customHeight="1" thickBot="1">
      <c r="A49" s="775"/>
      <c r="B49" s="776"/>
      <c r="C49" s="777"/>
      <c r="D49" s="778"/>
      <c r="E49" s="773" t="s">
        <v>1729</v>
      </c>
      <c r="F49" s="774">
        <f ca="1">F7</f>
        <v>1305</v>
      </c>
      <c r="G49" s="1970"/>
      <c r="H49" s="1973"/>
      <c r="I49" s="2793" t="s">
        <v>2330</v>
      </c>
      <c r="J49" s="2236">
        <v>2022</v>
      </c>
      <c r="K49" s="2804" t="s">
        <v>2336</v>
      </c>
      <c r="L49" s="2237"/>
      <c r="M49" s="3257"/>
      <c r="O49" s="2251" t="s">
        <v>2365</v>
      </c>
      <c r="P49" s="2252" t="s">
        <v>2390</v>
      </c>
      <c r="Q49" s="2253" t="str">
        <f ca="1">J60</f>
        <v>0</v>
      </c>
      <c r="R49" s="2252" t="s">
        <v>2366</v>
      </c>
    </row>
    <row r="50" spans="1:18" s="1940" customFormat="1" ht="18" customHeight="1" thickBot="1">
      <c r="A50" s="775"/>
      <c r="B50" s="776"/>
      <c r="C50" s="777"/>
      <c r="D50" s="778"/>
      <c r="E50" s="773" t="s">
        <v>1730</v>
      </c>
      <c r="F50" s="774">
        <f ca="1">F8</f>
        <v>12</v>
      </c>
      <c r="G50" s="1975"/>
      <c r="H50" s="1973"/>
      <c r="I50" s="2793" t="s">
        <v>2331</v>
      </c>
      <c r="J50" s="2800">
        <f>SUMPRODUCT((I63:I65=J47)*(J62:L62=J48)*(J63:L65))</f>
        <v>60</v>
      </c>
      <c r="K50" s="2804" t="s">
        <v>2337</v>
      </c>
      <c r="L50" s="2237"/>
      <c r="M50" s="3257"/>
      <c r="O50" s="2254" t="s">
        <v>2367</v>
      </c>
      <c r="P50" s="2252" t="s">
        <v>2391</v>
      </c>
      <c r="Q50" s="2253">
        <f ca="1">C29</f>
        <v>9490</v>
      </c>
      <c r="R50" s="2252" t="s">
        <v>2364</v>
      </c>
    </row>
    <row r="51" spans="1:18" s="1940" customFormat="1" ht="18" customHeight="1" thickBot="1">
      <c r="A51" s="775"/>
      <c r="B51" s="776"/>
      <c r="C51" s="777"/>
      <c r="D51" s="778"/>
      <c r="E51" s="773" t="s">
        <v>633</v>
      </c>
      <c r="F51" s="2224"/>
      <c r="H51" s="1973"/>
      <c r="I51" s="2797" t="s">
        <v>2332</v>
      </c>
      <c r="J51" s="2801">
        <f>IF(J49="",J50,J49+J50-YEAR('数据-取费表'!B2))</f>
        <v>61</v>
      </c>
      <c r="K51" s="2793" t="s">
        <v>2338</v>
      </c>
      <c r="L51" s="2807">
        <f ca="1">ROUND(-PV(INDIRECT("'数据-取费表'!h"&amp;$G$1),J51,(C39-C13*J36),0),0)</f>
        <v>-12955</v>
      </c>
      <c r="M51" s="3257"/>
      <c r="O51" s="2254" t="s">
        <v>2368</v>
      </c>
      <c r="P51" s="2252" t="s">
        <v>2369</v>
      </c>
      <c r="Q51" s="2255" t="e">
        <f ca="1">J58</f>
        <v>#VALUE!</v>
      </c>
      <c r="R51" s="2256"/>
    </row>
    <row r="52" spans="1:18" s="1940" customFormat="1" ht="18" customHeight="1" thickBot="1">
      <c r="A52" s="770" t="s">
        <v>2517</v>
      </c>
      <c r="B52" s="2345" t="s">
        <v>2440</v>
      </c>
      <c r="C52" s="788">
        <f ca="1">ROUND(IF(F52="押一",C48/12*F11,IF(F52="押二",C48/12*2*F11,IF(F52="押三",C48/12*3*F11,C53*F11))),0)</f>
        <v>0</v>
      </c>
      <c r="D52" s="2352" t="s">
        <v>2937</v>
      </c>
      <c r="E52" s="2349" t="s">
        <v>2445</v>
      </c>
      <c r="F52" s="2463"/>
      <c r="I52" s="2798" t="s">
        <v>2405</v>
      </c>
      <c r="J52" s="2238">
        <v>0.09</v>
      </c>
      <c r="K52" s="2798" t="s">
        <v>2404</v>
      </c>
      <c r="L52" s="2238"/>
      <c r="M52" s="3257"/>
      <c r="O52" s="2254" t="s">
        <v>2370</v>
      </c>
      <c r="P52" s="2252" t="s">
        <v>2371</v>
      </c>
      <c r="Q52" s="2255">
        <f>J52</f>
        <v>0.09</v>
      </c>
      <c r="R52" s="2256"/>
    </row>
    <row r="53" spans="1:18" s="1940" customFormat="1" ht="39.75" customHeight="1" thickBot="1">
      <c r="A53" s="775"/>
      <c r="B53" s="2346" t="s">
        <v>2554</v>
      </c>
      <c r="C53" s="2350"/>
      <c r="D53" s="2352"/>
      <c r="E53" s="2349"/>
      <c r="F53" s="789"/>
      <c r="I53" s="2799" t="s">
        <v>2941</v>
      </c>
      <c r="J53" s="2852">
        <f ca="1">IF(M47="住宅",IF(D1="——",MAX(J51,L48),MAX(J51,L48-'数据-取费表'!B20)),IF(D1="——",MIN(J51,L48),MIN(J51,L48-'数据-取费表'!B20)))</f>
        <v>36.299999999999997</v>
      </c>
      <c r="K53" s="3588" t="s">
        <v>2930</v>
      </c>
      <c r="L53" s="3589"/>
      <c r="M53" s="3257"/>
      <c r="O53" s="2254" t="s">
        <v>2372</v>
      </c>
      <c r="P53" s="2252" t="s">
        <v>2373</v>
      </c>
      <c r="Q53" s="2253">
        <f ca="1">J53</f>
        <v>36.299999999999997</v>
      </c>
      <c r="R53" s="2252" t="s">
        <v>2374</v>
      </c>
    </row>
    <row r="54" spans="1:18" s="1940" customFormat="1" ht="18" customHeight="1" thickBot="1">
      <c r="A54" s="2388" t="s">
        <v>2448</v>
      </c>
      <c r="B54" s="2389" t="s">
        <v>2441</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7"/>
      <c r="O54" s="2251" t="s">
        <v>2375</v>
      </c>
      <c r="P54" s="2252" t="s">
        <v>2392</v>
      </c>
      <c r="Q54" s="2253">
        <f ca="1">Q48+Q49</f>
        <v>3927</v>
      </c>
      <c r="R54" s="2256" t="s">
        <v>2376</v>
      </c>
    </row>
    <row r="55" spans="1:18" s="1940" customFormat="1" ht="18" customHeight="1" thickTop="1" thickBot="1">
      <c r="A55" s="786">
        <v>2</v>
      </c>
      <c r="B55" s="787" t="s">
        <v>637</v>
      </c>
      <c r="C55" s="788">
        <f ca="1">C13</f>
        <v>9490</v>
      </c>
      <c r="D55" s="784"/>
      <c r="E55" s="784"/>
      <c r="F55" s="789"/>
      <c r="I55" s="2810" t="s">
        <v>2339</v>
      </c>
      <c r="J55" s="2782" t="e">
        <f ca="1">ROUND(IF(J47="钢混",J57/J50,1-(1-2%)*(J50-J57)/J50),3)</f>
        <v>#VALUE!</v>
      </c>
      <c r="K55" s="2811" t="s">
        <v>2340</v>
      </c>
      <c r="L55" s="2239"/>
      <c r="M55" s="3257"/>
      <c r="O55" s="2257" t="s">
        <v>2395</v>
      </c>
      <c r="P55" s="1524"/>
      <c r="Q55" s="1532"/>
      <c r="R55" s="1524"/>
    </row>
    <row r="56" spans="1:18" s="1940" customFormat="1" ht="42.75" customHeight="1" thickBot="1">
      <c r="A56" s="1576"/>
      <c r="B56" s="2109" t="s">
        <v>2289</v>
      </c>
      <c r="C56" s="53">
        <f ca="1">C29</f>
        <v>9490</v>
      </c>
      <c r="D56" s="3276"/>
      <c r="E56" s="773"/>
      <c r="F56" s="798"/>
      <c r="I56" s="2812" t="s">
        <v>2341</v>
      </c>
      <c r="J56" s="2822" t="s">
        <v>1668</v>
      </c>
      <c r="K56" s="2793" t="s">
        <v>2346</v>
      </c>
      <c r="L56" s="1820" t="str">
        <f ca="1">IF(L48&lt;J51,"——",L48-J51)</f>
        <v>——</v>
      </c>
      <c r="M56" s="3257"/>
      <c r="O56" s="2248" t="s">
        <v>2359</v>
      </c>
      <c r="P56" s="2249" t="s">
        <v>2360</v>
      </c>
      <c r="Q56" s="2250" t="s">
        <v>2361</v>
      </c>
      <c r="R56" s="2249" t="s">
        <v>2362</v>
      </c>
    </row>
    <row r="57" spans="1:18" s="1940" customFormat="1" ht="28.5" customHeight="1" thickBot="1">
      <c r="A57" s="786" t="s">
        <v>1738</v>
      </c>
      <c r="B57" s="787" t="s">
        <v>644</v>
      </c>
      <c r="C57" s="788">
        <f ca="1">ROUND(C58+C63+C64+C65,0)</f>
        <v>120</v>
      </c>
      <c r="D57" s="26" t="s">
        <v>1740</v>
      </c>
      <c r="E57" s="3284"/>
      <c r="F57" s="56"/>
      <c r="I57" s="2813" t="s">
        <v>2342</v>
      </c>
      <c r="J57" s="2814" t="str">
        <f ca="1">IF(OR(M47="住宅",J51&lt;L48,J56="是"),"——",J51-L48)</f>
        <v>——</v>
      </c>
      <c r="K57" s="2793" t="s">
        <v>2347</v>
      </c>
      <c r="L57" s="1820" t="str">
        <f ca="1">IF(L48&lt;J51,"——",IF(L55="比较法",L49,IF(L55="基准地价",L50,L51)))</f>
        <v>——</v>
      </c>
      <c r="M57" s="3257"/>
      <c r="O57" s="2251" t="s">
        <v>2363</v>
      </c>
      <c r="P57" s="2252" t="s">
        <v>2389</v>
      </c>
      <c r="Q57" s="2253">
        <f ca="1">C40+J29</f>
        <v>3927</v>
      </c>
      <c r="R57" s="2252" t="s">
        <v>2364</v>
      </c>
    </row>
    <row r="58" spans="1:18" s="1940" customFormat="1" ht="28.5" customHeight="1" thickBot="1">
      <c r="A58" s="1575" t="s">
        <v>1814</v>
      </c>
      <c r="B58" s="773" t="s">
        <v>649</v>
      </c>
      <c r="C58" s="3013">
        <f ca="1">ROUND(IF(AND(项目基本情况!B11="自然人",项目基本情况!B10="北京市"),C48*F58/(1+'数据-取费表'!C42),C59+C60+C61),0)</f>
        <v>11</v>
      </c>
      <c r="D58" s="3275" t="s">
        <v>650</v>
      </c>
      <c r="E58" s="3276" t="s">
        <v>683</v>
      </c>
      <c r="F58" s="3012" t="str">
        <f>IF(项目基本情况!B11="企业","——",IF('数据-取费表'!B10="住宅",IF(F48*F49*F50/12/(1+'数据-取费表'!F30)&gt;100000,4%,2.5%),IF(F48*F49*F50/12/(1+'数据-取费表'!F30)&gt;100000,12%,7%)))</f>
        <v>——</v>
      </c>
      <c r="I58" s="2813" t="s">
        <v>2343</v>
      </c>
      <c r="J58" s="2783" t="e">
        <f ca="1">IF(J55&lt;0.4,0.4,J55)</f>
        <v>#VALUE!</v>
      </c>
      <c r="K58" s="2793" t="s">
        <v>2348</v>
      </c>
      <c r="L58" s="1820" t="e">
        <f ca="1">ROUND(POWER(1+L52,L47-L48)*(POWER(1+L52,L48)-1)/(POWER(1+L52,L47)-1),4)</f>
        <v>#DIV/0!</v>
      </c>
      <c r="M58" s="3257"/>
      <c r="O58" s="2251" t="s">
        <v>2365</v>
      </c>
      <c r="P58" s="2252" t="s">
        <v>2396</v>
      </c>
      <c r="Q58" s="2253">
        <f ca="1">L60</f>
        <v>0</v>
      </c>
      <c r="R58" s="2256" t="s">
        <v>2398</v>
      </c>
    </row>
    <row r="59" spans="1:18" s="1940" customFormat="1" ht="28.5" customHeight="1" thickBot="1">
      <c r="A59" s="1574" t="s">
        <v>1821</v>
      </c>
      <c r="B59" s="773" t="s">
        <v>653</v>
      </c>
      <c r="C59" s="53">
        <f ca="1">ROUND(C47*F59/1.05,1)</f>
        <v>0</v>
      </c>
      <c r="D59" s="3276" t="s">
        <v>1746</v>
      </c>
      <c r="E59" s="773" t="s">
        <v>1737</v>
      </c>
      <c r="F59" s="798">
        <f t="shared" ref="F59:F65" si="0">F32</f>
        <v>5.5000000000000007E-2</v>
      </c>
      <c r="I59" s="2813" t="s">
        <v>2344</v>
      </c>
      <c r="J59" s="2814" t="str">
        <f ca="1">IF(OR(M47="住宅",J51&lt;L48,J56="是"),"——",ROUND(C29*J58,0))</f>
        <v>——</v>
      </c>
      <c r="K59" s="2793"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7"/>
      <c r="O59" s="2254" t="s">
        <v>2367</v>
      </c>
      <c r="P59" s="2252" t="s">
        <v>2397</v>
      </c>
      <c r="Q59" s="2253">
        <f>IF(L55="比较法",L49,IF(L55="基准地价",L50,0))</f>
        <v>0</v>
      </c>
      <c r="R59" s="2252" t="s">
        <v>2364</v>
      </c>
    </row>
    <row r="60" spans="1:18" s="1940" customFormat="1" ht="18" customHeight="1" thickBot="1">
      <c r="A60" s="1574" t="s">
        <v>1822</v>
      </c>
      <c r="B60" s="773" t="s">
        <v>1748</v>
      </c>
      <c r="C60" s="53">
        <f ca="1">IF(D60="按租金收入计税",ROUND(C47*F60,1),IF(D60="按房产原值计税",ROUND(C56*F60*0.7,1),INDIRECT("'数据-取费表'!Aj"&amp;$G$1)))</f>
        <v>0</v>
      </c>
      <c r="D60" s="3276" t="str">
        <f>D33</f>
        <v>按租金收入计税</v>
      </c>
      <c r="E60" s="773" t="s">
        <v>1737</v>
      </c>
      <c r="F60" s="798">
        <f t="shared" si="0"/>
        <v>0.12</v>
      </c>
      <c r="I60" s="2815" t="s">
        <v>2345</v>
      </c>
      <c r="J60" s="2816" t="str">
        <f ca="1">IF(OR(M47="住宅",J51&lt;L48,J56="是"),"0",ROUND(J59/(1+J52)^J53,0))</f>
        <v>0</v>
      </c>
      <c r="K60" s="2817" t="s">
        <v>2350</v>
      </c>
      <c r="L60" s="2816">
        <f ca="1">IF(OR(M47="住宅",L48&lt;J51),0,ROUND(L57*(L58/L59-1),0))</f>
        <v>0</v>
      </c>
      <c r="M60" s="3257"/>
      <c r="O60" s="2254" t="s">
        <v>2368</v>
      </c>
      <c r="P60" s="2252" t="s">
        <v>2377</v>
      </c>
      <c r="Q60" s="2255">
        <f>L52</f>
        <v>0</v>
      </c>
      <c r="R60" s="2256"/>
    </row>
    <row r="61" spans="1:18" s="1940" customFormat="1" ht="18" customHeight="1" thickBot="1">
      <c r="A61" s="1577" t="s">
        <v>1823</v>
      </c>
      <c r="B61" s="338" t="s">
        <v>661</v>
      </c>
      <c r="C61" s="54">
        <f ca="1">ROUND(F61*F62/10000,1)</f>
        <v>10.7</v>
      </c>
      <c r="D61" s="802" t="s">
        <v>662</v>
      </c>
      <c r="E61" s="773" t="s">
        <v>663</v>
      </c>
      <c r="F61" s="631">
        <f t="shared" si="0"/>
        <v>8</v>
      </c>
      <c r="K61" s="1966"/>
      <c r="O61" s="2254" t="s">
        <v>2370</v>
      </c>
      <c r="P61" s="2252" t="s">
        <v>2378</v>
      </c>
      <c r="Q61" s="2253" t="e">
        <f ca="1">L58</f>
        <v>#DIV/0!</v>
      </c>
      <c r="R61" s="2256" t="s">
        <v>2379</v>
      </c>
    </row>
    <row r="62" spans="1:18" s="1940" customFormat="1" ht="15.75" thickBot="1">
      <c r="A62" s="803"/>
      <c r="B62" s="782"/>
      <c r="C62" s="69"/>
      <c r="D62" s="804"/>
      <c r="E62" s="773" t="s">
        <v>667</v>
      </c>
      <c r="F62" s="774">
        <f t="shared" ca="1" si="0"/>
        <v>13340.230000000001</v>
      </c>
      <c r="I62" s="2818" t="s">
        <v>2351</v>
      </c>
      <c r="J62" s="2819" t="s">
        <v>2352</v>
      </c>
      <c r="K62" s="2819" t="s">
        <v>2353</v>
      </c>
      <c r="L62" s="2819" t="s">
        <v>2334</v>
      </c>
      <c r="M62" s="2820" t="s">
        <v>2909</v>
      </c>
      <c r="O62" s="2254" t="s">
        <v>2372</v>
      </c>
      <c r="P62" s="2252" t="str">
        <f>K59</f>
        <v>建设期及建筑物耐用年限下的土地年期修正系数Kn</v>
      </c>
      <c r="Q62" s="2253" t="e">
        <f ca="1">L59</f>
        <v>#DIV/0!</v>
      </c>
      <c r="R62" s="2256" t="s">
        <v>2381</v>
      </c>
    </row>
    <row r="63" spans="1:18" s="1940" customFormat="1" ht="15.75" thickBot="1">
      <c r="A63" s="1575" t="s">
        <v>1879</v>
      </c>
      <c r="B63" s="773" t="s">
        <v>669</v>
      </c>
      <c r="C63" s="53">
        <f ca="1">ROUND(C56*F63,1)</f>
        <v>94.9</v>
      </c>
      <c r="D63" s="3276" t="s">
        <v>1793</v>
      </c>
      <c r="E63" s="773" t="s">
        <v>1737</v>
      </c>
      <c r="F63" s="805">
        <f t="shared" ca="1" si="0"/>
        <v>0.01</v>
      </c>
      <c r="I63" s="2818" t="s">
        <v>2354</v>
      </c>
      <c r="J63" s="2819">
        <v>70</v>
      </c>
      <c r="K63" s="2819">
        <v>50</v>
      </c>
      <c r="L63" s="2819">
        <v>80</v>
      </c>
      <c r="M63" s="2821">
        <v>0.02</v>
      </c>
      <c r="O63" s="2251" t="s">
        <v>2375</v>
      </c>
      <c r="P63" s="2252" t="s">
        <v>2392</v>
      </c>
      <c r="Q63" s="2253">
        <f ca="1">Q57+Q58</f>
        <v>3927</v>
      </c>
      <c r="R63" s="2256" t="s">
        <v>2376</v>
      </c>
    </row>
    <row r="64" spans="1:18" s="1940" customFormat="1" ht="16.5" thickBot="1">
      <c r="A64" s="1575" t="s">
        <v>1880</v>
      </c>
      <c r="B64" s="773" t="s">
        <v>672</v>
      </c>
      <c r="C64" s="53">
        <f ca="1">ROUND(C55*F64,1)</f>
        <v>14.2</v>
      </c>
      <c r="D64" s="3276" t="s">
        <v>673</v>
      </c>
      <c r="E64" s="773" t="s">
        <v>1737</v>
      </c>
      <c r="F64" s="806">
        <f t="shared" ca="1" si="0"/>
        <v>1.5E-3</v>
      </c>
      <c r="I64" s="2818" t="s">
        <v>2355</v>
      </c>
      <c r="J64" s="2819">
        <v>50</v>
      </c>
      <c r="K64" s="2819">
        <v>35</v>
      </c>
      <c r="L64" s="2819">
        <v>60</v>
      </c>
      <c r="M64" s="834">
        <v>0</v>
      </c>
      <c r="O64" s="2257" t="s">
        <v>2399</v>
      </c>
      <c r="P64" s="1524"/>
      <c r="Q64" s="1532"/>
      <c r="R64" s="1524"/>
    </row>
    <row r="65" spans="1:18" s="1940" customFormat="1" ht="15.75" thickBot="1">
      <c r="A65" s="1575" t="s">
        <v>1881</v>
      </c>
      <c r="B65" s="773" t="s">
        <v>659</v>
      </c>
      <c r="C65" s="53">
        <f ca="1">ROUND(C47*F65,1)</f>
        <v>0</v>
      </c>
      <c r="D65" s="3276" t="s">
        <v>676</v>
      </c>
      <c r="E65" s="773" t="s">
        <v>1737</v>
      </c>
      <c r="F65" s="783">
        <f t="shared" ca="1" si="0"/>
        <v>0.01</v>
      </c>
      <c r="I65" s="2818" t="s">
        <v>2356</v>
      </c>
      <c r="J65" s="2819">
        <v>40</v>
      </c>
      <c r="K65" s="2819">
        <v>30</v>
      </c>
      <c r="L65" s="2819">
        <v>50</v>
      </c>
      <c r="M65" s="2821">
        <v>0.02</v>
      </c>
      <c r="O65" s="2248" t="s">
        <v>2359</v>
      </c>
      <c r="P65" s="2249" t="s">
        <v>2360</v>
      </c>
      <c r="Q65" s="2250" t="s">
        <v>2361</v>
      </c>
      <c r="R65" s="2249" t="s">
        <v>2362</v>
      </c>
    </row>
    <row r="66" spans="1:18" s="1940" customFormat="1" ht="24.75" thickBot="1">
      <c r="A66" s="786" t="s">
        <v>1766</v>
      </c>
      <c r="B66" s="2722" t="s">
        <v>2801</v>
      </c>
      <c r="C66" s="788">
        <f ca="1">C47-C57</f>
        <v>-120</v>
      </c>
      <c r="D66" s="3275" t="s">
        <v>693</v>
      </c>
      <c r="E66" s="3273"/>
      <c r="F66" s="808"/>
      <c r="K66" s="1966"/>
      <c r="O66" s="2251" t="s">
        <v>2363</v>
      </c>
      <c r="P66" s="2252" t="s">
        <v>2389</v>
      </c>
      <c r="Q66" s="2253">
        <f ca="1">C40+J29</f>
        <v>3927</v>
      </c>
      <c r="R66" s="2252" t="s">
        <v>2364</v>
      </c>
    </row>
    <row r="67" spans="1:18" s="1940" customFormat="1" ht="20.25" thickBot="1">
      <c r="A67" s="770" t="s">
        <v>1770</v>
      </c>
      <c r="B67" s="2110" t="s">
        <v>2288</v>
      </c>
      <c r="C67" s="772">
        <f ca="1">ROUND(C66*(1-((1+F69)/(1+F67))^F68)/(F67-F69),0)</f>
        <v>-1992</v>
      </c>
      <c r="D67" s="802" t="s">
        <v>697</v>
      </c>
      <c r="E67" s="773" t="s">
        <v>698</v>
      </c>
      <c r="F67" s="783">
        <f ca="1">F40</f>
        <v>0.05</v>
      </c>
      <c r="K67" s="1966"/>
      <c r="O67" s="2251" t="s">
        <v>2365</v>
      </c>
      <c r="P67" s="2252" t="s">
        <v>2396</v>
      </c>
      <c r="Q67" s="2253">
        <f ca="1">L60</f>
        <v>0</v>
      </c>
      <c r="R67" s="2256" t="s">
        <v>2398</v>
      </c>
    </row>
    <row r="68" spans="1:18" ht="21.75" thickBot="1">
      <c r="A68" s="775"/>
      <c r="B68" s="776"/>
      <c r="C68" s="777"/>
      <c r="D68" s="809" t="s">
        <v>1798</v>
      </c>
      <c r="E68" s="773" t="s">
        <v>1774</v>
      </c>
      <c r="F68" s="810">
        <f ca="1">F41</f>
        <v>36.299999999999997</v>
      </c>
      <c r="O68" s="2254" t="s">
        <v>2367</v>
      </c>
      <c r="P68" s="2252" t="s">
        <v>2397</v>
      </c>
      <c r="Q68" s="2258">
        <f ca="1">L51</f>
        <v>-12955</v>
      </c>
      <c r="R68" s="2259" t="s">
        <v>2400</v>
      </c>
    </row>
    <row r="69" spans="1:18" ht="20.25" thickBot="1">
      <c r="A69" s="779"/>
      <c r="B69" s="780"/>
      <c r="C69" s="781"/>
      <c r="D69" s="804"/>
      <c r="E69" s="773" t="s">
        <v>703</v>
      </c>
      <c r="F69" s="2224"/>
      <c r="O69" s="2254" t="s">
        <v>2368</v>
      </c>
      <c r="P69" s="2260" t="s">
        <v>2382</v>
      </c>
      <c r="Q69" s="2253">
        <f ca="1">ROUND(Q70-Q71*Q72,0)</f>
        <v>-626</v>
      </c>
      <c r="R69" s="2256"/>
    </row>
    <row r="70" spans="1:18" ht="15.75" thickBot="1">
      <c r="A70" s="811" t="s">
        <v>1777</v>
      </c>
      <c r="B70" s="812" t="s">
        <v>1800</v>
      </c>
      <c r="C70" s="813">
        <f ca="1">ROUND(C67*10000/F70,0)</f>
        <v>-523</v>
      </c>
      <c r="D70" s="814" t="s">
        <v>1801</v>
      </c>
      <c r="E70" s="815" t="s">
        <v>1802</v>
      </c>
      <c r="F70" s="816">
        <f ca="1">F43</f>
        <v>38058.699999999997</v>
      </c>
      <c r="O70" s="2254" t="s">
        <v>2383</v>
      </c>
      <c r="P70" s="2260" t="s">
        <v>2384</v>
      </c>
      <c r="Q70" s="2253">
        <f ca="1">C39</f>
        <v>181</v>
      </c>
      <c r="R70" s="2252" t="s">
        <v>2364</v>
      </c>
    </row>
    <row r="71" spans="1:18" ht="15.75" thickBot="1">
      <c r="O71" s="2254" t="s">
        <v>2385</v>
      </c>
      <c r="P71" s="2260" t="s">
        <v>2386</v>
      </c>
      <c r="Q71" s="2253">
        <f ca="1">C13</f>
        <v>9490</v>
      </c>
      <c r="R71" s="2252" t="s">
        <v>2364</v>
      </c>
    </row>
    <row r="72" spans="1:18" ht="15.75" thickBot="1">
      <c r="O72" s="2254" t="s">
        <v>2387</v>
      </c>
      <c r="P72" s="2260" t="s">
        <v>2388</v>
      </c>
      <c r="Q72" s="2255">
        <f ca="1">J36</f>
        <v>8.5000000000000006E-2</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建设期及建筑物耐用年限下的土地年期修正系数Kn</v>
      </c>
      <c r="Q75" s="2253" t="e">
        <f ca="1">L59</f>
        <v>#DIV/0!</v>
      </c>
      <c r="R75" s="2256" t="s">
        <v>2381</v>
      </c>
    </row>
    <row r="76" spans="1:18" ht="15.75" thickBot="1">
      <c r="O76" s="2251" t="s">
        <v>2375</v>
      </c>
      <c r="P76" s="2252" t="s">
        <v>2392</v>
      </c>
      <c r="Q76" s="2253">
        <f ca="1">Q66+Q67</f>
        <v>3927</v>
      </c>
      <c r="R76" s="2256"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46" priority="6">
      <formula>$L$48&gt;$J$51</formula>
    </cfRule>
  </conditionalFormatting>
  <conditionalFormatting sqref="I55">
    <cfRule type="expression" dxfId="145" priority="7">
      <formula>$J$51&gt;$L$48</formula>
    </cfRule>
  </conditionalFormatting>
  <conditionalFormatting sqref="I60">
    <cfRule type="expression" dxfId="144" priority="5">
      <formula>$J$51&gt;$L$48</formula>
    </cfRule>
  </conditionalFormatting>
  <conditionalFormatting sqref="K60">
    <cfRule type="expression" dxfId="143" priority="4">
      <formula>$L$48&gt;$J$51</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3">
    <cfRule type="expression" dxfId="14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H36" sqref="H3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3012</v>
      </c>
      <c r="D1" s="2792" t="s">
        <v>3587</v>
      </c>
      <c r="E1" s="2240" t="s">
        <v>2358</v>
      </c>
      <c r="F1" s="2241">
        <f ca="1">J53</f>
        <v>36.299999999999997</v>
      </c>
      <c r="G1" s="3253">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6231</v>
      </c>
      <c r="C2" s="3258"/>
      <c r="D2" s="3259"/>
      <c r="E2" s="3260"/>
      <c r="F2" s="3260"/>
      <c r="G2" s="3254"/>
      <c r="H2" s="1938"/>
      <c r="I2" s="1938"/>
      <c r="J2" s="1938"/>
      <c r="K2" s="1939"/>
      <c r="L2" s="1938"/>
      <c r="M2" s="1938"/>
    </row>
    <row r="3" spans="1:33" ht="18" customHeight="1" thickBot="1">
      <c r="A3" s="821" t="s">
        <v>1717</v>
      </c>
      <c r="B3" s="822">
        <f ca="1">IF(ISERROR(B2*10000/F43),0,ROUND(B2*10000/F43,0))</f>
        <v>10066</v>
      </c>
      <c r="C3" s="3258"/>
      <c r="D3" s="3259"/>
      <c r="E3" s="3260"/>
      <c r="F3" s="3260"/>
      <c r="G3" s="3254"/>
      <c r="H3" s="765" t="s">
        <v>688</v>
      </c>
      <c r="I3" s="1315"/>
      <c r="J3" s="1315"/>
      <c r="K3" s="1523"/>
      <c r="L3" s="1315"/>
      <c r="M3" s="1315"/>
    </row>
    <row r="4" spans="1:33" ht="18" customHeight="1">
      <c r="A4" s="766" t="s">
        <v>1718</v>
      </c>
      <c r="B4" s="767" t="s">
        <v>1719</v>
      </c>
      <c r="C4" s="767" t="s">
        <v>1720</v>
      </c>
      <c r="D4" s="767" t="s">
        <v>626</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376</v>
      </c>
      <c r="D5" s="2347" t="s">
        <v>2442</v>
      </c>
      <c r="E5" s="2341"/>
      <c r="F5" s="2342"/>
      <c r="G5" s="1943"/>
      <c r="H5" s="770">
        <v>1</v>
      </c>
      <c r="I5" s="771" t="s">
        <v>2439</v>
      </c>
      <c r="J5" s="55">
        <f ca="1">J6+J10+J12</f>
        <v>0</v>
      </c>
      <c r="K5" s="2347" t="s">
        <v>2442</v>
      </c>
      <c r="L5" s="2341"/>
      <c r="M5" s="2342"/>
    </row>
    <row r="6" spans="1:33" ht="18" customHeight="1">
      <c r="A6" s="1743" t="s">
        <v>1814</v>
      </c>
      <c r="B6" s="3582" t="s">
        <v>2444</v>
      </c>
      <c r="C6" s="772">
        <f ca="1">ROUND(F6*F8*F7*(1-F9)/10000,0)</f>
        <v>376</v>
      </c>
      <c r="D6" s="2348" t="s">
        <v>2443</v>
      </c>
      <c r="E6" s="773" t="s">
        <v>1728</v>
      </c>
      <c r="F6" s="774">
        <f ca="1">INDIRECT("'数据-取费表'!u"&amp;$G$1)</f>
        <v>1.85</v>
      </c>
      <c r="G6" s="1943"/>
      <c r="H6" s="2355" t="s">
        <v>2449</v>
      </c>
      <c r="I6" s="3582" t="s">
        <v>2444</v>
      </c>
      <c r="J6" s="772">
        <f ca="1">ROUND(M6*M8*M7*(1-M9)/10000,0)</f>
        <v>0</v>
      </c>
      <c r="K6" s="338" t="s">
        <v>1727</v>
      </c>
      <c r="L6" s="773" t="s">
        <v>1728</v>
      </c>
      <c r="M6" s="774">
        <f ca="1">INDIRECT("'数据-取费表'!z"&amp;$G$1)</f>
        <v>0</v>
      </c>
    </row>
    <row r="7" spans="1:33" ht="18" customHeight="1">
      <c r="A7" s="2351"/>
      <c r="B7" s="3583"/>
      <c r="C7" s="777"/>
      <c r="D7" s="778"/>
      <c r="E7" s="773" t="s">
        <v>1729</v>
      </c>
      <c r="F7" s="774">
        <f ca="1">IF(INDIRECT("'数据-取费表'!ah"&amp;$G$1)="",INDIRECT("'数据-取费表'!k"&amp;$G$1),INDIRECT("'数据-取费表'!ah"&amp;$G$1))</f>
        <v>6189.98</v>
      </c>
      <c r="G7" s="1943"/>
      <c r="H7" s="2340"/>
      <c r="I7" s="3583"/>
      <c r="J7" s="777"/>
      <c r="K7" s="778"/>
      <c r="L7" s="773" t="s">
        <v>1729</v>
      </c>
      <c r="M7" s="774">
        <f ca="1">F7</f>
        <v>6189.98</v>
      </c>
    </row>
    <row r="8" spans="1:33" ht="18" customHeight="1">
      <c r="A8" s="2344"/>
      <c r="B8" s="3584"/>
      <c r="C8" s="777"/>
      <c r="D8" s="778"/>
      <c r="E8" s="773" t="s">
        <v>1730</v>
      </c>
      <c r="F8" s="774">
        <f ca="1">INDIRECT("'数据-取费表'!ai"&amp;$G$1)</f>
        <v>365</v>
      </c>
      <c r="G8" s="1943"/>
      <c r="H8" s="2340"/>
      <c r="I8" s="3584"/>
      <c r="J8" s="777"/>
      <c r="K8" s="778"/>
      <c r="L8" s="773" t="s">
        <v>1730</v>
      </c>
      <c r="M8" s="774">
        <f ca="1">INDIRECT("'数据-取费表'!ai"&amp;$G$1)</f>
        <v>365</v>
      </c>
    </row>
    <row r="9" spans="1:33" ht="18" customHeight="1">
      <c r="A9" s="775"/>
      <c r="B9" s="3585"/>
      <c r="C9" s="777"/>
      <c r="D9" s="778"/>
      <c r="E9" s="773" t="s">
        <v>1731</v>
      </c>
      <c r="F9" s="783">
        <f ca="1">INDIRECT("'数据-取费表'!w"&amp;$G$1)</f>
        <v>0.1</v>
      </c>
      <c r="G9" s="1943"/>
      <c r="H9" s="2356"/>
      <c r="I9" s="3584"/>
      <c r="J9" s="777"/>
      <c r="K9" s="778"/>
      <c r="L9" s="784" t="s">
        <v>1731</v>
      </c>
      <c r="M9" s="785">
        <f ca="1">INDIRECT("'数据-取费表'!ab"&amp;$G$1)</f>
        <v>0</v>
      </c>
    </row>
    <row r="10" spans="1:33" ht="18" customHeight="1">
      <c r="A10" s="1743" t="s">
        <v>2447</v>
      </c>
      <c r="B10" s="2345" t="s">
        <v>2440</v>
      </c>
      <c r="C10" s="788">
        <f ca="1">ROUND(IF(F10="押一",C6/12*F11,IF(F10="押二",C6/12*2*F11,IF(F10="押三",C6/12*3*F11,C11*F11))),0)</f>
        <v>0</v>
      </c>
      <c r="D10" s="2352" t="s">
        <v>2937</v>
      </c>
      <c r="E10" s="2349" t="s">
        <v>2445</v>
      </c>
      <c r="F10" s="2463" t="s">
        <v>3565</v>
      </c>
      <c r="G10" s="1943"/>
      <c r="H10" s="2412" t="s">
        <v>2450</v>
      </c>
      <c r="I10" s="2417" t="s">
        <v>2440</v>
      </c>
      <c r="J10" s="772">
        <f ca="1">ROUND(IF(M10="押一",J6/12*M11,IF(M10="押二",J6/12*2*M11,IF(M10="押三",J6/12*3*M11,J11*M11))),0)</f>
        <v>0</v>
      </c>
      <c r="K10" s="2352" t="s">
        <v>2937</v>
      </c>
      <c r="L10" s="2349" t="s">
        <v>2445</v>
      </c>
      <c r="M10" s="2463"/>
    </row>
    <row r="11" spans="1:33" ht="18" customHeight="1">
      <c r="A11" s="779"/>
      <c r="B11" s="2346" t="s">
        <v>2554</v>
      </c>
      <c r="C11" s="2350"/>
      <c r="D11" s="778"/>
      <c r="E11" s="2349" t="s">
        <v>2446</v>
      </c>
      <c r="F11" s="785">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1732</v>
      </c>
      <c r="C13" s="781">
        <f ca="1">ROUND(C29*F13,0)</f>
        <v>1791</v>
      </c>
      <c r="D13" s="1747" t="s">
        <v>2284</v>
      </c>
      <c r="E13" s="1747" t="s">
        <v>1734</v>
      </c>
      <c r="F13" s="2387">
        <f ca="1">INDIRECT("'数据-取费表'!y"&amp;$G$1)</f>
        <v>1</v>
      </c>
      <c r="G13" s="1943"/>
      <c r="H13" s="1742">
        <v>2</v>
      </c>
      <c r="I13" s="1740" t="s">
        <v>1732</v>
      </c>
      <c r="J13" s="1732">
        <f ca="1">ROUND(J14*J15,0)</f>
        <v>0</v>
      </c>
      <c r="K13" s="1734" t="s">
        <v>1733</v>
      </c>
      <c r="L13" s="2403"/>
      <c r="M13" s="2404"/>
    </row>
    <row r="14" spans="1:33" ht="18" customHeight="1">
      <c r="A14" s="1574" t="s">
        <v>1874</v>
      </c>
      <c r="B14" s="773" t="s">
        <v>638</v>
      </c>
      <c r="C14" s="793">
        <f ca="1">INDIRECT("'数据-取费表'!m"&amp;$G$1)+INDIRECT("'数据-取费表'!t"&amp;$G$1)</f>
        <v>1124</v>
      </c>
      <c r="D14" s="1891" t="s">
        <v>1735</v>
      </c>
      <c r="E14" s="1892"/>
      <c r="F14" s="794"/>
      <c r="G14" s="1943"/>
      <c r="H14" s="1575" t="s">
        <v>1820</v>
      </c>
      <c r="I14" s="2109" t="s">
        <v>2805</v>
      </c>
      <c r="J14" s="53">
        <f ca="1">C29</f>
        <v>1791</v>
      </c>
      <c r="K14" s="26"/>
      <c r="L14" s="790"/>
      <c r="M14" s="791"/>
    </row>
    <row r="15" spans="1:33" s="1945" customFormat="1" ht="18" customHeight="1" thickBot="1">
      <c r="A15" s="1574" t="s">
        <v>1875</v>
      </c>
      <c r="B15" s="773" t="s">
        <v>640</v>
      </c>
      <c r="C15" s="53">
        <f ca="1">ROUND(C14*F15,0)</f>
        <v>34</v>
      </c>
      <c r="D15" s="795" t="s">
        <v>1736</v>
      </c>
      <c r="E15" s="795" t="s">
        <v>1737</v>
      </c>
      <c r="F15" s="796">
        <f>'数据-取费表'!B33</f>
        <v>0.03</v>
      </c>
      <c r="G15" s="3255"/>
      <c r="H15" s="2402" t="s">
        <v>1879</v>
      </c>
      <c r="I15" s="2397" t="s">
        <v>1734</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1876</v>
      </c>
      <c r="B16" s="773" t="s">
        <v>643</v>
      </c>
      <c r="C16" s="53">
        <f ca="1">ROUND(INDIRECT("'数据-取费表'!m"&amp;$G$1)*F16,0)</f>
        <v>0</v>
      </c>
      <c r="D16" s="773" t="s">
        <v>1736</v>
      </c>
      <c r="E16" s="773" t="s">
        <v>1737</v>
      </c>
      <c r="F16" s="798">
        <f ca="1">IF(INDIRECT("'数据-取费表'!c"&amp;$G$1)="住宅",'数据-取费表'!B34,0)</f>
        <v>0</v>
      </c>
      <c r="G16" s="1943"/>
      <c r="H16" s="1742" t="s">
        <v>1738</v>
      </c>
      <c r="I16" s="1740" t="s">
        <v>1739</v>
      </c>
      <c r="J16" s="781">
        <f ca="1">ROUND(J17+J22+J23+J24,0)</f>
        <v>170</v>
      </c>
      <c r="K16" s="1734" t="s">
        <v>1740</v>
      </c>
      <c r="L16" s="2337"/>
      <c r="M16" s="2342"/>
    </row>
    <row r="17" spans="1:33" s="1945" customFormat="1" ht="18" customHeight="1">
      <c r="A17" s="1574" t="s">
        <v>1877</v>
      </c>
      <c r="B17" s="773" t="s">
        <v>646</v>
      </c>
      <c r="C17" s="53">
        <f ca="1">ROUND(F17*(F43+INDIRECT("'数据-取费表'!S"&amp;$G$1))/10000,0)</f>
        <v>125</v>
      </c>
      <c r="D17" s="773" t="s">
        <v>1741</v>
      </c>
      <c r="E17" s="773" t="s">
        <v>1742</v>
      </c>
      <c r="F17" s="56">
        <f>'数据-取费表'!B35</f>
        <v>200</v>
      </c>
      <c r="G17" s="3255"/>
      <c r="H17" s="1575" t="s">
        <v>1820</v>
      </c>
      <c r="I17" s="773" t="s">
        <v>649</v>
      </c>
      <c r="J17" s="3013">
        <f ca="1">ROUND(IF(AND(项目基本情况!B11="自然人",项目基本情况!B10="北京市"),J6*M17/(1+'数据-取费表'!C42),J18+J19+J20),0)</f>
        <v>152</v>
      </c>
      <c r="K17" s="2336" t="s">
        <v>1743</v>
      </c>
      <c r="L17" s="2335" t="s">
        <v>1744</v>
      </c>
      <c r="M17" s="3012"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1878</v>
      </c>
      <c r="B18" s="773" t="s">
        <v>652</v>
      </c>
      <c r="C18" s="53">
        <f ca="1">ROUND(C14*F18,0)</f>
        <v>17</v>
      </c>
      <c r="D18" s="773" t="s">
        <v>1736</v>
      </c>
      <c r="E18" s="773" t="s">
        <v>1737</v>
      </c>
      <c r="F18" s="798">
        <f>'数据-取费表'!B36</f>
        <v>1.4999999999999999E-2</v>
      </c>
      <c r="G18" s="3255"/>
      <c r="H18" s="1574" t="s">
        <v>1874</v>
      </c>
      <c r="I18" s="773" t="s">
        <v>1745</v>
      </c>
      <c r="J18" s="53">
        <f ca="1">ROUND(J6*M18/(1+'数据-取费表'!C42),1)</f>
        <v>0</v>
      </c>
      <c r="K18" s="2335"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1820</v>
      </c>
      <c r="B19" s="773" t="s">
        <v>655</v>
      </c>
      <c r="C19" s="53">
        <f ca="1">SUM(C14:C18)</f>
        <v>1300</v>
      </c>
      <c r="D19" s="258" t="s">
        <v>1747</v>
      </c>
      <c r="E19" s="1894"/>
      <c r="F19" s="56"/>
      <c r="G19" s="1943"/>
      <c r="H19" s="1574" t="s">
        <v>1875</v>
      </c>
      <c r="I19" s="773" t="s">
        <v>1748</v>
      </c>
      <c r="J19" s="53">
        <f ca="1">IF(K19="按租金收入计税",ROUND(J6*M19/(1+'数据-取费表'!C42),1),ROUND(C29*F33*0.7,1))</f>
        <v>150.4</v>
      </c>
      <c r="K19" s="799" t="s">
        <v>658</v>
      </c>
      <c r="L19" s="773" t="s">
        <v>1737</v>
      </c>
      <c r="M19" s="798">
        <f>IF(K19="按租金收入计税",'数据-取费表'!B51,'数据-取费表'!B50)</f>
        <v>1.2E-2</v>
      </c>
    </row>
    <row r="20" spans="1:33" s="1945" customFormat="1" ht="18" customHeight="1">
      <c r="A20" s="1575" t="s">
        <v>1879</v>
      </c>
      <c r="B20" s="773" t="s">
        <v>659</v>
      </c>
      <c r="C20" s="53">
        <f ca="1">ROUND(C19*F20,0)</f>
        <v>20</v>
      </c>
      <c r="D20" s="800" t="s">
        <v>1749</v>
      </c>
      <c r="E20" s="773" t="s">
        <v>1737</v>
      </c>
      <c r="F20" s="798">
        <f>'数据-取费表'!B37</f>
        <v>1.4999999999999999E-2</v>
      </c>
      <c r="G20" s="3255"/>
      <c r="H20" s="1577" t="s">
        <v>1870</v>
      </c>
      <c r="I20" s="338" t="s">
        <v>1750</v>
      </c>
      <c r="J20" s="54">
        <f ca="1">ROUND(M20*M21/10000,0)</f>
        <v>2</v>
      </c>
      <c r="K20" s="802" t="s">
        <v>1751</v>
      </c>
      <c r="L20" s="773" t="s">
        <v>1752</v>
      </c>
      <c r="M20" s="631">
        <f>'数据-取费表'!B52</f>
        <v>8</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1880</v>
      </c>
      <c r="B21" s="773" t="s">
        <v>1753</v>
      </c>
      <c r="C21" s="53" t="s">
        <v>1754</v>
      </c>
      <c r="D21" s="800" t="s">
        <v>2285</v>
      </c>
      <c r="E21" s="773" t="s">
        <v>1755</v>
      </c>
      <c r="F21" s="798">
        <f>'数据-取费表'!B38</f>
        <v>1.4999999999999999E-2</v>
      </c>
      <c r="G21" s="3255"/>
      <c r="H21" s="2357"/>
      <c r="I21" s="782"/>
      <c r="J21" s="69"/>
      <c r="K21" s="804"/>
      <c r="L21" s="773" t="s">
        <v>1756</v>
      </c>
      <c r="M21" s="774">
        <f ca="1">INDIRECT("'数据-取费表'!r"&amp;$G$1)</f>
        <v>2169.7000000000003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1881</v>
      </c>
      <c r="B22" s="773" t="s">
        <v>1757</v>
      </c>
      <c r="C22" s="53"/>
      <c r="D22" s="2422" t="str">
        <f>IF(F23&lt;=1,"单利计息。","复利计息。")&amp;"建造成本、管理费用、销售费用产生的利息。"</f>
        <v>复利计息。建造成本、管理费用、销售费用产生的利息。</v>
      </c>
      <c r="E22" s="1894"/>
      <c r="F22" s="56"/>
      <c r="G22" s="1943"/>
      <c r="H22" s="1575" t="s">
        <v>1879</v>
      </c>
      <c r="I22" s="773" t="s">
        <v>1758</v>
      </c>
      <c r="J22" s="53">
        <f ca="1">ROUND(J14*M22,0)</f>
        <v>18</v>
      </c>
      <c r="K22" s="2335" t="s">
        <v>1759</v>
      </c>
      <c r="L22" s="773" t="s">
        <v>1737</v>
      </c>
      <c r="M22" s="805">
        <f ca="1">INDIRECT("'数据-取费表'!Ak"&amp;$G$1)</f>
        <v>0.01</v>
      </c>
    </row>
    <row r="23" spans="1:33" s="1945" customFormat="1" ht="18" customHeight="1">
      <c r="A23" s="1574" t="s">
        <v>1821</v>
      </c>
      <c r="B23" s="773" t="s">
        <v>2516</v>
      </c>
      <c r="C23" s="53">
        <f ca="1">ROUND(IF('数据-取费表'!B22&lt;=1,(C19+C20)*F24*F23/2,(C19+C20)*(POWER((1+F24),F23/2)-1)),0)</f>
        <v>79</v>
      </c>
      <c r="D23" s="2421" t="str">
        <f>IF(F23&lt;=1,"(建造成本+管理费用)×利率×(建设周期÷2)","(建造成本+管理费用)×((1+利率)^(建设周期÷2)-1)")</f>
        <v>(建造成本+管理费用)×((1+利率)^(建设周期÷2)-1)</v>
      </c>
      <c r="E23" s="773" t="s">
        <v>1760</v>
      </c>
      <c r="F23" s="631">
        <f>'数据-取费表'!B20</f>
        <v>2.5</v>
      </c>
      <c r="G23" s="3255"/>
      <c r="H23" s="1575" t="s">
        <v>1880</v>
      </c>
      <c r="I23" s="773" t="s">
        <v>672</v>
      </c>
      <c r="J23" s="53">
        <f ca="1">ROUND(J13*M23,0)</f>
        <v>0</v>
      </c>
      <c r="K23" s="2335" t="s">
        <v>1761</v>
      </c>
      <c r="L23" s="773" t="s">
        <v>1737</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1822</v>
      </c>
      <c r="B24" s="773" t="s">
        <v>1762</v>
      </c>
      <c r="C24" s="53">
        <f ca="1">ROUND(IF('数据-取费表'!B22&lt;=1,F21*F24*F23/2,F21*(POWER((1+F24),F23/2)-1)),4)</f>
        <v>8.9999999999999998E-4</v>
      </c>
      <c r="D24" s="2421" t="str">
        <f>IF(F23&lt;=1,"销售费用×利率×(建设周期÷2)","销售费用×((1+利率)^(建设周期÷2)-1)")</f>
        <v>销售费用×((1+利率)^(建设周期÷2)-1)</v>
      </c>
      <c r="E24" s="773" t="s">
        <v>1763</v>
      </c>
      <c r="F24" s="807">
        <f ca="1">'数据-取费表'!B40</f>
        <v>4.7500000000000001E-2</v>
      </c>
      <c r="G24" s="3255"/>
      <c r="H24" s="2402" t="s">
        <v>1881</v>
      </c>
      <c r="I24" s="2397" t="s">
        <v>659</v>
      </c>
      <c r="J24" s="2395">
        <f ca="1">ROUND(J5*M24,0)</f>
        <v>0</v>
      </c>
      <c r="K24" s="2396" t="s">
        <v>1764</v>
      </c>
      <c r="L24" s="2397" t="s">
        <v>1737</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1830</v>
      </c>
      <c r="B25" s="773" t="s">
        <v>677</v>
      </c>
      <c r="C25" s="53"/>
      <c r="D25" s="258" t="s">
        <v>1765</v>
      </c>
      <c r="E25" s="1894"/>
      <c r="F25" s="56"/>
      <c r="G25" s="1943"/>
      <c r="H25" s="1742" t="s">
        <v>1766</v>
      </c>
      <c r="I25" s="2721" t="s">
        <v>2801</v>
      </c>
      <c r="J25" s="781">
        <f ca="1">J5-J16</f>
        <v>-170</v>
      </c>
      <c r="K25" s="2399" t="s">
        <v>1767</v>
      </c>
      <c r="L25" s="2400"/>
      <c r="M25" s="2401"/>
    </row>
    <row r="26" spans="1:33" ht="18" customHeight="1">
      <c r="A26" s="1574" t="s">
        <v>1821</v>
      </c>
      <c r="B26" s="773" t="s">
        <v>2421</v>
      </c>
      <c r="C26" s="53">
        <f ca="1">ROUND((C19+C20)*F26,0)</f>
        <v>264</v>
      </c>
      <c r="D26" s="800" t="s">
        <v>1768</v>
      </c>
      <c r="E26" s="784" t="s">
        <v>1769</v>
      </c>
      <c r="F26" s="783">
        <f ca="1">INDIRECT("'数据-取费表'!q"&amp;$G$1)</f>
        <v>0.2</v>
      </c>
      <c r="G26" s="1943"/>
      <c r="H26" s="2353" t="s">
        <v>1770</v>
      </c>
      <c r="I26" s="2110" t="s">
        <v>2806</v>
      </c>
      <c r="J26" s="772">
        <f ca="1">IF(J5&lt;&gt;0,ROUND(J25*(1-((1+M28)/(1+M26))^M27)/(M26-M28),0),0)</f>
        <v>0</v>
      </c>
      <c r="K26" s="802" t="s">
        <v>1771</v>
      </c>
      <c r="L26" s="773" t="s">
        <v>2403</v>
      </c>
      <c r="M26" s="783">
        <f ca="1">INDIRECT("'数据-取费表'!I"&amp;$G$1)</f>
        <v>5.5E-2</v>
      </c>
    </row>
    <row r="27" spans="1:33" ht="18" customHeight="1">
      <c r="A27" s="1574" t="s">
        <v>1822</v>
      </c>
      <c r="B27" s="773" t="s">
        <v>679</v>
      </c>
      <c r="C27" s="53">
        <f ca="1">ROUND(F21*F26,4)</f>
        <v>3.0000000000000001E-3</v>
      </c>
      <c r="D27" s="800" t="s">
        <v>1772</v>
      </c>
      <c r="E27" s="795"/>
      <c r="F27" s="796"/>
      <c r="G27" s="1943"/>
      <c r="H27" s="2354"/>
      <c r="I27" s="776"/>
      <c r="J27" s="777"/>
      <c r="K27" s="809" t="s">
        <v>1773</v>
      </c>
      <c r="L27" s="773" t="s">
        <v>1774</v>
      </c>
      <c r="M27" s="810">
        <f ca="1">INDIRECT("'数据-取费表'!ag"&amp;$G$1)</f>
        <v>0</v>
      </c>
    </row>
    <row r="28" spans="1:33" s="1945" customFormat="1" ht="18" customHeight="1">
      <c r="A28" s="1576" t="s">
        <v>1831</v>
      </c>
      <c r="B28" s="773" t="s">
        <v>680</v>
      </c>
      <c r="C28" s="53">
        <f>ROUND(F28/(1+'数据-取费表'!C42),4)</f>
        <v>5.2400000000000002E-2</v>
      </c>
      <c r="D28" s="800" t="s">
        <v>2286</v>
      </c>
      <c r="E28" s="773" t="s">
        <v>1775</v>
      </c>
      <c r="F28" s="798">
        <f>'数据-取费表'!B41</f>
        <v>5.5000000000000007E-2</v>
      </c>
      <c r="G28" s="3255"/>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1882</v>
      </c>
      <c r="B29" s="2392" t="s">
        <v>2287</v>
      </c>
      <c r="C29" s="2395">
        <f ca="1">ROUND((C19+C20+C23+C26)/(1-F21-C24-C27-C28),0)</f>
        <v>1791</v>
      </c>
      <c r="D29" s="2396"/>
      <c r="E29" s="2397"/>
      <c r="F29" s="2398"/>
      <c r="G29" s="3255"/>
      <c r="H29" s="811" t="s">
        <v>1777</v>
      </c>
      <c r="I29" s="812" t="s">
        <v>1778</v>
      </c>
      <c r="J29" s="813">
        <f ca="1">ROUND(J26/(1+F40)^F41,0)</f>
        <v>0</v>
      </c>
      <c r="K29" s="814" t="s">
        <v>1779</v>
      </c>
      <c r="L29" s="815"/>
      <c r="M29" s="816">
        <f ca="1">INDIRECT("'数据-取费表'!k"&amp;$G$1)</f>
        <v>6189.98</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88</v>
      </c>
      <c r="D30" s="1734" t="s">
        <v>1781</v>
      </c>
      <c r="E30" s="2337"/>
      <c r="F30" s="2342"/>
      <c r="G30" s="1943"/>
      <c r="H30" s="1946"/>
      <c r="I30" s="1947"/>
      <c r="J30" s="1948"/>
      <c r="K30" s="1949"/>
      <c r="L30" s="1950"/>
      <c r="M30" s="1951"/>
    </row>
    <row r="31" spans="1:33" ht="18" customHeight="1">
      <c r="A31" s="1575" t="s">
        <v>1820</v>
      </c>
      <c r="B31" s="773" t="s">
        <v>649</v>
      </c>
      <c r="C31" s="3013">
        <f ca="1">ROUND(IF(AND(项目基本情况!B11="自然人",项目基本情况!B10="北京市"),C6*F31/(1+'数据-取费表'!C42),C32+C33+C34),0)</f>
        <v>64</v>
      </c>
      <c r="D31" s="1891" t="s">
        <v>1782</v>
      </c>
      <c r="E31" s="1889" t="s">
        <v>1783</v>
      </c>
      <c r="F31" s="3012" t="str">
        <f>IF(项目基本情况!B11="企业","——",IF('数据-取费表'!B10="住宅",IF(F6*F7*F8/12/(1+'数据-取费表'!F30)&gt;100000,4%,2.5%),IF(F6*F7*F8/12/(1+'数据-取费表'!F30)&gt;100000,12%,7%)))</f>
        <v>——</v>
      </c>
      <c r="G31" s="1943"/>
      <c r="H31" s="3252" t="s">
        <v>2996</v>
      </c>
      <c r="I31" s="1947"/>
      <c r="J31" s="1948"/>
      <c r="K31" s="1949"/>
      <c r="L31" s="1950"/>
      <c r="M31" s="1951"/>
    </row>
    <row r="32" spans="1:33" ht="18" customHeight="1">
      <c r="A32" s="1574" t="s">
        <v>1821</v>
      </c>
      <c r="B32" s="773" t="s">
        <v>1784</v>
      </c>
      <c r="C32" s="53">
        <f ca="1">ROUND(C6*F32/(1+'数据-取费表'!C42),1)</f>
        <v>19.7</v>
      </c>
      <c r="D32" s="1889" t="s">
        <v>1785</v>
      </c>
      <c r="E32" s="773" t="s">
        <v>1786</v>
      </c>
      <c r="F32" s="798">
        <f>'数据-取费表'!B41</f>
        <v>5.5000000000000007E-2</v>
      </c>
      <c r="G32" s="1943"/>
      <c r="H32" s="1952"/>
      <c r="I32" s="1953"/>
      <c r="J32" s="1954"/>
      <c r="K32" s="1955"/>
      <c r="L32" s="1956"/>
      <c r="M32" s="1957"/>
    </row>
    <row r="33" spans="1:18" ht="18" customHeight="1">
      <c r="A33" s="1574" t="s">
        <v>1822</v>
      </c>
      <c r="B33" s="773" t="s">
        <v>1787</v>
      </c>
      <c r="C33" s="53">
        <f ca="1">IF(D33="按租金收入计税",ROUND(C6*F33/(1+'数据-取费表'!C42),1),IF(D33="按房产原值计税",ROUND(C29*F33*0.7,1),INDIRECT("'数据-取费表'!Aj"&amp;$G$1)))</f>
        <v>43</v>
      </c>
      <c r="D33" s="799" t="s">
        <v>3566</v>
      </c>
      <c r="E33" s="773" t="s">
        <v>1786</v>
      </c>
      <c r="F33" s="798">
        <f>IF(D33="按租金收入计税",'数据-取费表'!B51,'数据-取费表'!B50)</f>
        <v>0.12</v>
      </c>
      <c r="G33" s="1943"/>
      <c r="H33" s="1958"/>
      <c r="I33" s="1958"/>
      <c r="J33" s="1958"/>
      <c r="K33" s="1959"/>
      <c r="L33" s="1958"/>
      <c r="M33" s="1958"/>
    </row>
    <row r="34" spans="1:18" ht="18" customHeight="1">
      <c r="A34" s="1577" t="s">
        <v>1823</v>
      </c>
      <c r="B34" s="338" t="s">
        <v>1788</v>
      </c>
      <c r="C34" s="54">
        <f ca="1">ROUND(F34*F35/10000,1)</f>
        <v>1.7</v>
      </c>
      <c r="D34" s="802" t="s">
        <v>1789</v>
      </c>
      <c r="E34" s="773" t="s">
        <v>1790</v>
      </c>
      <c r="F34" s="631">
        <f>'数据-取费表'!B52</f>
        <v>8</v>
      </c>
      <c r="G34" s="1943"/>
      <c r="H34" s="1946"/>
      <c r="I34" s="823" t="s">
        <v>1803</v>
      </c>
      <c r="J34" s="824"/>
      <c r="K34" s="1961"/>
      <c r="L34" s="1960"/>
      <c r="M34" s="1960"/>
    </row>
    <row r="35" spans="1:18" ht="18" customHeight="1">
      <c r="A35" s="803"/>
      <c r="B35" s="782"/>
      <c r="C35" s="69"/>
      <c r="D35" s="804"/>
      <c r="E35" s="773" t="s">
        <v>1791</v>
      </c>
      <c r="F35" s="774">
        <f ca="1">INDIRECT("'数据-取费表'!r"&amp;$G$1)</f>
        <v>2169.7000000000003</v>
      </c>
      <c r="G35" s="1943"/>
      <c r="H35" s="1946"/>
      <c r="I35" s="825" t="s">
        <v>1804</v>
      </c>
      <c r="J35" s="826">
        <f ca="1">ROUND(C13*J36,0)</f>
        <v>152</v>
      </c>
      <c r="K35" s="1959"/>
      <c r="L35" s="1958"/>
      <c r="M35" s="1958"/>
    </row>
    <row r="36" spans="1:18" ht="18" customHeight="1">
      <c r="A36" s="1575" t="s">
        <v>1879</v>
      </c>
      <c r="B36" s="773" t="s">
        <v>1792</v>
      </c>
      <c r="C36" s="53">
        <f ca="1">ROUND(C29*F36,1)</f>
        <v>17.899999999999999</v>
      </c>
      <c r="D36" s="1889" t="s">
        <v>1793</v>
      </c>
      <c r="E36" s="773" t="s">
        <v>1786</v>
      </c>
      <c r="F36" s="805">
        <f ca="1">INDIRECT("'数据-取费表'!Ak"&amp;$G$1)</f>
        <v>0.01</v>
      </c>
      <c r="G36" s="1943"/>
      <c r="H36" s="1958"/>
      <c r="I36" s="827" t="s">
        <v>1805</v>
      </c>
      <c r="J36" s="828">
        <f ca="1">INDIRECT("'数据-取费表'!j"&amp;$G$1)</f>
        <v>8.5000000000000006E-2</v>
      </c>
      <c r="K36" s="1962"/>
      <c r="L36" s="1958"/>
      <c r="M36" s="1958"/>
    </row>
    <row r="37" spans="1:18" ht="18" customHeight="1">
      <c r="A37" s="1575" t="s">
        <v>1880</v>
      </c>
      <c r="B37" s="773" t="s">
        <v>672</v>
      </c>
      <c r="C37" s="53">
        <f ca="1">ROUND(C13*F37,1)</f>
        <v>2.7</v>
      </c>
      <c r="D37" s="1889" t="s">
        <v>1794</v>
      </c>
      <c r="E37" s="773" t="s">
        <v>1786</v>
      </c>
      <c r="F37" s="806">
        <f ca="1">INDIRECT("'数据-取费表'!Al"&amp;$G$1)</f>
        <v>1.5E-3</v>
      </c>
      <c r="G37" s="1943"/>
      <c r="H37" s="1958"/>
      <c r="I37" s="829" t="s">
        <v>1806</v>
      </c>
      <c r="J37" s="830"/>
      <c r="K37" s="1962"/>
      <c r="L37" s="1958"/>
      <c r="M37" s="1958"/>
    </row>
    <row r="38" spans="1:18" ht="18" customHeight="1" thickBot="1">
      <c r="A38" s="2402" t="s">
        <v>1881</v>
      </c>
      <c r="B38" s="2397" t="s">
        <v>659</v>
      </c>
      <c r="C38" s="2395">
        <f ca="1">ROUND(C5*F38,1)</f>
        <v>3.8</v>
      </c>
      <c r="D38" s="2396" t="s">
        <v>1795</v>
      </c>
      <c r="E38" s="2397" t="s">
        <v>1786</v>
      </c>
      <c r="F38" s="2393">
        <f ca="1">INDIRECT("'数据-取费表'!Am"&amp;$G$1)</f>
        <v>0.01</v>
      </c>
      <c r="G38" s="1943"/>
      <c r="H38" s="1958"/>
      <c r="I38" s="831" t="s">
        <v>1807</v>
      </c>
      <c r="J38" s="832"/>
      <c r="K38" s="1963"/>
      <c r="L38" s="1958"/>
      <c r="M38" s="1958"/>
    </row>
    <row r="39" spans="1:18" ht="24.6" customHeight="1" thickTop="1">
      <c r="A39" s="1742" t="s">
        <v>1884</v>
      </c>
      <c r="B39" s="2721" t="s">
        <v>2801</v>
      </c>
      <c r="C39" s="781">
        <f ca="1">C5-C30</f>
        <v>288</v>
      </c>
      <c r="D39" s="2399" t="s">
        <v>1796</v>
      </c>
      <c r="E39" s="2400"/>
      <c r="F39" s="2401"/>
      <c r="G39" s="1943"/>
      <c r="H39" s="1958"/>
      <c r="I39" s="825" t="s">
        <v>1808</v>
      </c>
      <c r="J39" s="833">
        <f ca="1">ROUND(J35/C39,3)</f>
        <v>0.52800000000000002</v>
      </c>
      <c r="K39" s="1963"/>
      <c r="L39" s="1958"/>
      <c r="M39" s="1958"/>
    </row>
    <row r="40" spans="1:18" ht="18" customHeight="1">
      <c r="A40" s="770" t="s">
        <v>1885</v>
      </c>
      <c r="B40" s="2110" t="s">
        <v>2288</v>
      </c>
      <c r="C40" s="772">
        <f ca="1">ROUND(C39*(1-((1+F42)/(1+F40))^F41)/(F40-F42),0)</f>
        <v>6231</v>
      </c>
      <c r="D40" s="802" t="s">
        <v>1797</v>
      </c>
      <c r="E40" s="773" t="s">
        <v>2403</v>
      </c>
      <c r="F40" s="783">
        <f ca="1">INDIRECT("'数据-取费表'!I"&amp;$G$1)</f>
        <v>5.5E-2</v>
      </c>
      <c r="G40" s="1943"/>
      <c r="H40" s="1943"/>
      <c r="I40" s="825" t="s">
        <v>1809</v>
      </c>
      <c r="J40" s="833">
        <f ca="1">1-J39</f>
        <v>0.47199999999999998</v>
      </c>
      <c r="K40" s="1963"/>
      <c r="L40" s="1943"/>
      <c r="M40" s="1943"/>
    </row>
    <row r="41" spans="1:18" ht="18" customHeight="1">
      <c r="A41" s="775"/>
      <c r="B41" s="776"/>
      <c r="C41" s="777"/>
      <c r="D41" s="809" t="s">
        <v>1798</v>
      </c>
      <c r="E41" s="773" t="s">
        <v>2928</v>
      </c>
      <c r="F41" s="810">
        <f ca="1">IF(INDIRECT("'数据-取费表'!af"&amp;$G$1)=0,INDIRECT("'数据-取费表'!ae"&amp;$G$1),INDIRECT("'数据-取费表'!af"&amp;$G$1))</f>
        <v>36.299999999999997</v>
      </c>
      <c r="G41" s="1943"/>
      <c r="H41" s="1898"/>
      <c r="I41" s="831" t="s">
        <v>1810</v>
      </c>
      <c r="J41" s="834"/>
      <c r="K41" s="1962"/>
      <c r="L41" s="1898"/>
      <c r="M41" s="1898"/>
    </row>
    <row r="42" spans="1:18" ht="18" customHeight="1">
      <c r="A42" s="779"/>
      <c r="B42" s="780"/>
      <c r="C42" s="781"/>
      <c r="D42" s="804"/>
      <c r="E42" s="773" t="s">
        <v>1799</v>
      </c>
      <c r="F42" s="783">
        <f ca="1">INDIRECT("'数据-取费表'!v"&amp;$G$1)</f>
        <v>2.5000000000000001E-2</v>
      </c>
      <c r="G42" s="1943"/>
      <c r="H42" s="1898"/>
      <c r="I42" s="835" t="s">
        <v>1811</v>
      </c>
      <c r="J42" s="833">
        <f ca="1">ROUND(C13/C40,3)</f>
        <v>0.28699999999999998</v>
      </c>
      <c r="K42" s="1962"/>
      <c r="L42" s="1898"/>
      <c r="M42" s="1898"/>
    </row>
    <row r="43" spans="1:18" ht="18" customHeight="1" thickBot="1">
      <c r="A43" s="811" t="s">
        <v>1777</v>
      </c>
      <c r="B43" s="812" t="s">
        <v>1800</v>
      </c>
      <c r="C43" s="813">
        <f ca="1">ROUND(C40*10000/F43,0)</f>
        <v>10066</v>
      </c>
      <c r="D43" s="814" t="s">
        <v>1801</v>
      </c>
      <c r="E43" s="815" t="s">
        <v>1802</v>
      </c>
      <c r="F43" s="816">
        <f ca="1">INDIRECT("'数据-取费表'!k"&amp;$G$1)</f>
        <v>6189.98</v>
      </c>
      <c r="G43" s="1943"/>
      <c r="H43" s="1898"/>
      <c r="I43" s="835" t="s">
        <v>1812</v>
      </c>
      <c r="J43" s="836">
        <f ca="1">1-J42</f>
        <v>0.71300000000000008</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4">
        <f ca="1">C67-C40</f>
        <v>-6589</v>
      </c>
      <c r="D46" s="3256"/>
      <c r="E46" s="3256"/>
      <c r="F46" s="3256"/>
      <c r="I46" s="2231" t="s">
        <v>2327</v>
      </c>
      <c r="J46" s="2232"/>
      <c r="K46" s="2233"/>
      <c r="L46" s="2805">
        <f>IF(OR(M47="住宅",D1="土地（套用方法）"),0,IF(L48&gt;J51,L60,J60))</f>
        <v>0</v>
      </c>
      <c r="M46" s="3257"/>
      <c r="O46" s="2247" t="s">
        <v>2394</v>
      </c>
      <c r="P46" s="1524"/>
      <c r="Q46" s="1532"/>
      <c r="R46" s="1524"/>
    </row>
    <row r="47" spans="1:18" s="1940" customFormat="1" ht="18" customHeight="1" thickBot="1">
      <c r="A47" s="2225">
        <v>1</v>
      </c>
      <c r="B47" s="2226" t="s">
        <v>628</v>
      </c>
      <c r="C47" s="2424">
        <f ca="1">C48+C52+C54</f>
        <v>0</v>
      </c>
      <c r="D47" s="3256"/>
      <c r="E47" s="3256"/>
      <c r="F47" s="3256"/>
      <c r="I47" s="2796" t="s">
        <v>2328</v>
      </c>
      <c r="J47" s="2234" t="s">
        <v>3544</v>
      </c>
      <c r="K47" s="2802" t="s">
        <v>2333</v>
      </c>
      <c r="L47" s="2806">
        <f ca="1">INDIRECT("'数据-取费表'!d"&amp;$G$1)</f>
        <v>40</v>
      </c>
      <c r="M47" s="1532" t="str">
        <f>IF(ISNUMBER(FIND("住宅",C1)),"住宅","非住宅")</f>
        <v>非住宅</v>
      </c>
      <c r="O47" s="2248" t="s">
        <v>2359</v>
      </c>
      <c r="P47" s="2249" t="s">
        <v>2360</v>
      </c>
      <c r="Q47" s="2250" t="s">
        <v>2361</v>
      </c>
      <c r="R47" s="2249" t="s">
        <v>2362</v>
      </c>
    </row>
    <row r="48" spans="1:18" s="1940" customFormat="1" ht="18" customHeight="1" thickBot="1">
      <c r="A48" s="2482" t="s">
        <v>2518</v>
      </c>
      <c r="B48" s="2483" t="s">
        <v>2519</v>
      </c>
      <c r="C48" s="2227">
        <f ca="1">ROUND(F48*F50*F49*(1-F51)/10000,0)</f>
        <v>0</v>
      </c>
      <c r="D48" s="2228" t="s">
        <v>629</v>
      </c>
      <c r="E48" s="2229" t="s">
        <v>2283</v>
      </c>
      <c r="F48" s="2230"/>
      <c r="G48" s="1970"/>
      <c r="I48" s="2793" t="s">
        <v>2329</v>
      </c>
      <c r="J48" s="2235" t="s">
        <v>2334</v>
      </c>
      <c r="K48" s="2803" t="s">
        <v>2335</v>
      </c>
      <c r="L48" s="1820">
        <f ca="1">INDIRECT("'数据-取费表'!f"&amp;$G$1)</f>
        <v>38.799999999999997</v>
      </c>
      <c r="M48" s="3257"/>
      <c r="O48" s="2251" t="s">
        <v>2363</v>
      </c>
      <c r="P48" s="2252" t="s">
        <v>2389</v>
      </c>
      <c r="Q48" s="2253">
        <f ca="1">C40+J29</f>
        <v>6231</v>
      </c>
      <c r="R48" s="2252" t="s">
        <v>2364</v>
      </c>
    </row>
    <row r="49" spans="1:18" s="1940" customFormat="1" ht="18" customHeight="1" thickBot="1">
      <c r="A49" s="775"/>
      <c r="B49" s="776"/>
      <c r="C49" s="777"/>
      <c r="D49" s="778"/>
      <c r="E49" s="773" t="s">
        <v>1729</v>
      </c>
      <c r="F49" s="774">
        <f ca="1">F7</f>
        <v>6189.98</v>
      </c>
      <c r="G49" s="1970"/>
      <c r="H49" s="1973"/>
      <c r="I49" s="2793" t="s">
        <v>2330</v>
      </c>
      <c r="J49" s="2236">
        <v>2022</v>
      </c>
      <c r="K49" s="2804" t="s">
        <v>2336</v>
      </c>
      <c r="L49" s="2237"/>
      <c r="M49" s="3257"/>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3" t="s">
        <v>2331</v>
      </c>
      <c r="J50" s="2800">
        <f>SUMPRODUCT((I63:I65=J47)*(J62:L62=J48)*(J63:L65))</f>
        <v>60</v>
      </c>
      <c r="K50" s="2804" t="s">
        <v>2337</v>
      </c>
      <c r="L50" s="2237"/>
      <c r="M50" s="3257"/>
      <c r="O50" s="2254" t="s">
        <v>2367</v>
      </c>
      <c r="P50" s="2252" t="s">
        <v>2391</v>
      </c>
      <c r="Q50" s="2253">
        <f ca="1">C29</f>
        <v>1791</v>
      </c>
      <c r="R50" s="2252" t="s">
        <v>2364</v>
      </c>
    </row>
    <row r="51" spans="1:18" s="1940" customFormat="1" ht="18" customHeight="1" thickBot="1">
      <c r="A51" s="775"/>
      <c r="B51" s="776"/>
      <c r="C51" s="777"/>
      <c r="D51" s="778"/>
      <c r="E51" s="773" t="s">
        <v>633</v>
      </c>
      <c r="F51" s="2224"/>
      <c r="H51" s="1973"/>
      <c r="I51" s="2797" t="s">
        <v>2332</v>
      </c>
      <c r="J51" s="2801">
        <f>IF(J49="",J50,J49+J50-YEAR('数据-取费表'!B2))</f>
        <v>61</v>
      </c>
      <c r="K51" s="2793" t="s">
        <v>2338</v>
      </c>
      <c r="L51" s="2807">
        <f ca="1">ROUND(-PV(INDIRECT("'数据-取费表'!h"&amp;$G$1),J51,(C39-C13*J36),0),0)</f>
        <v>2577</v>
      </c>
      <c r="M51" s="3257"/>
      <c r="O51" s="2254" t="s">
        <v>2368</v>
      </c>
      <c r="P51" s="2252" t="s">
        <v>2369</v>
      </c>
      <c r="Q51" s="2255" t="e">
        <f ca="1">J58</f>
        <v>#VALUE!</v>
      </c>
      <c r="R51" s="2256"/>
    </row>
    <row r="52" spans="1:18" s="1940" customFormat="1" ht="18" customHeight="1" thickBot="1">
      <c r="A52" s="770" t="s">
        <v>2517</v>
      </c>
      <c r="B52" s="2345" t="s">
        <v>2440</v>
      </c>
      <c r="C52" s="788">
        <f ca="1">ROUND(IF(F52="押一",C48/12*F11,IF(F52="押二",C48/12*2*F11,IF(F52="押三",C48/12*3*F11,C53*F11))),0)</f>
        <v>0</v>
      </c>
      <c r="D52" s="2352" t="s">
        <v>2938</v>
      </c>
      <c r="E52" s="2349" t="s">
        <v>2445</v>
      </c>
      <c r="F52" s="2463"/>
      <c r="I52" s="2798" t="s">
        <v>2405</v>
      </c>
      <c r="J52" s="2238">
        <v>0.09</v>
      </c>
      <c r="K52" s="2798" t="s">
        <v>2404</v>
      </c>
      <c r="L52" s="2238"/>
      <c r="M52" s="3257"/>
      <c r="O52" s="2254" t="s">
        <v>2370</v>
      </c>
      <c r="P52" s="2252" t="s">
        <v>2371</v>
      </c>
      <c r="Q52" s="2255">
        <f>J52</f>
        <v>0.09</v>
      </c>
      <c r="R52" s="2256"/>
    </row>
    <row r="53" spans="1:18" s="1940" customFormat="1" ht="39.75" customHeight="1" thickBot="1">
      <c r="A53" s="775"/>
      <c r="B53" s="2346" t="s">
        <v>2554</v>
      </c>
      <c r="C53" s="2350"/>
      <c r="D53" s="2352"/>
      <c r="E53" s="2349"/>
      <c r="F53" s="789"/>
      <c r="I53" s="2799" t="s">
        <v>2941</v>
      </c>
      <c r="J53" s="2852">
        <f ca="1">IF(M47="住宅",IF(D1="——",MAX(J51,L48),MAX(J51,L48-'数据-取费表'!B20)),IF(D1="——",MIN(J51,L48),MIN(J51,L48-'数据-取费表'!B20)))</f>
        <v>36.299999999999997</v>
      </c>
      <c r="K53" s="3588" t="s">
        <v>2930</v>
      </c>
      <c r="L53" s="3589"/>
      <c r="M53" s="3257"/>
      <c r="O53" s="2254" t="s">
        <v>2372</v>
      </c>
      <c r="P53" s="2252" t="s">
        <v>2373</v>
      </c>
      <c r="Q53" s="2253">
        <f ca="1">J53</f>
        <v>36.299999999999997</v>
      </c>
      <c r="R53" s="2252" t="s">
        <v>2374</v>
      </c>
    </row>
    <row r="54" spans="1:18" s="1940" customFormat="1" ht="18" customHeight="1" thickBot="1">
      <c r="A54" s="2388" t="s">
        <v>2448</v>
      </c>
      <c r="B54" s="2389" t="s">
        <v>2441</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7"/>
      <c r="O54" s="2251" t="s">
        <v>2375</v>
      </c>
      <c r="P54" s="2252" t="s">
        <v>2392</v>
      </c>
      <c r="Q54" s="2253">
        <f ca="1">Q48+Q49</f>
        <v>6231</v>
      </c>
      <c r="R54" s="2256" t="s">
        <v>2376</v>
      </c>
    </row>
    <row r="55" spans="1:18" s="1940" customFormat="1" ht="18" customHeight="1" thickTop="1" thickBot="1">
      <c r="A55" s="786">
        <v>2</v>
      </c>
      <c r="B55" s="787" t="s">
        <v>637</v>
      </c>
      <c r="C55" s="788">
        <f ca="1">C13</f>
        <v>1791</v>
      </c>
      <c r="D55" s="784"/>
      <c r="E55" s="784"/>
      <c r="F55" s="789"/>
      <c r="I55" s="2810" t="s">
        <v>2339</v>
      </c>
      <c r="J55" s="2782" t="e">
        <f ca="1">ROUND(IF(J47="钢混",J57/J50,1-(1-2%)*(J50-J57)/J50),3)</f>
        <v>#VALUE!</v>
      </c>
      <c r="K55" s="2811" t="s">
        <v>2340</v>
      </c>
      <c r="L55" s="2239"/>
      <c r="M55" s="3257"/>
      <c r="O55" s="2257" t="s">
        <v>2395</v>
      </c>
      <c r="P55" s="1524"/>
      <c r="Q55" s="1532"/>
      <c r="R55" s="1524"/>
    </row>
    <row r="56" spans="1:18" s="1940" customFormat="1" ht="42.75" customHeight="1" thickBot="1">
      <c r="A56" s="1576"/>
      <c r="B56" s="2109" t="s">
        <v>2289</v>
      </c>
      <c r="C56" s="53">
        <f ca="1">C29</f>
        <v>1791</v>
      </c>
      <c r="D56" s="2479"/>
      <c r="E56" s="773"/>
      <c r="F56" s="798"/>
      <c r="I56" s="2812" t="s">
        <v>2341</v>
      </c>
      <c r="J56" s="2822" t="s">
        <v>1668</v>
      </c>
      <c r="K56" s="2793" t="s">
        <v>2346</v>
      </c>
      <c r="L56" s="1820" t="str">
        <f ca="1">IF(L48&lt;J51,"——",L48-J51)</f>
        <v>——</v>
      </c>
      <c r="M56" s="3257"/>
      <c r="O56" s="2248" t="s">
        <v>2359</v>
      </c>
      <c r="P56" s="2249" t="s">
        <v>2360</v>
      </c>
      <c r="Q56" s="2250" t="s">
        <v>2361</v>
      </c>
      <c r="R56" s="2249" t="s">
        <v>2362</v>
      </c>
    </row>
    <row r="57" spans="1:18" s="1940" customFormat="1" ht="28.5" customHeight="1" thickBot="1">
      <c r="A57" s="786" t="s">
        <v>1738</v>
      </c>
      <c r="B57" s="787" t="s">
        <v>644</v>
      </c>
      <c r="C57" s="788">
        <f ca="1">ROUND(C58+C63+C64+C65,0)</f>
        <v>23</v>
      </c>
      <c r="D57" s="26" t="s">
        <v>1740</v>
      </c>
      <c r="E57" s="2480"/>
      <c r="F57" s="56"/>
      <c r="I57" s="2813" t="s">
        <v>2342</v>
      </c>
      <c r="J57" s="2814" t="str">
        <f ca="1">IF(OR(M47="住宅",J51&lt;L48,J56="是"),"——",J51-L48)</f>
        <v>——</v>
      </c>
      <c r="K57" s="2793" t="s">
        <v>2347</v>
      </c>
      <c r="L57" s="1820" t="str">
        <f ca="1">IF(L48&lt;J51,"——",IF(L55="比较法",L49,IF(L55="基准地价",L50,L51)))</f>
        <v>——</v>
      </c>
      <c r="M57" s="3257"/>
      <c r="O57" s="2251" t="s">
        <v>2363</v>
      </c>
      <c r="P57" s="2252" t="s">
        <v>2393</v>
      </c>
      <c r="Q57" s="2253">
        <f ca="1">C40+J29</f>
        <v>6231</v>
      </c>
      <c r="R57" s="2252" t="s">
        <v>2364</v>
      </c>
    </row>
    <row r="58" spans="1:18" s="1940" customFormat="1" ht="28.5" customHeight="1" thickBot="1">
      <c r="A58" s="1575" t="s">
        <v>1814</v>
      </c>
      <c r="B58" s="773" t="s">
        <v>649</v>
      </c>
      <c r="C58" s="3013">
        <f ca="1">ROUND(IF(AND(项目基本情况!B11="自然人",项目基本情况!B10="北京市"),C48*F58/(1+'数据-取费表'!C42),C59+C60+C61),0)</f>
        <v>2</v>
      </c>
      <c r="D58" s="2478" t="s">
        <v>650</v>
      </c>
      <c r="E58" s="2479" t="s">
        <v>683</v>
      </c>
      <c r="F58" s="3012" t="str">
        <f>IF(项目基本情况!B11="企业","——",IF('数据-取费表'!B10="住宅",IF(F48*F49*F50/12/(1+'数据-取费表'!F30)&gt;100000,4%,2.5%),IF(F48*F49*F50/12/(1+'数据-取费表'!F30)&gt;100000,12%,7%)))</f>
        <v>——</v>
      </c>
      <c r="I58" s="2813" t="s">
        <v>2343</v>
      </c>
      <c r="J58" s="2783" t="e">
        <f ca="1">IF(J55&lt;0.4,0.4,J55)</f>
        <v>#VALUE!</v>
      </c>
      <c r="K58" s="2793" t="s">
        <v>2348</v>
      </c>
      <c r="L58" s="1820" t="e">
        <f ca="1">ROUND(POWER(1+L52,L47-L48)*(POWER(1+L52,L48)-1)/(POWER(1+L52,L47)-1),4)</f>
        <v>#DIV/0!</v>
      </c>
      <c r="M58" s="3257"/>
      <c r="O58" s="2251" t="s">
        <v>2365</v>
      </c>
      <c r="P58" s="2252" t="s">
        <v>2396</v>
      </c>
      <c r="Q58" s="2253">
        <f ca="1">L60</f>
        <v>0</v>
      </c>
      <c r="R58" s="2256" t="s">
        <v>2398</v>
      </c>
    </row>
    <row r="59" spans="1:18" s="1940" customFormat="1" ht="28.5" customHeight="1" thickBot="1">
      <c r="A59" s="1574" t="s">
        <v>1821</v>
      </c>
      <c r="B59" s="773" t="s">
        <v>653</v>
      </c>
      <c r="C59" s="53">
        <f ca="1">ROUND(C47*F59/1.05,1)</f>
        <v>0</v>
      </c>
      <c r="D59" s="2479" t="s">
        <v>1746</v>
      </c>
      <c r="E59" s="773" t="s">
        <v>1737</v>
      </c>
      <c r="F59" s="798">
        <f t="shared" ref="F59:F65" si="0">F32</f>
        <v>5.5000000000000007E-2</v>
      </c>
      <c r="I59" s="2813" t="s">
        <v>2344</v>
      </c>
      <c r="J59" s="2814" t="str">
        <f ca="1">IF(OR(M47="住宅",J51&lt;L48,J56="是"),"——",ROUND(C29*J58,0))</f>
        <v>——</v>
      </c>
      <c r="K59" s="2793"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7"/>
      <c r="O59" s="2254" t="s">
        <v>2367</v>
      </c>
      <c r="P59" s="2252" t="s">
        <v>2397</v>
      </c>
      <c r="Q59" s="2253">
        <f>IF(L55="比较法",L49,IF(L55="基准地价",L50,0))</f>
        <v>0</v>
      </c>
      <c r="R59" s="2252" t="s">
        <v>2364</v>
      </c>
    </row>
    <row r="60" spans="1:18" s="1940" customFormat="1" ht="18" customHeight="1" thickBot="1">
      <c r="A60" s="1574" t="s">
        <v>1822</v>
      </c>
      <c r="B60" s="773" t="s">
        <v>1748</v>
      </c>
      <c r="C60" s="53">
        <f ca="1">IF(D60="按租金收入计税",ROUND(C47*F60,1),IF(D60="按房产原值计税",ROUND(C56*F60*0.7,1),INDIRECT("'数据-取费表'!Aj"&amp;$G$1)))</f>
        <v>0</v>
      </c>
      <c r="D60" s="2479" t="str">
        <f>D33</f>
        <v>按租金收入计税</v>
      </c>
      <c r="E60" s="773" t="s">
        <v>1737</v>
      </c>
      <c r="F60" s="798">
        <f t="shared" si="0"/>
        <v>0.12</v>
      </c>
      <c r="I60" s="2815" t="s">
        <v>2345</v>
      </c>
      <c r="J60" s="2816" t="str">
        <f ca="1">IF(OR(M47="住宅",J51&lt;L48,J56="是"),"0",ROUND(J59/(1+J52)^J53,0))</f>
        <v>0</v>
      </c>
      <c r="K60" s="2817" t="s">
        <v>2350</v>
      </c>
      <c r="L60" s="2816">
        <f ca="1">IF(OR(M47="住宅",L48&lt;J51),0,ROUND(L57*(L58/L59-1),0))</f>
        <v>0</v>
      </c>
      <c r="M60" s="3257"/>
      <c r="O60" s="2254" t="s">
        <v>2368</v>
      </c>
      <c r="P60" s="2252" t="s">
        <v>2377</v>
      </c>
      <c r="Q60" s="2255">
        <f>L52</f>
        <v>0</v>
      </c>
      <c r="R60" s="2256"/>
    </row>
    <row r="61" spans="1:18" s="1940" customFormat="1" ht="18" customHeight="1" thickBot="1">
      <c r="A61" s="1577" t="s">
        <v>1823</v>
      </c>
      <c r="B61" s="338" t="s">
        <v>661</v>
      </c>
      <c r="C61" s="54">
        <f ca="1">ROUND(F61*F62/10000,1)</f>
        <v>1.7</v>
      </c>
      <c r="D61" s="802" t="s">
        <v>662</v>
      </c>
      <c r="E61" s="773" t="s">
        <v>663</v>
      </c>
      <c r="F61" s="631">
        <f t="shared" si="0"/>
        <v>8</v>
      </c>
      <c r="K61" s="1966"/>
      <c r="O61" s="2254" t="s">
        <v>2370</v>
      </c>
      <c r="P61" s="2252" t="s">
        <v>2378</v>
      </c>
      <c r="Q61" s="2253" t="e">
        <f ca="1">L58</f>
        <v>#DIV/0!</v>
      </c>
      <c r="R61" s="2256" t="s">
        <v>2379</v>
      </c>
    </row>
    <row r="62" spans="1:18" s="1940" customFormat="1" ht="15.75" thickBot="1">
      <c r="A62" s="803"/>
      <c r="B62" s="782"/>
      <c r="C62" s="69"/>
      <c r="D62" s="804"/>
      <c r="E62" s="773" t="s">
        <v>667</v>
      </c>
      <c r="F62" s="774">
        <f t="shared" ca="1" si="0"/>
        <v>2169.7000000000003</v>
      </c>
      <c r="I62" s="2818" t="s">
        <v>2351</v>
      </c>
      <c r="J62" s="2819" t="s">
        <v>2352</v>
      </c>
      <c r="K62" s="2819" t="s">
        <v>2353</v>
      </c>
      <c r="L62" s="2819" t="s">
        <v>2334</v>
      </c>
      <c r="M62" s="2820" t="s">
        <v>2909</v>
      </c>
      <c r="O62" s="2254" t="s">
        <v>2372</v>
      </c>
      <c r="P62" s="2252" t="str">
        <f>K59</f>
        <v>建设期及建筑物耐用年限下的土地年期修正系数Kn</v>
      </c>
      <c r="Q62" s="2253" t="e">
        <f ca="1">L59</f>
        <v>#DIV/0!</v>
      </c>
      <c r="R62" s="2256" t="s">
        <v>2381</v>
      </c>
    </row>
    <row r="63" spans="1:18" s="1940" customFormat="1" ht="15.75" thickBot="1">
      <c r="A63" s="1575" t="s">
        <v>1879</v>
      </c>
      <c r="B63" s="773" t="s">
        <v>669</v>
      </c>
      <c r="C63" s="53">
        <f ca="1">ROUND(C56*F63,1)</f>
        <v>17.899999999999999</v>
      </c>
      <c r="D63" s="2479" t="s">
        <v>1793</v>
      </c>
      <c r="E63" s="773" t="s">
        <v>1737</v>
      </c>
      <c r="F63" s="805">
        <f t="shared" ca="1" si="0"/>
        <v>0.01</v>
      </c>
      <c r="I63" s="2818" t="s">
        <v>2354</v>
      </c>
      <c r="J63" s="2819">
        <v>70</v>
      </c>
      <c r="K63" s="2819">
        <v>50</v>
      </c>
      <c r="L63" s="2819">
        <v>80</v>
      </c>
      <c r="M63" s="2821">
        <v>0.02</v>
      </c>
      <c r="O63" s="2251" t="s">
        <v>2375</v>
      </c>
      <c r="P63" s="2252" t="s">
        <v>2392</v>
      </c>
      <c r="Q63" s="2253">
        <f ca="1">Q57+Q58</f>
        <v>6231</v>
      </c>
      <c r="R63" s="2256" t="s">
        <v>2376</v>
      </c>
    </row>
    <row r="64" spans="1:18" s="1940" customFormat="1" ht="16.5" thickBot="1">
      <c r="A64" s="1575" t="s">
        <v>1880</v>
      </c>
      <c r="B64" s="773" t="s">
        <v>672</v>
      </c>
      <c r="C64" s="53">
        <f ca="1">ROUND(C55*F64,1)</f>
        <v>2.7</v>
      </c>
      <c r="D64" s="2479" t="s">
        <v>673</v>
      </c>
      <c r="E64" s="773" t="s">
        <v>1737</v>
      </c>
      <c r="F64" s="806">
        <f t="shared" ca="1" si="0"/>
        <v>1.5E-3</v>
      </c>
      <c r="I64" s="2818" t="s">
        <v>2355</v>
      </c>
      <c r="J64" s="2819">
        <v>50</v>
      </c>
      <c r="K64" s="2819">
        <v>35</v>
      </c>
      <c r="L64" s="2819">
        <v>60</v>
      </c>
      <c r="M64" s="834">
        <v>0</v>
      </c>
      <c r="O64" s="2257" t="s">
        <v>2399</v>
      </c>
      <c r="P64" s="1524"/>
      <c r="Q64" s="1532"/>
      <c r="R64" s="1524"/>
    </row>
    <row r="65" spans="1:18" s="1940" customFormat="1" ht="15.75" thickBot="1">
      <c r="A65" s="1575" t="s">
        <v>1881</v>
      </c>
      <c r="B65" s="773" t="s">
        <v>659</v>
      </c>
      <c r="C65" s="53">
        <f ca="1">ROUND(C47*F65,1)</f>
        <v>0</v>
      </c>
      <c r="D65" s="2479" t="s">
        <v>676</v>
      </c>
      <c r="E65" s="773" t="s">
        <v>1737</v>
      </c>
      <c r="F65" s="783">
        <f t="shared" ca="1" si="0"/>
        <v>0.01</v>
      </c>
      <c r="I65" s="2818" t="s">
        <v>2356</v>
      </c>
      <c r="J65" s="2819">
        <v>40</v>
      </c>
      <c r="K65" s="2819">
        <v>30</v>
      </c>
      <c r="L65" s="2819">
        <v>50</v>
      </c>
      <c r="M65" s="2821">
        <v>0.02</v>
      </c>
      <c r="O65" s="2248" t="s">
        <v>2359</v>
      </c>
      <c r="P65" s="2249" t="s">
        <v>2360</v>
      </c>
      <c r="Q65" s="2250" t="s">
        <v>2361</v>
      </c>
      <c r="R65" s="2249" t="s">
        <v>2362</v>
      </c>
    </row>
    <row r="66" spans="1:18" s="1940" customFormat="1" ht="24.75" thickBot="1">
      <c r="A66" s="786" t="s">
        <v>1766</v>
      </c>
      <c r="B66" s="2722" t="s">
        <v>2801</v>
      </c>
      <c r="C66" s="788">
        <f ca="1">C47-C57</f>
        <v>-23</v>
      </c>
      <c r="D66" s="2478" t="s">
        <v>693</v>
      </c>
      <c r="E66" s="2477"/>
      <c r="F66" s="808"/>
      <c r="K66" s="1966"/>
      <c r="O66" s="2251" t="s">
        <v>2363</v>
      </c>
      <c r="P66" s="2252" t="s">
        <v>2393</v>
      </c>
      <c r="Q66" s="2253">
        <f ca="1">C40+J29</f>
        <v>6231</v>
      </c>
      <c r="R66" s="2252" t="s">
        <v>2364</v>
      </c>
    </row>
    <row r="67" spans="1:18" s="1940" customFormat="1" ht="20.25" thickBot="1">
      <c r="A67" s="770" t="s">
        <v>1770</v>
      </c>
      <c r="B67" s="2110" t="s">
        <v>2288</v>
      </c>
      <c r="C67" s="772">
        <f ca="1">ROUND(C66*(1-((1+F69)/(1+F67))^F68)/(F67-F69),0)</f>
        <v>-358</v>
      </c>
      <c r="D67" s="802" t="s">
        <v>697</v>
      </c>
      <c r="E67" s="773" t="s">
        <v>698</v>
      </c>
      <c r="F67" s="783">
        <f ca="1">F40</f>
        <v>5.5E-2</v>
      </c>
      <c r="K67" s="1966"/>
      <c r="O67" s="2251" t="s">
        <v>2365</v>
      </c>
      <c r="P67" s="2252" t="s">
        <v>2396</v>
      </c>
      <c r="Q67" s="2253">
        <f ca="1">L60</f>
        <v>0</v>
      </c>
      <c r="R67" s="2256" t="s">
        <v>2398</v>
      </c>
    </row>
    <row r="68" spans="1:18" ht="21.75" thickBot="1">
      <c r="A68" s="775"/>
      <c r="B68" s="776"/>
      <c r="C68" s="777"/>
      <c r="D68" s="809" t="s">
        <v>1798</v>
      </c>
      <c r="E68" s="773" t="s">
        <v>1774</v>
      </c>
      <c r="F68" s="810">
        <f ca="1">F41</f>
        <v>36.299999999999997</v>
      </c>
      <c r="O68" s="2254" t="s">
        <v>2367</v>
      </c>
      <c r="P68" s="2252" t="s">
        <v>2397</v>
      </c>
      <c r="Q68" s="2258">
        <f ca="1">L51</f>
        <v>2577</v>
      </c>
      <c r="R68" s="2259" t="s">
        <v>2400</v>
      </c>
    </row>
    <row r="69" spans="1:18" ht="20.25" thickBot="1">
      <c r="A69" s="779"/>
      <c r="B69" s="780"/>
      <c r="C69" s="781"/>
      <c r="D69" s="804"/>
      <c r="E69" s="773" t="s">
        <v>703</v>
      </c>
      <c r="F69" s="2224"/>
      <c r="O69" s="2254" t="s">
        <v>2368</v>
      </c>
      <c r="P69" s="2260" t="s">
        <v>2382</v>
      </c>
      <c r="Q69" s="2253">
        <f ca="1">ROUND(Q70-Q71*Q72,0)</f>
        <v>136</v>
      </c>
      <c r="R69" s="2256"/>
    </row>
    <row r="70" spans="1:18" ht="15.75" thickBot="1">
      <c r="A70" s="811" t="s">
        <v>1777</v>
      </c>
      <c r="B70" s="812" t="s">
        <v>1800</v>
      </c>
      <c r="C70" s="813">
        <f ca="1">ROUND(C67*10000/F70,0)</f>
        <v>-578</v>
      </c>
      <c r="D70" s="814" t="s">
        <v>1801</v>
      </c>
      <c r="E70" s="815" t="s">
        <v>1802</v>
      </c>
      <c r="F70" s="816">
        <f ca="1">F43</f>
        <v>6189.98</v>
      </c>
      <c r="O70" s="2254" t="s">
        <v>2383</v>
      </c>
      <c r="P70" s="2260" t="s">
        <v>2384</v>
      </c>
      <c r="Q70" s="2253">
        <f ca="1">C39</f>
        <v>288</v>
      </c>
      <c r="R70" s="2252" t="s">
        <v>2364</v>
      </c>
    </row>
    <row r="71" spans="1:18" ht="15.75" thickBot="1">
      <c r="O71" s="2254" t="s">
        <v>2385</v>
      </c>
      <c r="P71" s="2260" t="s">
        <v>2386</v>
      </c>
      <c r="Q71" s="2253">
        <f ca="1">C13</f>
        <v>1791</v>
      </c>
      <c r="R71" s="2252" t="s">
        <v>2364</v>
      </c>
    </row>
    <row r="72" spans="1:18" ht="15.75" thickBot="1">
      <c r="O72" s="2254" t="s">
        <v>2387</v>
      </c>
      <c r="P72" s="2260" t="s">
        <v>2388</v>
      </c>
      <c r="Q72" s="2255">
        <f ca="1">J36</f>
        <v>8.5000000000000006E-2</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建设期及建筑物耐用年限下的土地年期修正系数Kn</v>
      </c>
      <c r="Q75" s="2253" t="e">
        <f ca="1">L59</f>
        <v>#DIV/0!</v>
      </c>
      <c r="R75" s="2256" t="s">
        <v>2381</v>
      </c>
    </row>
    <row r="76" spans="1:18" ht="15.75" thickBot="1">
      <c r="O76" s="2251" t="s">
        <v>2375</v>
      </c>
      <c r="P76" s="2252" t="s">
        <v>2392</v>
      </c>
      <c r="Q76" s="2253">
        <f ca="1">Q66+Q67</f>
        <v>6231</v>
      </c>
      <c r="R76" s="2256"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F9" sqref="A2:G42"/>
    </sheetView>
  </sheetViews>
  <sheetFormatPr defaultRowHeight="13.5"/>
  <cols>
    <col min="1" max="1" width="10.5" customWidth="1"/>
    <col min="2" max="2" width="12.875" customWidth="1"/>
    <col min="3" max="3" width="8.75" customWidth="1"/>
  </cols>
  <sheetData>
    <row r="1" spans="1:9" ht="14.25">
      <c r="A1" s="3606" t="s">
        <v>2452</v>
      </c>
      <c r="B1" s="3607"/>
      <c r="C1" s="3608"/>
      <c r="D1" s="3609">
        <f>SUM(I10,I15,I20,I21,I23)</f>
        <v>0</v>
      </c>
      <c r="E1" s="3609"/>
      <c r="F1" s="3609"/>
      <c r="G1" s="3609"/>
      <c r="H1" s="3609"/>
      <c r="I1" s="3610"/>
    </row>
    <row r="2" spans="1:9">
      <c r="A2" s="3596" t="s">
        <v>2453</v>
      </c>
      <c r="B2" s="3597" t="s">
        <v>2454</v>
      </c>
      <c r="C2" s="3597"/>
      <c r="D2" s="2358" t="s">
        <v>2455</v>
      </c>
      <c r="E2" s="2358" t="s">
        <v>2456</v>
      </c>
      <c r="F2" s="2358" t="s">
        <v>2457</v>
      </c>
      <c r="G2" s="2358" t="s">
        <v>2458</v>
      </c>
      <c r="H2" s="2358" t="s">
        <v>2459</v>
      </c>
      <c r="I2" s="2359" t="s">
        <v>2460</v>
      </c>
    </row>
    <row r="3" spans="1:9">
      <c r="A3" s="3596"/>
      <c r="B3" s="3597" t="s">
        <v>2461</v>
      </c>
      <c r="C3" s="3597"/>
      <c r="D3" s="2360"/>
      <c r="E3" s="2358"/>
      <c r="F3" s="2361"/>
      <c r="G3" s="2361"/>
      <c r="H3" s="2362"/>
      <c r="I3" s="2363">
        <f>ROUND(D3*E3*F3*G3*H3/10000,0)</f>
        <v>0</v>
      </c>
    </row>
    <row r="4" spans="1:9">
      <c r="A4" s="3596"/>
      <c r="B4" s="3597" t="s">
        <v>2462</v>
      </c>
      <c r="C4" s="3597"/>
      <c r="D4" s="2360"/>
      <c r="E4" s="2358"/>
      <c r="F4" s="2361"/>
      <c r="G4" s="2361"/>
      <c r="H4" s="2362"/>
      <c r="I4" s="2363">
        <f t="shared" ref="I4:I9" si="0">ROUND(D4*E4*F4*G4*H4/10000,0)</f>
        <v>0</v>
      </c>
    </row>
    <row r="5" spans="1:9">
      <c r="A5" s="3596"/>
      <c r="B5" s="3597" t="s">
        <v>2463</v>
      </c>
      <c r="C5" s="3597"/>
      <c r="D5" s="2360"/>
      <c r="E5" s="2358"/>
      <c r="F5" s="2361"/>
      <c r="G5" s="2361"/>
      <c r="H5" s="2362"/>
      <c r="I5" s="2363">
        <f t="shared" si="0"/>
        <v>0</v>
      </c>
    </row>
    <row r="6" spans="1:9">
      <c r="A6" s="3596"/>
      <c r="B6" s="3597" t="s">
        <v>2464</v>
      </c>
      <c r="C6" s="3597"/>
      <c r="D6" s="2360"/>
      <c r="E6" s="2358"/>
      <c r="F6" s="2361"/>
      <c r="G6" s="2361"/>
      <c r="H6" s="2362"/>
      <c r="I6" s="2363">
        <f t="shared" si="0"/>
        <v>0</v>
      </c>
    </row>
    <row r="7" spans="1:9">
      <c r="A7" s="3596"/>
      <c r="B7" s="3597" t="s">
        <v>2465</v>
      </c>
      <c r="C7" s="3597"/>
      <c r="D7" s="2360"/>
      <c r="E7" s="2358"/>
      <c r="F7" s="2361"/>
      <c r="G7" s="2361"/>
      <c r="H7" s="2362"/>
      <c r="I7" s="2363">
        <f t="shared" si="0"/>
        <v>0</v>
      </c>
    </row>
    <row r="8" spans="1:9">
      <c r="A8" s="3596"/>
      <c r="B8" s="3597" t="s">
        <v>2466</v>
      </c>
      <c r="C8" s="3597"/>
      <c r="D8" s="2360"/>
      <c r="E8" s="2358"/>
      <c r="F8" s="2361"/>
      <c r="G8" s="2361"/>
      <c r="H8" s="2362"/>
      <c r="I8" s="2363">
        <f t="shared" si="0"/>
        <v>0</v>
      </c>
    </row>
    <row r="9" spans="1:9">
      <c r="A9" s="3596"/>
      <c r="B9" s="3597" t="s">
        <v>2467</v>
      </c>
      <c r="C9" s="3597"/>
      <c r="D9" s="2360"/>
      <c r="E9" s="2358"/>
      <c r="F9" s="2361"/>
      <c r="G9" s="2361"/>
      <c r="H9" s="2362"/>
      <c r="I9" s="2363">
        <f t="shared" si="0"/>
        <v>0</v>
      </c>
    </row>
    <row r="10" spans="1:9">
      <c r="A10" s="3596"/>
      <c r="B10" s="3598" t="s">
        <v>2468</v>
      </c>
      <c r="C10" s="3598"/>
      <c r="D10" s="2364">
        <v>527</v>
      </c>
      <c r="E10" s="2364" t="e">
        <f>ROUND(D1*10000/D10/H9,0)</f>
        <v>#DIV/0!</v>
      </c>
      <c r="F10" s="2365"/>
      <c r="G10" s="2365"/>
      <c r="H10" s="2366"/>
      <c r="I10" s="2367">
        <f>SUM(I3:I9)</f>
        <v>0</v>
      </c>
    </row>
    <row r="11" spans="1:9" ht="14.25">
      <c r="A11" s="3596" t="s">
        <v>2469</v>
      </c>
      <c r="B11" s="3597" t="s">
        <v>2470</v>
      </c>
      <c r="C11" s="3597"/>
      <c r="D11" s="2360" t="s">
        <v>2471</v>
      </c>
      <c r="E11" s="2360" t="s">
        <v>2472</v>
      </c>
      <c r="F11" s="2361" t="s">
        <v>2473</v>
      </c>
      <c r="G11" s="2361" t="s">
        <v>2474</v>
      </c>
      <c r="H11" s="2368" t="s">
        <v>2475</v>
      </c>
      <c r="I11" s="2359" t="s">
        <v>2476</v>
      </c>
    </row>
    <row r="12" spans="1:9">
      <c r="A12" s="3596"/>
      <c r="B12" s="3597" t="s">
        <v>2477</v>
      </c>
      <c r="C12" s="3597"/>
      <c r="D12" s="2360"/>
      <c r="E12" s="2360"/>
      <c r="F12" s="2361"/>
      <c r="G12" s="2362"/>
      <c r="H12" s="2369"/>
      <c r="I12" s="2359">
        <f>ROUND(D12*E12*F12*G12/10000,0)</f>
        <v>0</v>
      </c>
    </row>
    <row r="13" spans="1:9">
      <c r="A13" s="3596"/>
      <c r="B13" s="3597" t="s">
        <v>2478</v>
      </c>
      <c r="C13" s="3597"/>
      <c r="D13" s="2360"/>
      <c r="E13" s="2360"/>
      <c r="F13" s="2361"/>
      <c r="G13" s="2362"/>
      <c r="H13" s="2369"/>
      <c r="I13" s="2359">
        <f>ROUND(D13*E13*F13*G13/10000,0)</f>
        <v>0</v>
      </c>
    </row>
    <row r="14" spans="1:9">
      <c r="A14" s="3596"/>
      <c r="B14" s="3597" t="s">
        <v>2479</v>
      </c>
      <c r="C14" s="3597"/>
      <c r="D14" s="2360"/>
      <c r="E14" s="2360"/>
      <c r="F14" s="2361"/>
      <c r="G14" s="2362"/>
      <c r="H14" s="2369"/>
      <c r="I14" s="2359">
        <f>ROUND(D14*E14*F14*G14/10000,0)</f>
        <v>0</v>
      </c>
    </row>
    <row r="15" spans="1:9">
      <c r="A15" s="3596"/>
      <c r="B15" s="3598" t="s">
        <v>2468</v>
      </c>
      <c r="C15" s="3598"/>
      <c r="D15" s="2364"/>
      <c r="E15" s="2364">
        <f>SUM(E12:E14)</f>
        <v>0</v>
      </c>
      <c r="F15" s="2365"/>
      <c r="G15" s="2362"/>
      <c r="H15" s="2369"/>
      <c r="I15" s="2370">
        <f>SUM(I12:I14)</f>
        <v>0</v>
      </c>
    </row>
    <row r="16" spans="1:9" ht="24">
      <c r="A16" s="3596" t="s">
        <v>2480</v>
      </c>
      <c r="B16" s="3597" t="s">
        <v>2481</v>
      </c>
      <c r="C16" s="3597"/>
      <c r="D16" s="2360" t="s">
        <v>2482</v>
      </c>
      <c r="E16" s="2371" t="s">
        <v>2483</v>
      </c>
      <c r="F16" s="2361" t="s">
        <v>2484</v>
      </c>
      <c r="G16" s="2362" t="s">
        <v>2474</v>
      </c>
      <c r="H16" s="2368" t="s">
        <v>2475</v>
      </c>
      <c r="I16" s="2359" t="s">
        <v>2476</v>
      </c>
    </row>
    <row r="17" spans="1:9" ht="14.25">
      <c r="A17" s="3596"/>
      <c r="B17" s="3597" t="s">
        <v>2485</v>
      </c>
      <c r="C17" s="3597"/>
      <c r="D17" s="2360"/>
      <c r="E17" s="2360"/>
      <c r="F17" s="2361"/>
      <c r="G17" s="2362"/>
      <c r="H17" s="2372"/>
      <c r="I17" s="2373">
        <f>ROUND(D17*E17*F17*G17/10000,0)</f>
        <v>0</v>
      </c>
    </row>
    <row r="18" spans="1:9" ht="14.25">
      <c r="A18" s="3596"/>
      <c r="B18" s="3597" t="s">
        <v>2486</v>
      </c>
      <c r="C18" s="3597"/>
      <c r="D18" s="2360"/>
      <c r="E18" s="2360"/>
      <c r="F18" s="2361"/>
      <c r="G18" s="2362"/>
      <c r="H18" s="2372"/>
      <c r="I18" s="2373">
        <f>ROUND(D18*E18*F18*G18/10000,0)</f>
        <v>0</v>
      </c>
    </row>
    <row r="19" spans="1:9" ht="14.25">
      <c r="A19" s="3596"/>
      <c r="B19" s="3597" t="s">
        <v>2487</v>
      </c>
      <c r="C19" s="3597"/>
      <c r="D19" s="2360"/>
      <c r="E19" s="2360"/>
      <c r="F19" s="2361"/>
      <c r="G19" s="2362"/>
      <c r="H19" s="2372"/>
      <c r="I19" s="2373">
        <f>ROUND(D19*E19*F19*G19/10000,0)</f>
        <v>0</v>
      </c>
    </row>
    <row r="20" spans="1:9">
      <c r="A20" s="3596"/>
      <c r="B20" s="3598" t="s">
        <v>2468</v>
      </c>
      <c r="C20" s="3598"/>
      <c r="D20" s="2364">
        <f>SUM(D17:D19)</f>
        <v>0</v>
      </c>
      <c r="E20" s="2364"/>
      <c r="F20" s="2365"/>
      <c r="G20" s="2362"/>
      <c r="H20" s="2369"/>
      <c r="I20" s="2370">
        <f>SUM(I17:I19)</f>
        <v>0</v>
      </c>
    </row>
    <row r="21" spans="1:9">
      <c r="A21" s="3596" t="s">
        <v>2488</v>
      </c>
      <c r="B21" s="3599"/>
      <c r="C21" s="3599"/>
      <c r="D21" s="3599"/>
      <c r="E21" s="3599"/>
      <c r="F21" s="3599"/>
      <c r="G21" s="3599"/>
      <c r="H21" s="2374">
        <v>0.1</v>
      </c>
      <c r="I21" s="2367">
        <f>ROUND(I10*H21,0)</f>
        <v>0</v>
      </c>
    </row>
    <row r="22" spans="1:9" ht="14.25">
      <c r="A22" s="3600" t="s">
        <v>2489</v>
      </c>
      <c r="B22" s="3601"/>
      <c r="C22" s="3602"/>
      <c r="D22" s="2375" t="s">
        <v>2490</v>
      </c>
      <c r="E22" s="2375" t="s">
        <v>2491</v>
      </c>
      <c r="F22" s="2376" t="s">
        <v>2492</v>
      </c>
      <c r="G22" s="2376" t="s">
        <v>2493</v>
      </c>
      <c r="H22" s="2368" t="s">
        <v>2494</v>
      </c>
      <c r="I22" s="2359" t="s">
        <v>2495</v>
      </c>
    </row>
    <row r="23" spans="1:9" ht="14.25" thickBot="1">
      <c r="A23" s="3603"/>
      <c r="B23" s="3604"/>
      <c r="C23" s="3605"/>
      <c r="D23" s="2377"/>
      <c r="E23" s="2377"/>
      <c r="F23" s="2377"/>
      <c r="G23" s="2378"/>
      <c r="H23" s="2379"/>
      <c r="I23" s="2380">
        <f>ROUND(E23*D23*F23*(1-G23)/10000,0)</f>
        <v>0</v>
      </c>
    </row>
    <row r="26" spans="1:9">
      <c r="A26" s="2381" t="s">
        <v>2496</v>
      </c>
      <c r="B26" s="2381"/>
      <c r="C26" s="2381"/>
      <c r="D26" s="2381"/>
      <c r="E26" s="3593">
        <f>C27-C30-C31-C32</f>
        <v>0</v>
      </c>
      <c r="F26" s="3593"/>
      <c r="G26" s="3593"/>
      <c r="H26" s="2750" t="s">
        <v>2822</v>
      </c>
    </row>
    <row r="27" spans="1:9">
      <c r="A27" s="2382">
        <v>1</v>
      </c>
      <c r="B27" s="2383" t="s">
        <v>2497</v>
      </c>
      <c r="C27" s="2383"/>
      <c r="D27" s="2383"/>
      <c r="E27" s="3594"/>
      <c r="F27" s="3594"/>
      <c r="G27" s="3594"/>
    </row>
    <row r="28" spans="1:9">
      <c r="A28" s="2384" t="s">
        <v>2498</v>
      </c>
      <c r="B28" s="2383" t="s">
        <v>2499</v>
      </c>
      <c r="C28" s="2383"/>
      <c r="D28" s="2383"/>
      <c r="E28" s="3594"/>
      <c r="F28" s="3594"/>
      <c r="G28" s="3594"/>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95"/>
      <c r="F32" s="3595"/>
      <c r="G32" s="3595"/>
    </row>
    <row r="33" spans="1:7" hidden="1">
      <c r="A33" s="3590" t="s">
        <v>2507</v>
      </c>
      <c r="B33" s="3591"/>
      <c r="C33" s="3591"/>
      <c r="D33" s="3592"/>
      <c r="E33" s="3593"/>
      <c r="F33" s="3593"/>
      <c r="G33" s="3593"/>
    </row>
    <row r="34" spans="1:7" hidden="1">
      <c r="A34" s="2386">
        <v>1</v>
      </c>
      <c r="B34" s="2383" t="s">
        <v>2508</v>
      </c>
      <c r="C34" s="2383"/>
      <c r="D34" s="2383"/>
      <c r="E34" s="3594"/>
      <c r="F34" s="3594"/>
      <c r="G34" s="3594"/>
    </row>
    <row r="35" spans="1:7" hidden="1">
      <c r="A35" s="2386">
        <v>2</v>
      </c>
      <c r="B35" s="2383" t="s">
        <v>2509</v>
      </c>
      <c r="C35" s="2383"/>
      <c r="D35" s="2383"/>
      <c r="E35" s="3594"/>
      <c r="F35" s="3594"/>
      <c r="G35" s="3594"/>
    </row>
    <row r="36" spans="1:7" hidden="1">
      <c r="A36" s="2386">
        <v>3</v>
      </c>
      <c r="B36" s="2383" t="s">
        <v>2510</v>
      </c>
      <c r="C36" s="2383"/>
      <c r="D36" s="2383"/>
      <c r="E36" s="3594"/>
      <c r="F36" s="3594"/>
      <c r="G36" s="3594"/>
    </row>
    <row r="37" spans="1:7" hidden="1">
      <c r="A37" s="2386">
        <v>4</v>
      </c>
      <c r="B37" s="2383" t="s">
        <v>2511</v>
      </c>
      <c r="C37" s="2383"/>
      <c r="D37" s="2383"/>
      <c r="E37" s="3594"/>
      <c r="F37" s="3594"/>
      <c r="G37" s="3594"/>
    </row>
    <row r="38" spans="1:7" hidden="1">
      <c r="A38" s="3590" t="s">
        <v>2512</v>
      </c>
      <c r="B38" s="3591"/>
      <c r="C38" s="3591"/>
      <c r="D38" s="3592"/>
      <c r="E38" s="3593"/>
      <c r="F38" s="3593"/>
      <c r="G38" s="35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596</v>
      </c>
      <c r="B1" s="733"/>
      <c r="C1" s="2061"/>
      <c r="D1" s="2061"/>
      <c r="E1" s="2061"/>
      <c r="F1" s="2061"/>
      <c r="G1" s="1988"/>
    </row>
    <row r="2" spans="1:25" s="1940" customFormat="1" ht="18" customHeight="1">
      <c r="A2" s="416" t="s">
        <v>460</v>
      </c>
      <c r="B2" s="418">
        <f ca="1">C23</f>
        <v>0</v>
      </c>
      <c r="C2" s="3262"/>
      <c r="D2" s="3262"/>
      <c r="E2" s="3262"/>
      <c r="F2" s="3262"/>
      <c r="G2" s="3262"/>
    </row>
    <row r="3" spans="1:25" s="1940" customFormat="1" ht="18" customHeight="1">
      <c r="A3" s="1329" t="s">
        <v>1675</v>
      </c>
      <c r="B3" s="418">
        <f ca="1">ROUND(B2*10000/'数据-汇总表'!E3,0)</f>
        <v>0</v>
      </c>
      <c r="C3" s="3262"/>
      <c r="D3" s="3262"/>
      <c r="E3" s="3262"/>
      <c r="F3" s="3262"/>
      <c r="G3" s="3262"/>
    </row>
    <row r="4" spans="1:25" s="1940" customFormat="1" ht="18" customHeight="1">
      <c r="A4" s="419" t="s">
        <v>461</v>
      </c>
      <c r="B4" s="420">
        <f ca="1">ROUND(B2*10000/'数据-汇总表'!D3,0)</f>
        <v>0</v>
      </c>
      <c r="C4" s="3215"/>
      <c r="D4" s="3262"/>
      <c r="E4" s="3262"/>
      <c r="F4" s="3262"/>
      <c r="G4" s="3262"/>
    </row>
    <row r="5" spans="1:25" s="1940" customFormat="1" ht="18" customHeight="1" thickBot="1">
      <c r="A5" s="422"/>
      <c r="B5" s="423">
        <f ca="1">ROUND(B2/('数据-汇总表'!D3/666.67),0)</f>
        <v>0</v>
      </c>
      <c r="C5" s="424" t="s">
        <v>462</v>
      </c>
      <c r="D5" s="3262"/>
      <c r="E5" s="3262"/>
      <c r="F5" s="3262"/>
      <c r="G5" s="3262"/>
    </row>
    <row r="6" spans="1:25" s="2062" customFormat="1" ht="13.5" customHeight="1">
      <c r="A6" s="734"/>
      <c r="B6" s="735" t="s">
        <v>597</v>
      </c>
      <c r="C6" s="736" t="s">
        <v>598</v>
      </c>
      <c r="D6" s="736" t="s">
        <v>599</v>
      </c>
      <c r="E6" s="737" t="s">
        <v>600</v>
      </c>
      <c r="F6" s="737" t="s">
        <v>601</v>
      </c>
      <c r="G6" s="3261" t="s">
        <v>2997</v>
      </c>
    </row>
    <row r="7" spans="1:25" s="2062" customFormat="1" ht="13.5" customHeight="1">
      <c r="A7" s="2321">
        <v>1</v>
      </c>
      <c r="B7" s="738" t="s">
        <v>602</v>
      </c>
      <c r="C7" s="739">
        <f>C8+C9</f>
        <v>0</v>
      </c>
      <c r="D7" s="739"/>
      <c r="E7" s="740"/>
      <c r="F7" s="740"/>
      <c r="G7" s="2330"/>
    </row>
    <row r="8" spans="1:25" s="2062" customFormat="1" ht="13.5" customHeight="1">
      <c r="A8" s="2321" t="s">
        <v>2422</v>
      </c>
      <c r="B8" s="2324" t="s">
        <v>2424</v>
      </c>
      <c r="C8" s="3265">
        <f t="shared" ref="C8:C9" si="0">ROUND(D8*E8/10000,0)</f>
        <v>0</v>
      </c>
      <c r="D8" s="3265">
        <v>0</v>
      </c>
      <c r="E8" s="3266">
        <v>0</v>
      </c>
      <c r="F8" s="740"/>
      <c r="G8" s="741"/>
    </row>
    <row r="9" spans="1:25" s="2062" customFormat="1" ht="13.5" customHeight="1">
      <c r="A9" s="2321" t="s">
        <v>2423</v>
      </c>
      <c r="B9" s="2324" t="s">
        <v>2425</v>
      </c>
      <c r="C9" s="3265">
        <f t="shared" si="0"/>
        <v>0</v>
      </c>
      <c r="D9" s="3265">
        <v>0</v>
      </c>
      <c r="E9" s="3266">
        <v>0</v>
      </c>
      <c r="F9" s="740"/>
      <c r="G9" s="741"/>
    </row>
    <row r="10" spans="1:25" s="2062" customFormat="1" ht="36">
      <c r="A10" s="2321">
        <v>2</v>
      </c>
      <c r="B10" s="738" t="s">
        <v>606</v>
      </c>
      <c r="C10" s="739">
        <f>C11+C14+C15</f>
        <v>0</v>
      </c>
      <c r="D10" s="749"/>
      <c r="E10" s="739"/>
      <c r="F10" s="750"/>
      <c r="G10" s="748" t="s">
        <v>607</v>
      </c>
    </row>
    <row r="11" spans="1:25" s="2062" customFormat="1" ht="13.5" customHeight="1">
      <c r="A11" s="2321" t="s">
        <v>2422</v>
      </c>
      <c r="B11" s="742" t="s">
        <v>603</v>
      </c>
      <c r="C11" s="743">
        <f>'数据-取费表'!B29</f>
        <v>0</v>
      </c>
      <c r="D11" s="744"/>
      <c r="E11" s="743"/>
      <c r="F11" s="745"/>
      <c r="G11" s="2329" t="s">
        <v>2433</v>
      </c>
    </row>
    <row r="12" spans="1:25" s="2062" customFormat="1" ht="13.5" customHeight="1">
      <c r="A12" s="2327" t="s">
        <v>2430</v>
      </c>
      <c r="B12" s="746" t="s">
        <v>604</v>
      </c>
      <c r="C12" s="747">
        <f>ROUND(D12*E12/10000,0)</f>
        <v>923</v>
      </c>
      <c r="D12" s="3265">
        <f>'数据-汇总表'!E5</f>
        <v>123063.19999999998</v>
      </c>
      <c r="E12" s="3265">
        <f>'数据-取费表'!B27</f>
        <v>75</v>
      </c>
      <c r="F12" s="745"/>
      <c r="G12" s="748"/>
    </row>
    <row r="13" spans="1:25" s="2062" customFormat="1" ht="13.5" customHeight="1">
      <c r="A13" s="2327" t="s">
        <v>2429</v>
      </c>
      <c r="B13" s="746" t="s">
        <v>605</v>
      </c>
      <c r="C13" s="747">
        <f>ROUND(D13*E13/10000,0)</f>
        <v>367</v>
      </c>
      <c r="D13" s="3265">
        <f>'数据-汇总表'!E6</f>
        <v>48969.66</v>
      </c>
      <c r="E13" s="3265">
        <f>'数据-取费表'!B28</f>
        <v>75</v>
      </c>
      <c r="F13" s="745"/>
      <c r="G13" s="748"/>
    </row>
    <row r="14" spans="1:25" s="2062" customFormat="1" ht="13.5" customHeight="1">
      <c r="A14" s="2321" t="s">
        <v>2423</v>
      </c>
      <c r="B14" s="2326" t="s">
        <v>2426</v>
      </c>
      <c r="C14" s="3267">
        <f t="shared" ref="C14:C15" si="1">ROUND(D14*E14/10000,0)</f>
        <v>0</v>
      </c>
      <c r="D14" s="3265">
        <v>0</v>
      </c>
      <c r="E14" s="3266">
        <v>0</v>
      </c>
      <c r="F14" s="2325"/>
      <c r="G14" s="2328" t="s">
        <v>2431</v>
      </c>
    </row>
    <row r="15" spans="1:25" s="2062" customFormat="1" ht="13.5" customHeight="1">
      <c r="A15" s="2321" t="s">
        <v>2428</v>
      </c>
      <c r="B15" s="2326" t="s">
        <v>2427</v>
      </c>
      <c r="C15" s="3267">
        <f t="shared" si="1"/>
        <v>0</v>
      </c>
      <c r="D15" s="3265">
        <v>0</v>
      </c>
      <c r="E15" s="3266">
        <v>0</v>
      </c>
      <c r="F15" s="2325"/>
      <c r="G15" s="2328" t="s">
        <v>2432</v>
      </c>
    </row>
    <row r="16" spans="1:25" s="2063" customFormat="1" ht="48">
      <c r="A16" s="2321">
        <v>3</v>
      </c>
      <c r="B16" s="738" t="s">
        <v>608</v>
      </c>
      <c r="C16" s="3267">
        <f t="shared" ref="C16" si="2">ROUND(D16*E16/10000,0)</f>
        <v>0</v>
      </c>
      <c r="D16" s="3265">
        <v>0</v>
      </c>
      <c r="E16" s="3266">
        <v>0</v>
      </c>
      <c r="F16" s="750"/>
      <c r="G16" s="748" t="s">
        <v>2434</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609</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610</v>
      </c>
      <c r="C18" s="739">
        <f>ROUND((C7+C10+C16)*F18,0)</f>
        <v>0</v>
      </c>
      <c r="D18" s="751"/>
      <c r="E18" s="752"/>
      <c r="F18" s="1301">
        <v>0.05</v>
      </c>
      <c r="G18" s="754" t="s">
        <v>611</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612</v>
      </c>
      <c r="C19" s="739">
        <f ca="1">C7+C10+C16+C17+C18</f>
        <v>0</v>
      </c>
      <c r="D19" s="749"/>
      <c r="E19" s="739"/>
      <c r="F19" s="750"/>
      <c r="G19" s="754" t="s">
        <v>613</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614</v>
      </c>
      <c r="C20" s="739">
        <f ca="1">ROUND(C19*F20,0)</f>
        <v>0</v>
      </c>
      <c r="D20" s="749"/>
      <c r="E20" s="739"/>
      <c r="F20" s="1301">
        <v>0.1</v>
      </c>
      <c r="G20" s="754" t="s">
        <v>615</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616</v>
      </c>
      <c r="C21" s="739">
        <f ca="1">C19+C20</f>
        <v>0</v>
      </c>
      <c r="D21" s="749"/>
      <c r="E21" s="739"/>
      <c r="F21" s="750"/>
      <c r="G21" s="754" t="s">
        <v>617</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618</v>
      </c>
      <c r="C22" s="739">
        <f ca="1">ROUND(C21*F22,0)</f>
        <v>0</v>
      </c>
      <c r="D22" s="749"/>
      <c r="E22" s="739"/>
      <c r="F22" s="755">
        <f>'数据-取费表'!AP16</f>
        <v>0.90400000000000003</v>
      </c>
      <c r="G22" s="754" t="s">
        <v>619</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620</v>
      </c>
      <c r="C23" s="757">
        <f ca="1">C22</f>
        <v>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4" customFormat="1">
      <c r="A24" s="3263"/>
      <c r="D24" s="1882"/>
      <c r="E24" s="1882"/>
    </row>
    <row r="25" spans="1:25" s="3264" customFormat="1">
      <c r="A25" s="3263"/>
      <c r="D25" s="1882"/>
      <c r="E25" s="1882"/>
    </row>
    <row r="26" spans="1:25" s="3264" customFormat="1">
      <c r="A26" s="3263"/>
      <c r="D26" s="1882"/>
      <c r="E26" s="1882"/>
    </row>
    <row r="27" spans="1:25" s="3264" customFormat="1">
      <c r="A27" s="3263"/>
      <c r="D27" s="1882"/>
      <c r="E27" s="1882"/>
    </row>
    <row r="28" spans="1:25" s="3264" customFormat="1">
      <c r="A28" s="3263"/>
      <c r="D28" s="1882"/>
      <c r="E28" s="1882"/>
    </row>
    <row r="29" spans="1:25" s="3264" customFormat="1">
      <c r="A29" s="3263"/>
      <c r="D29" s="1882"/>
      <c r="E29" s="1882"/>
    </row>
    <row r="30" spans="1:25" s="3264" customFormat="1">
      <c r="A30" s="3263"/>
      <c r="D30" s="1882"/>
      <c r="E30" s="1882"/>
    </row>
    <row r="31" spans="1:25" s="3264" customFormat="1">
      <c r="A31" s="3263"/>
      <c r="D31" s="1882"/>
      <c r="E31" s="1882"/>
    </row>
    <row r="32" spans="1:25" s="3264" customFormat="1">
      <c r="A32" s="3263"/>
      <c r="D32" s="1882"/>
      <c r="E32" s="1882"/>
    </row>
    <row r="33" spans="1:5" s="3264" customFormat="1">
      <c r="A33" s="3263"/>
      <c r="D33" s="1882"/>
      <c r="E33" s="1882"/>
    </row>
    <row r="34" spans="1:5" s="3264" customFormat="1">
      <c r="A34" s="3263"/>
      <c r="D34" s="1882"/>
      <c r="E34" s="1882"/>
    </row>
    <row r="35" spans="1:5" s="3264" customFormat="1">
      <c r="A35" s="3263"/>
      <c r="D35" s="1882"/>
      <c r="E35" s="1882"/>
    </row>
    <row r="36" spans="1:5" s="3264" customFormat="1">
      <c r="A36" s="3263"/>
      <c r="D36" s="1882"/>
      <c r="E36" s="1882"/>
    </row>
    <row r="37" spans="1:5" s="3264" customFormat="1">
      <c r="A37" s="3263"/>
      <c r="D37" s="1882"/>
      <c r="E37" s="1882"/>
    </row>
    <row r="38" spans="1:5" s="3264" customFormat="1">
      <c r="A38" s="3263"/>
      <c r="D38" s="1882"/>
      <c r="E38" s="1882"/>
    </row>
    <row r="39" spans="1:5" s="3264" customFormat="1">
      <c r="A39" s="3263"/>
      <c r="D39" s="1882"/>
      <c r="E39" s="1882"/>
    </row>
    <row r="40" spans="1:5" s="3264" customFormat="1">
      <c r="A40" s="3263"/>
      <c r="D40" s="1882"/>
      <c r="E40" s="1882"/>
    </row>
    <row r="41" spans="1:5" s="3264" customFormat="1">
      <c r="A41" s="3263"/>
      <c r="D41" s="1882"/>
      <c r="E41" s="1882"/>
    </row>
    <row r="42" spans="1:5" s="3264" customFormat="1">
      <c r="A42" s="3263"/>
      <c r="D42" s="1882"/>
      <c r="E42" s="1882"/>
    </row>
    <row r="43" spans="1:5" s="3264" customFormat="1">
      <c r="A43" s="3263"/>
      <c r="D43" s="1882"/>
      <c r="E43" s="1882"/>
    </row>
    <row r="44" spans="1:5" s="3264" customFormat="1">
      <c r="A44" s="3263"/>
      <c r="D44" s="1882"/>
      <c r="E44" s="1882"/>
    </row>
    <row r="45" spans="1:5" s="3264" customFormat="1">
      <c r="A45" s="3263"/>
      <c r="D45" s="1882"/>
      <c r="E45" s="1882"/>
    </row>
    <row r="46" spans="1:5" s="3264" customFormat="1">
      <c r="A46" s="3263"/>
      <c r="D46" s="1882"/>
      <c r="E46" s="1882"/>
    </row>
    <row r="47" spans="1:5" s="3264" customFormat="1">
      <c r="A47" s="3263"/>
      <c r="D47" s="1882"/>
      <c r="E47" s="1882"/>
    </row>
    <row r="48" spans="1:5" s="3264" customFormat="1">
      <c r="A48" s="3263"/>
      <c r="D48" s="1882"/>
      <c r="E48" s="1882"/>
    </row>
    <row r="49" spans="1:5" s="3264" customFormat="1">
      <c r="A49" s="3263"/>
      <c r="D49" s="1882"/>
      <c r="E49" s="1882"/>
    </row>
    <row r="50" spans="1:5" s="3264" customFormat="1">
      <c r="A50" s="3263"/>
      <c r="D50" s="1882"/>
      <c r="E50" s="1882"/>
    </row>
    <row r="51" spans="1:5" s="3264" customFormat="1">
      <c r="A51" s="3263"/>
      <c r="D51" s="1882"/>
      <c r="E51" s="1882"/>
    </row>
    <row r="52" spans="1:5" s="3264" customFormat="1">
      <c r="A52" s="3263"/>
      <c r="D52" s="1882"/>
      <c r="E52" s="1882"/>
    </row>
    <row r="53" spans="1:5" s="3264" customFormat="1">
      <c r="A53" s="3263"/>
      <c r="D53" s="1882"/>
      <c r="E53" s="1882"/>
    </row>
    <row r="54" spans="1:5" s="3264" customFormat="1">
      <c r="A54" s="3263"/>
      <c r="D54" s="1882"/>
      <c r="E54" s="1882"/>
    </row>
    <row r="55" spans="1:5" s="3264" customFormat="1">
      <c r="A55" s="3263"/>
      <c r="D55" s="1882"/>
      <c r="E55" s="1882"/>
    </row>
    <row r="56" spans="1:5" s="3264" customFormat="1">
      <c r="A56" s="3263"/>
      <c r="D56" s="1882"/>
      <c r="E56" s="1882"/>
    </row>
    <row r="57" spans="1:5" s="3264" customFormat="1">
      <c r="A57" s="3263"/>
      <c r="D57" s="1882"/>
      <c r="E57" s="1882"/>
    </row>
    <row r="58" spans="1:5" s="3264" customFormat="1">
      <c r="A58" s="3263"/>
      <c r="D58" s="1882"/>
      <c r="E58" s="1882"/>
    </row>
    <row r="59" spans="1:5" s="3264" customFormat="1">
      <c r="A59" s="3263"/>
      <c r="D59" s="1882"/>
      <c r="E59" s="1882"/>
    </row>
    <row r="60" spans="1:5" s="3264" customFormat="1">
      <c r="A60" s="3263"/>
      <c r="D60" s="1882"/>
      <c r="E60" s="1882"/>
    </row>
    <row r="61" spans="1:5" s="3264" customFormat="1">
      <c r="A61" s="3263"/>
      <c r="D61" s="1882"/>
      <c r="E61" s="1882"/>
    </row>
    <row r="62" spans="1:5" s="3264" customFormat="1">
      <c r="A62" s="3263"/>
      <c r="D62" s="1882"/>
      <c r="E62" s="1882"/>
    </row>
    <row r="63" spans="1:5" s="3264" customFormat="1">
      <c r="A63" s="3263"/>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70" zoomScaleNormal="60" zoomScaleSheetLayoutView="70" workbookViewId="0">
      <selection activeCell="C32" sqref="C32"/>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2465" t="s">
        <v>712</v>
      </c>
      <c r="C1" s="2466" t="s">
        <v>713</v>
      </c>
      <c r="D1" s="2467" t="s">
        <v>3047</v>
      </c>
      <c r="E1" s="2007"/>
      <c r="F1" s="2522" t="s">
        <v>3073</v>
      </c>
      <c r="G1" s="1529" t="s">
        <v>714</v>
      </c>
      <c r="H1" s="499"/>
      <c r="I1" s="499"/>
      <c r="J1" s="499"/>
      <c r="K1" s="500"/>
      <c r="L1" s="3204"/>
      <c r="M1" s="3205"/>
      <c r="N1" s="3205"/>
      <c r="O1" s="3205"/>
      <c r="P1" s="1497"/>
      <c r="Q1" s="1497"/>
      <c r="R1" s="1497"/>
      <c r="S1" s="1497"/>
      <c r="T1" s="1497"/>
      <c r="U1" s="1497"/>
      <c r="V1" s="1497"/>
      <c r="W1" s="1497"/>
      <c r="X1" s="1497"/>
      <c r="Y1" s="1497"/>
      <c r="Z1" s="1497"/>
      <c r="AA1" s="1497"/>
      <c r="AB1" s="1497"/>
      <c r="AC1" s="1498"/>
    </row>
    <row r="2" spans="1:29" s="1314" customFormat="1" ht="28.5" customHeight="1">
      <c r="A2" s="416" t="s">
        <v>460</v>
      </c>
      <c r="B2" s="2464">
        <f>ROUND(B3*D3/10000,0)</f>
        <v>61663</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4" customFormat="1" ht="28.5" customHeight="1" thickBot="1">
      <c r="A3" s="502" t="s">
        <v>512</v>
      </c>
      <c r="B3" s="839">
        <f>C49</f>
        <v>7114</v>
      </c>
      <c r="C3" s="840" t="s">
        <v>715</v>
      </c>
      <c r="D3" s="839">
        <f>SUMIF('数据-汇总表'!$C19:$C33,D1,'数据-汇总表'!$E19:$E33)</f>
        <v>86678.549999999988</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5" t="s">
        <v>514</v>
      </c>
      <c r="B4" s="506"/>
      <c r="C4" s="3512" t="s">
        <v>515</v>
      </c>
      <c r="D4" s="3513"/>
      <c r="E4" s="3538" t="s">
        <v>516</v>
      </c>
      <c r="F4" s="3539"/>
      <c r="G4" s="3512" t="s">
        <v>517</v>
      </c>
      <c r="H4" s="3513"/>
      <c r="I4" s="3512" t="s">
        <v>518</v>
      </c>
      <c r="J4" s="3513"/>
      <c r="K4" s="841" t="s">
        <v>519</v>
      </c>
      <c r="L4" s="2013"/>
      <c r="M4" s="2014"/>
      <c r="N4" s="2014"/>
      <c r="O4" s="2014"/>
      <c r="P4" s="3514" t="s">
        <v>520</v>
      </c>
      <c r="Q4" s="3515"/>
      <c r="R4" s="3500" t="s">
        <v>516</v>
      </c>
      <c r="S4" s="3501"/>
      <c r="T4" s="3500" t="s">
        <v>517</v>
      </c>
      <c r="U4" s="3501"/>
      <c r="V4" s="3520" t="s">
        <v>518</v>
      </c>
      <c r="W4" s="3520"/>
      <c r="X4" s="3282"/>
      <c r="Y4" s="3500" t="s">
        <v>520</v>
      </c>
      <c r="Z4" s="3501"/>
      <c r="AA4" s="3495" t="s">
        <v>516</v>
      </c>
      <c r="AB4" s="3495" t="s">
        <v>517</v>
      </c>
      <c r="AC4" s="3495" t="s">
        <v>518</v>
      </c>
    </row>
    <row r="5" spans="1:29" ht="15">
      <c r="A5" s="508"/>
      <c r="B5" s="509"/>
      <c r="C5" s="3523" t="str">
        <f>'比较法-住宅、综合'!C7:D7</f>
        <v>金科•集美星辰</v>
      </c>
      <c r="D5" s="3524"/>
      <c r="E5" s="3611" t="s">
        <v>3562</v>
      </c>
      <c r="F5" s="3541"/>
      <c r="G5" s="3525" t="s">
        <v>3563</v>
      </c>
      <c r="H5" s="3524"/>
      <c r="I5" s="3525" t="s">
        <v>3564</v>
      </c>
      <c r="J5" s="3524"/>
      <c r="K5" s="842"/>
      <c r="L5" s="2013"/>
      <c r="M5" s="2014"/>
      <c r="N5" s="2014"/>
      <c r="O5" s="2014"/>
      <c r="P5" s="3516"/>
      <c r="Q5" s="3517"/>
      <c r="R5" s="3502"/>
      <c r="S5" s="3503"/>
      <c r="T5" s="3502"/>
      <c r="U5" s="3503"/>
      <c r="V5" s="3520"/>
      <c r="W5" s="3520"/>
      <c r="X5" s="3282"/>
      <c r="Y5" s="3502"/>
      <c r="Z5" s="3503"/>
      <c r="AA5" s="3496"/>
      <c r="AB5" s="3496"/>
      <c r="AC5" s="3496"/>
    </row>
    <row r="6" spans="1:29" ht="15.75" thickBot="1">
      <c r="A6" s="510"/>
      <c r="B6" s="511"/>
      <c r="C6" s="3521" t="str">
        <f>'比较法-住宅、综合'!C8:D8</f>
        <v>内江市</v>
      </c>
      <c r="D6" s="3522"/>
      <c r="E6" s="3521" t="str">
        <f>'比较法-住宅、综合'!E8:F8</f>
        <v>内江市</v>
      </c>
      <c r="F6" s="3522"/>
      <c r="G6" s="3521" t="str">
        <f>'比较法-住宅、综合'!G8:H8</f>
        <v>项目位置</v>
      </c>
      <c r="H6" s="3522"/>
      <c r="I6" s="3521" t="str">
        <f>'比较法-住宅、综合'!I8:J8</f>
        <v>项目位置</v>
      </c>
      <c r="J6" s="3522"/>
      <c r="K6" s="842" t="s">
        <v>521</v>
      </c>
      <c r="L6" s="2013"/>
      <c r="M6" s="2014"/>
      <c r="N6" s="2014"/>
      <c r="O6" s="2014"/>
      <c r="P6" s="3518"/>
      <c r="Q6" s="3519"/>
      <c r="R6" s="3502"/>
      <c r="S6" s="3503"/>
      <c r="T6" s="3504"/>
      <c r="U6" s="3505"/>
      <c r="V6" s="3520"/>
      <c r="W6" s="3520"/>
      <c r="X6" s="3282"/>
      <c r="Y6" s="3504"/>
      <c r="Z6" s="3505"/>
      <c r="AA6" s="3497"/>
      <c r="AB6" s="3497"/>
      <c r="AC6" s="3497"/>
    </row>
    <row r="7" spans="1:29" s="1202" customFormat="1" ht="15.75" thickBot="1">
      <c r="A7" s="2627"/>
      <c r="B7" s="2634" t="s">
        <v>522</v>
      </c>
      <c r="C7" s="512">
        <f>'数据-取费表'!B2</f>
        <v>44254</v>
      </c>
      <c r="D7" s="513">
        <v>100</v>
      </c>
      <c r="E7" s="514">
        <v>44228</v>
      </c>
      <c r="F7" s="515">
        <f>SUMIF(58:58,YEAR(E7)&amp;"-"&amp;MONTH(E7),59:59)</f>
        <v>100</v>
      </c>
      <c r="G7" s="514">
        <v>44228</v>
      </c>
      <c r="H7" s="513">
        <f>SUMIF(58:58,YEAR(G7)&amp;"-"&amp;MONTH(G7),59:59)</f>
        <v>100</v>
      </c>
      <c r="I7" s="516">
        <v>44228</v>
      </c>
      <c r="J7" s="513">
        <f>SUMIF(58:58,YEAR(I7)&amp;"-"&amp;MONTH(I7),59:59)</f>
        <v>100</v>
      </c>
      <c r="K7" s="843"/>
      <c r="L7" s="2015"/>
      <c r="M7" s="2016"/>
      <c r="N7" s="2016"/>
      <c r="O7" s="2016"/>
      <c r="P7" s="3498" t="s">
        <v>523</v>
      </c>
      <c r="Q7" s="3507"/>
      <c r="R7" s="1500" t="s">
        <v>13</v>
      </c>
      <c r="S7" s="1501">
        <f t="shared" ref="S7:S15" si="0">F7</f>
        <v>100</v>
      </c>
      <c r="T7" s="1500" t="s">
        <v>13</v>
      </c>
      <c r="U7" s="1501">
        <f t="shared" ref="U7:U15" si="1">H7</f>
        <v>100</v>
      </c>
      <c r="V7" s="1500" t="s">
        <v>13</v>
      </c>
      <c r="W7" s="1501">
        <f t="shared" ref="W7:W15" si="2">J7</f>
        <v>100</v>
      </c>
      <c r="X7" s="1502"/>
      <c r="Y7" s="3498" t="s">
        <v>523</v>
      </c>
      <c r="Z7" s="3499"/>
      <c r="AA7" s="1503">
        <f>D7/F7</f>
        <v>1</v>
      </c>
      <c r="AB7" s="1503">
        <f>D7/H7</f>
        <v>1</v>
      </c>
      <c r="AC7" s="1503">
        <f>D7/J7</f>
        <v>1</v>
      </c>
    </row>
    <row r="8" spans="1:29" s="1202" customFormat="1" ht="15.75" thickBot="1">
      <c r="A8" s="2628"/>
      <c r="B8" s="2635" t="s">
        <v>524</v>
      </c>
      <c r="C8" s="518" t="s">
        <v>569</v>
      </c>
      <c r="D8" s="513">
        <v>100</v>
      </c>
      <c r="E8" s="3306" t="s">
        <v>3541</v>
      </c>
      <c r="F8" s="515">
        <f>SUMIF(61:61,E8,62:62)-SUMIF(61:61,C8,62:62)+100</f>
        <v>100</v>
      </c>
      <c r="G8" s="3306" t="s">
        <v>3541</v>
      </c>
      <c r="H8" s="513">
        <f>SUMIF(61:61,G8,62:62)-SUMIF(61:61,C8,62:62)+100</f>
        <v>100</v>
      </c>
      <c r="I8" s="3306" t="s">
        <v>3541</v>
      </c>
      <c r="J8" s="513">
        <f>SUMIF(61:61,I8,62:62)-SUMIF(61:61,C8,62:62)+100</f>
        <v>100</v>
      </c>
      <c r="K8" s="843"/>
      <c r="L8" s="2015"/>
      <c r="M8" s="2016"/>
      <c r="N8" s="2016"/>
      <c r="O8" s="2016"/>
      <c r="P8" s="3498" t="s">
        <v>526</v>
      </c>
      <c r="Q8" s="3499"/>
      <c r="R8" s="1500" t="s">
        <v>13</v>
      </c>
      <c r="S8" s="1501">
        <f t="shared" si="0"/>
        <v>100</v>
      </c>
      <c r="T8" s="1500" t="s">
        <v>13</v>
      </c>
      <c r="U8" s="1501">
        <f t="shared" si="1"/>
        <v>100</v>
      </c>
      <c r="V8" s="1500" t="s">
        <v>13</v>
      </c>
      <c r="W8" s="1501">
        <f t="shared" si="2"/>
        <v>100</v>
      </c>
      <c r="X8" s="1502"/>
      <c r="Y8" s="3498" t="s">
        <v>526</v>
      </c>
      <c r="Z8" s="3499"/>
      <c r="AA8" s="1503">
        <f t="shared" ref="AA8:AA46" si="3">D8/F8</f>
        <v>1</v>
      </c>
      <c r="AB8" s="1503">
        <f t="shared" ref="AB8:AB46" si="4">D8/H8</f>
        <v>1</v>
      </c>
      <c r="AC8" s="1503">
        <f t="shared" ref="AC8:AC46" si="5">D8/J8</f>
        <v>1</v>
      </c>
    </row>
    <row r="9" spans="1:29" s="1202" customFormat="1" ht="15">
      <c r="A9" s="2629"/>
      <c r="B9" s="2636" t="s">
        <v>2736</v>
      </c>
      <c r="C9" s="3305" t="s">
        <v>3539</v>
      </c>
      <c r="D9" s="251">
        <v>100</v>
      </c>
      <c r="E9" s="3307" t="s">
        <v>913</v>
      </c>
      <c r="F9" s="847">
        <f>SUMIF(63:63,E9,64:64)-SUMIF(63:63,C9,64:64)+100</f>
        <v>100</v>
      </c>
      <c r="G9" s="3307" t="s">
        <v>913</v>
      </c>
      <c r="H9" s="251">
        <f>SUMIF(63:63,G9,64:64)-SUMIF(63:63,C9,64:64)+100</f>
        <v>100</v>
      </c>
      <c r="I9" s="3307" t="s">
        <v>913</v>
      </c>
      <c r="J9" s="251">
        <f>SUMIF(63:63,I9,64:64)-SUMIF(63:63,C9,64:64)+100</f>
        <v>100</v>
      </c>
      <c r="K9" s="843"/>
      <c r="L9" s="2015"/>
      <c r="M9" s="2016"/>
      <c r="N9" s="2016"/>
      <c r="O9" s="2017"/>
      <c r="P9" s="3506" t="s">
        <v>528</v>
      </c>
      <c r="Q9" s="3277" t="str">
        <f t="shared" ref="Q9:Q15" si="6">B9</f>
        <v>用途</v>
      </c>
      <c r="R9" s="1500" t="s">
        <v>8</v>
      </c>
      <c r="S9" s="1501">
        <f t="shared" si="0"/>
        <v>100</v>
      </c>
      <c r="T9" s="1500" t="s">
        <v>8</v>
      </c>
      <c r="U9" s="1501">
        <f t="shared" si="1"/>
        <v>100</v>
      </c>
      <c r="V9" s="1500" t="s">
        <v>8</v>
      </c>
      <c r="W9" s="1501">
        <f t="shared" si="2"/>
        <v>100</v>
      </c>
      <c r="X9" s="1502"/>
      <c r="Y9" s="3457" t="s">
        <v>529</v>
      </c>
      <c r="Z9" s="3272" t="str">
        <f t="shared" ref="Z9:Z15" si="7">Q9</f>
        <v>用途</v>
      </c>
      <c r="AA9" s="1503">
        <f t="shared" si="3"/>
        <v>1</v>
      </c>
      <c r="AB9" s="1503">
        <f t="shared" si="4"/>
        <v>1</v>
      </c>
      <c r="AC9" s="1503">
        <f t="shared" si="5"/>
        <v>1</v>
      </c>
    </row>
    <row r="10" spans="1:29" s="1291" customFormat="1" ht="27">
      <c r="A10" s="2630"/>
      <c r="B10" s="2635" t="s">
        <v>2737</v>
      </c>
      <c r="C10" s="849" t="s">
        <v>3540</v>
      </c>
      <c r="D10" s="252">
        <v>100</v>
      </c>
      <c r="E10" s="3308" t="s">
        <v>3540</v>
      </c>
      <c r="F10" s="851">
        <f>SUMIF(65:65,E10,66:66)-SUMIF(65:65,C10,66:66)+100</f>
        <v>100</v>
      </c>
      <c r="G10" s="3308" t="s">
        <v>3540</v>
      </c>
      <c r="H10" s="252">
        <f>SUMIF(65:65,G10,66:66)-SUMIF(65:65,C10,66:66)+100</f>
        <v>100</v>
      </c>
      <c r="I10" s="3308" t="s">
        <v>3540</v>
      </c>
      <c r="J10" s="252">
        <f>SUMIF(65:65,I10,66:66)-SUMIF(65:65,C10,66:66)+100</f>
        <v>100</v>
      </c>
      <c r="K10" s="852">
        <v>1</v>
      </c>
      <c r="L10" s="2018"/>
      <c r="M10" s="2057"/>
      <c r="N10" s="2057"/>
      <c r="O10" s="2019"/>
      <c r="P10" s="3506"/>
      <c r="Q10" s="3277" t="str">
        <f t="shared" si="6"/>
        <v>土地使用年限（年）</v>
      </c>
      <c r="R10" s="1500" t="s">
        <v>8</v>
      </c>
      <c r="S10" s="1501">
        <f t="shared" si="0"/>
        <v>100</v>
      </c>
      <c r="T10" s="1500" t="s">
        <v>8</v>
      </c>
      <c r="U10" s="1501">
        <f t="shared" si="1"/>
        <v>100</v>
      </c>
      <c r="V10" s="1500" t="s">
        <v>8</v>
      </c>
      <c r="W10" s="1501">
        <f t="shared" si="2"/>
        <v>100</v>
      </c>
      <c r="X10" s="1502"/>
      <c r="Y10" s="3457"/>
      <c r="Z10" s="3272" t="str">
        <f t="shared" si="7"/>
        <v>土地使用年限（年）</v>
      </c>
      <c r="AA10" s="1503">
        <f t="shared" si="3"/>
        <v>1</v>
      </c>
      <c r="AB10" s="1503">
        <f t="shared" si="4"/>
        <v>1</v>
      </c>
      <c r="AC10" s="1503">
        <f t="shared" si="5"/>
        <v>1</v>
      </c>
    </row>
    <row r="11" spans="1:29" ht="15.75" thickBot="1">
      <c r="A11" s="2631"/>
      <c r="B11" s="2635" t="s">
        <v>2738</v>
      </c>
      <c r="C11" s="526">
        <f>'比较法-住宅、综合'!C13</f>
        <v>2.16</v>
      </c>
      <c r="D11" s="252">
        <v>100</v>
      </c>
      <c r="E11" s="527">
        <v>3</v>
      </c>
      <c r="F11" s="851">
        <f>LOOKUP(E11,68:68,69:69)-LOOKUP(C11,68:68,69:69)+100</f>
        <v>98</v>
      </c>
      <c r="G11" s="526">
        <v>3</v>
      </c>
      <c r="H11" s="252">
        <f>LOOKUP(G11,68:68,69:69)-LOOKUP(C11,68:68,69:69)+100</f>
        <v>98</v>
      </c>
      <c r="I11" s="526">
        <v>2.5</v>
      </c>
      <c r="J11" s="252">
        <f>LOOKUP(I11,68:68,69:69)-LOOKUP(C11,68:68,69:69)+100</f>
        <v>100</v>
      </c>
      <c r="K11" s="852">
        <v>2</v>
      </c>
      <c r="L11" s="2020"/>
      <c r="M11" s="2014"/>
      <c r="N11" s="2014"/>
      <c r="O11" s="2021"/>
      <c r="P11" s="3506"/>
      <c r="Q11" s="3277" t="str">
        <f t="shared" si="6"/>
        <v>容积率</v>
      </c>
      <c r="R11" s="1500" t="s">
        <v>11</v>
      </c>
      <c r="S11" s="1501">
        <f t="shared" si="0"/>
        <v>98</v>
      </c>
      <c r="T11" s="1500" t="s">
        <v>11</v>
      </c>
      <c r="U11" s="1501">
        <f t="shared" si="1"/>
        <v>98</v>
      </c>
      <c r="V11" s="1500" t="s">
        <v>11</v>
      </c>
      <c r="W11" s="1501">
        <f t="shared" si="2"/>
        <v>100</v>
      </c>
      <c r="X11" s="1502"/>
      <c r="Y11" s="3457"/>
      <c r="Z11" s="3272" t="str">
        <f t="shared" si="7"/>
        <v>容积率</v>
      </c>
      <c r="AA11" s="1503">
        <f t="shared" si="3"/>
        <v>1.0204081632653061</v>
      </c>
      <c r="AB11" s="1503">
        <f t="shared" si="4"/>
        <v>1.0204081632653061</v>
      </c>
      <c r="AC11" s="1503">
        <f t="shared" si="5"/>
        <v>1</v>
      </c>
    </row>
    <row r="12" spans="1:29" s="1202" customFormat="1" ht="15.75" hidden="1" thickBot="1">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506"/>
      <c r="Q12" s="3277">
        <f t="shared" si="6"/>
        <v>111</v>
      </c>
      <c r="R12" s="1500" t="s">
        <v>11</v>
      </c>
      <c r="S12" s="1501">
        <f t="shared" si="0"/>
        <v>100</v>
      </c>
      <c r="T12" s="1500" t="s">
        <v>11</v>
      </c>
      <c r="U12" s="1501">
        <f t="shared" si="1"/>
        <v>100</v>
      </c>
      <c r="V12" s="1500" t="s">
        <v>11</v>
      </c>
      <c r="W12" s="1501">
        <f t="shared" si="2"/>
        <v>100</v>
      </c>
      <c r="X12" s="1502"/>
      <c r="Y12" s="3457"/>
      <c r="Z12" s="3272">
        <f t="shared" si="7"/>
        <v>111</v>
      </c>
      <c r="AA12" s="1503">
        <f>D12/F12</f>
        <v>1</v>
      </c>
      <c r="AB12" s="1503">
        <f>D12/H12</f>
        <v>1</v>
      </c>
      <c r="AC12" s="1503">
        <f>D12/J12</f>
        <v>1</v>
      </c>
    </row>
    <row r="13" spans="1:29" ht="15.75" hidden="1" thickBot="1">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506"/>
      <c r="Q13" s="3277">
        <f t="shared" si="6"/>
        <v>111</v>
      </c>
      <c r="R13" s="1500" t="s">
        <v>11</v>
      </c>
      <c r="S13" s="1501">
        <f t="shared" si="0"/>
        <v>100</v>
      </c>
      <c r="T13" s="1500" t="s">
        <v>11</v>
      </c>
      <c r="U13" s="1501">
        <f t="shared" si="1"/>
        <v>100</v>
      </c>
      <c r="V13" s="1500" t="s">
        <v>11</v>
      </c>
      <c r="W13" s="1501">
        <f t="shared" si="2"/>
        <v>100</v>
      </c>
      <c r="X13" s="1502"/>
      <c r="Y13" s="3457"/>
      <c r="Z13" s="3272">
        <f t="shared" si="7"/>
        <v>111</v>
      </c>
      <c r="AA13" s="1503">
        <f t="shared" si="3"/>
        <v>1</v>
      </c>
      <c r="AB13" s="1503">
        <f t="shared" si="4"/>
        <v>1</v>
      </c>
      <c r="AC13" s="1503">
        <f t="shared" si="5"/>
        <v>1</v>
      </c>
    </row>
    <row r="14" spans="1:29" ht="15.75" hidden="1"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506"/>
      <c r="Q14" s="3277">
        <f t="shared" si="6"/>
        <v>111</v>
      </c>
      <c r="R14" s="1500" t="s">
        <v>11</v>
      </c>
      <c r="S14" s="1501">
        <f t="shared" si="0"/>
        <v>100</v>
      </c>
      <c r="T14" s="1500" t="s">
        <v>11</v>
      </c>
      <c r="U14" s="1501">
        <f t="shared" si="1"/>
        <v>100</v>
      </c>
      <c r="V14" s="1500" t="s">
        <v>11</v>
      </c>
      <c r="W14" s="1501">
        <f t="shared" si="2"/>
        <v>100</v>
      </c>
      <c r="X14" s="1502"/>
      <c r="Y14" s="3457"/>
      <c r="Z14" s="3272">
        <f t="shared" si="7"/>
        <v>111</v>
      </c>
      <c r="AA14" s="1503">
        <f t="shared" si="3"/>
        <v>1</v>
      </c>
      <c r="AB14" s="1503">
        <f t="shared" si="4"/>
        <v>1</v>
      </c>
      <c r="AC14" s="1503">
        <f t="shared" si="5"/>
        <v>1</v>
      </c>
    </row>
    <row r="15" spans="1:29" ht="99.75">
      <c r="A15" s="2625" t="s">
        <v>2734</v>
      </c>
      <c r="B15" s="164" t="s">
        <v>294</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5</v>
      </c>
      <c r="L15" s="2022"/>
      <c r="M15" s="2014"/>
      <c r="N15" s="2014"/>
      <c r="O15" s="2021"/>
      <c r="P15" s="3508" t="s">
        <v>533</v>
      </c>
      <c r="Q15" s="3280" t="str">
        <f t="shared" si="6"/>
        <v>居住社区成熟度</v>
      </c>
      <c r="R15" s="1505" t="s">
        <v>11</v>
      </c>
      <c r="S15" s="1506">
        <f t="shared" si="0"/>
        <v>100</v>
      </c>
      <c r="T15" s="1505" t="s">
        <v>11</v>
      </c>
      <c r="U15" s="1506">
        <f t="shared" si="1"/>
        <v>100</v>
      </c>
      <c r="V15" s="1505" t="s">
        <v>11</v>
      </c>
      <c r="W15" s="1506">
        <f t="shared" si="2"/>
        <v>100</v>
      </c>
      <c r="X15" s="3282"/>
      <c r="Y15" s="3508" t="s">
        <v>533</v>
      </c>
      <c r="Z15" s="3281" t="str">
        <f t="shared" si="7"/>
        <v>居住社区成熟度</v>
      </c>
      <c r="AA15" s="3283">
        <f t="shared" si="3"/>
        <v>1</v>
      </c>
      <c r="AB15" s="3283">
        <f t="shared" si="4"/>
        <v>1</v>
      </c>
      <c r="AC15" s="3283">
        <f t="shared" si="5"/>
        <v>1</v>
      </c>
    </row>
    <row r="16" spans="1:29" ht="15">
      <c r="A16" s="525"/>
      <c r="B16" s="857"/>
      <c r="C16" s="569" t="str">
        <f>'比较法-住宅、综合'!C18</f>
        <v>较好</v>
      </c>
      <c r="D16" s="548"/>
      <c r="E16" s="569" t="s">
        <v>3522</v>
      </c>
      <c r="F16" s="550"/>
      <c r="G16" s="569" t="s">
        <v>3522</v>
      </c>
      <c r="H16" s="552"/>
      <c r="I16" s="569" t="s">
        <v>3522</v>
      </c>
      <c r="J16" s="548"/>
      <c r="K16" s="858"/>
      <c r="L16" s="2022"/>
      <c r="M16" s="2014"/>
      <c r="N16" s="2014"/>
      <c r="O16" s="2021"/>
      <c r="P16" s="3509"/>
      <c r="Q16" s="3280"/>
      <c r="R16" s="1505"/>
      <c r="S16" s="1506"/>
      <c r="T16" s="1505"/>
      <c r="U16" s="1506"/>
      <c r="V16" s="1505"/>
      <c r="W16" s="1506"/>
      <c r="X16" s="3282"/>
      <c r="Y16" s="3509"/>
      <c r="Z16" s="3281"/>
      <c r="AA16" s="3283">
        <v>1</v>
      </c>
      <c r="AB16" s="3283">
        <v>1</v>
      </c>
      <c r="AC16" s="3283">
        <v>1</v>
      </c>
    </row>
    <row r="17" spans="1:29" ht="85.5">
      <c r="A17" s="525"/>
      <c r="B17" s="859" t="s">
        <v>295</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v>2</v>
      </c>
      <c r="L17" s="2022"/>
      <c r="M17" s="2014"/>
      <c r="N17" s="2014"/>
      <c r="O17" s="2021"/>
      <c r="P17" s="3509"/>
      <c r="Q17" s="3280" t="str">
        <f>B17</f>
        <v>交通便捷度</v>
      </c>
      <c r="R17" s="1505" t="s">
        <v>11</v>
      </c>
      <c r="S17" s="1506">
        <f>F17</f>
        <v>100</v>
      </c>
      <c r="T17" s="1505" t="s">
        <v>11</v>
      </c>
      <c r="U17" s="1506">
        <f>H17</f>
        <v>100</v>
      </c>
      <c r="V17" s="1505" t="s">
        <v>11</v>
      </c>
      <c r="W17" s="1506">
        <f>J17</f>
        <v>100</v>
      </c>
      <c r="X17" s="3282"/>
      <c r="Y17" s="3509"/>
      <c r="Z17" s="3281" t="str">
        <f>Q17</f>
        <v>交通便捷度</v>
      </c>
      <c r="AA17" s="3283">
        <f t="shared" si="3"/>
        <v>1</v>
      </c>
      <c r="AB17" s="3283">
        <f t="shared" si="4"/>
        <v>1</v>
      </c>
      <c r="AC17" s="3283">
        <f t="shared" si="5"/>
        <v>1</v>
      </c>
    </row>
    <row r="18" spans="1:29" ht="15">
      <c r="A18" s="525"/>
      <c r="B18" s="588"/>
      <c r="C18" s="861" t="str">
        <f>'比较法-住宅、综合'!C24</f>
        <v>一般</v>
      </c>
      <c r="D18" s="552"/>
      <c r="E18" s="861" t="str">
        <f>'比较法-住宅、综合'!E24</f>
        <v>一般</v>
      </c>
      <c r="F18" s="556"/>
      <c r="G18" s="562" t="s">
        <v>3523</v>
      </c>
      <c r="H18" s="548"/>
      <c r="I18" s="562" t="s">
        <v>3523</v>
      </c>
      <c r="J18" s="548"/>
      <c r="K18" s="858"/>
      <c r="L18" s="2022"/>
      <c r="M18" s="2014"/>
      <c r="N18" s="2014"/>
      <c r="O18" s="2021"/>
      <c r="P18" s="3509"/>
      <c r="Q18" s="3280"/>
      <c r="R18" s="1505"/>
      <c r="S18" s="1506"/>
      <c r="T18" s="1505"/>
      <c r="U18" s="1506"/>
      <c r="V18" s="1505"/>
      <c r="W18" s="1506"/>
      <c r="X18" s="3282"/>
      <c r="Y18" s="3509"/>
      <c r="Z18" s="3281"/>
      <c r="AA18" s="3283">
        <v>1</v>
      </c>
      <c r="AB18" s="3283">
        <v>1</v>
      </c>
      <c r="AC18" s="3283">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102</v>
      </c>
      <c r="I19" s="563"/>
      <c r="J19" s="552">
        <f>SUMIF(80:80,I20,81:81)-SUMIF(80:80,C20,81:81)+100</f>
        <v>102</v>
      </c>
      <c r="K19" s="856">
        <v>2</v>
      </c>
      <c r="L19" s="2022"/>
      <c r="M19" s="2014"/>
      <c r="N19" s="2014"/>
      <c r="O19" s="2021"/>
      <c r="P19" s="3509"/>
      <c r="Q19" s="3280" t="str">
        <f>B19</f>
        <v>公共配套设施</v>
      </c>
      <c r="R19" s="1505" t="s">
        <v>11</v>
      </c>
      <c r="S19" s="1506">
        <f>F19</f>
        <v>100</v>
      </c>
      <c r="T19" s="1505" t="s">
        <v>11</v>
      </c>
      <c r="U19" s="1506">
        <f>H19</f>
        <v>102</v>
      </c>
      <c r="V19" s="1505" t="s">
        <v>11</v>
      </c>
      <c r="W19" s="1506">
        <f>J19</f>
        <v>102</v>
      </c>
      <c r="X19" s="3282"/>
      <c r="Y19" s="3509"/>
      <c r="Z19" s="3281" t="str">
        <f>Q19</f>
        <v>公共配套设施</v>
      </c>
      <c r="AA19" s="3283">
        <f t="shared" si="3"/>
        <v>1</v>
      </c>
      <c r="AB19" s="3283">
        <f t="shared" si="4"/>
        <v>0.98039215686274506</v>
      </c>
      <c r="AC19" s="3283">
        <f t="shared" si="5"/>
        <v>0.98039215686274506</v>
      </c>
    </row>
    <row r="20" spans="1:29" ht="15">
      <c r="A20" s="525"/>
      <c r="B20" s="588"/>
      <c r="C20" s="569" t="str">
        <f>'比较法-住宅、综合'!C30</f>
        <v>一般</v>
      </c>
      <c r="D20" s="548"/>
      <c r="E20" s="569" t="s">
        <v>3523</v>
      </c>
      <c r="F20" s="550"/>
      <c r="G20" s="551" t="s">
        <v>3522</v>
      </c>
      <c r="H20" s="548"/>
      <c r="I20" s="551" t="s">
        <v>3522</v>
      </c>
      <c r="J20" s="548"/>
      <c r="K20" s="858"/>
      <c r="L20" s="2022"/>
      <c r="M20" s="2014"/>
      <c r="N20" s="2014"/>
      <c r="O20" s="2021"/>
      <c r="P20" s="3509"/>
      <c r="Q20" s="3280"/>
      <c r="R20" s="1505"/>
      <c r="S20" s="1506"/>
      <c r="T20" s="1505"/>
      <c r="U20" s="1506"/>
      <c r="V20" s="1505"/>
      <c r="W20" s="1506"/>
      <c r="X20" s="3282"/>
      <c r="Y20" s="3509"/>
      <c r="Z20" s="3281"/>
      <c r="AA20" s="3283">
        <v>1</v>
      </c>
      <c r="AB20" s="3283">
        <v>1</v>
      </c>
      <c r="AC20" s="3283">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2"/>
      <c r="M21" s="2014"/>
      <c r="N21" s="2014"/>
      <c r="O21" s="2021"/>
      <c r="P21" s="3509"/>
      <c r="Q21" s="3280" t="str">
        <f>B21</f>
        <v>基础设施水平</v>
      </c>
      <c r="R21" s="1505" t="s">
        <v>11</v>
      </c>
      <c r="S21" s="1506">
        <f>F21</f>
        <v>100</v>
      </c>
      <c r="T21" s="1505" t="s">
        <v>11</v>
      </c>
      <c r="U21" s="1506">
        <f>H21</f>
        <v>100</v>
      </c>
      <c r="V21" s="1505" t="s">
        <v>11</v>
      </c>
      <c r="W21" s="1506">
        <f>J21</f>
        <v>100</v>
      </c>
      <c r="X21" s="3282"/>
      <c r="Y21" s="3509"/>
      <c r="Z21" s="3281" t="str">
        <f>Q21</f>
        <v>基础设施水平</v>
      </c>
      <c r="AA21" s="3283">
        <f t="shared" ref="AA21" si="8">D21/F21</f>
        <v>1</v>
      </c>
      <c r="AB21" s="3283">
        <f t="shared" ref="AB21" si="9">D21/H21</f>
        <v>1</v>
      </c>
      <c r="AC21" s="3283">
        <f t="shared" ref="AC21" si="10">D21/J21</f>
        <v>1</v>
      </c>
    </row>
    <row r="22" spans="1:29" ht="15">
      <c r="A22" s="525"/>
      <c r="B22" s="910"/>
      <c r="C22" s="861" t="str">
        <f>'比较法-住宅、综合'!C32</f>
        <v>六通</v>
      </c>
      <c r="D22" s="548"/>
      <c r="E22" s="861" t="str">
        <f>'比较法-住宅、综合'!E32</f>
        <v>六通</v>
      </c>
      <c r="F22" s="550"/>
      <c r="G22" s="569" t="s">
        <v>3527</v>
      </c>
      <c r="H22" s="548"/>
      <c r="I22" s="569" t="s">
        <v>3527</v>
      </c>
      <c r="J22" s="548"/>
      <c r="K22" s="2441"/>
      <c r="L22" s="2022"/>
      <c r="M22" s="2014"/>
      <c r="N22" s="2014"/>
      <c r="O22" s="2021"/>
      <c r="P22" s="3509"/>
      <c r="Q22" s="3280"/>
      <c r="R22" s="1505"/>
      <c r="S22" s="1506"/>
      <c r="T22" s="1505"/>
      <c r="U22" s="1506"/>
      <c r="V22" s="1505"/>
      <c r="W22" s="1506"/>
      <c r="X22" s="3282"/>
      <c r="Y22" s="3509"/>
      <c r="Z22" s="3281"/>
      <c r="AA22" s="3283">
        <v>1</v>
      </c>
      <c r="AB22" s="3283">
        <v>1</v>
      </c>
      <c r="AC22" s="3283">
        <v>1</v>
      </c>
    </row>
    <row r="23" spans="1:29" ht="57">
      <c r="A23" s="525"/>
      <c r="B23" s="859" t="s">
        <v>296</v>
      </c>
      <c r="C23" s="860" t="str">
        <f>估价对象房地状况!C9</f>
        <v>区域自然环境：；人文环境；综合评价环境状况一般</v>
      </c>
      <c r="D23" s="552">
        <v>100</v>
      </c>
      <c r="E23" s="555"/>
      <c r="F23" s="556">
        <f>SUMIF(84:84,E24,85:85)-SUMIF(84:84,C24,85:85)+100</f>
        <v>100</v>
      </c>
      <c r="G23" s="557"/>
      <c r="H23" s="552">
        <f>SUMIF(84:84,G24,85:85)-SUMIF(84:84,C24,85:85)+100</f>
        <v>102</v>
      </c>
      <c r="I23" s="555"/>
      <c r="J23" s="552">
        <f>SUMIF(84:84,I24,85:85)-SUMIF(84:84,C24,85:85)+100</f>
        <v>102</v>
      </c>
      <c r="K23" s="856">
        <v>2</v>
      </c>
      <c r="L23" s="2022"/>
      <c r="M23" s="2014"/>
      <c r="N23" s="2014"/>
      <c r="O23" s="2021"/>
      <c r="P23" s="3509"/>
      <c r="Q23" s="3280" t="str">
        <f>B23</f>
        <v>自然及人文环境</v>
      </c>
      <c r="R23" s="1505" t="s">
        <v>11</v>
      </c>
      <c r="S23" s="1506">
        <f>F23</f>
        <v>100</v>
      </c>
      <c r="T23" s="1505" t="s">
        <v>11</v>
      </c>
      <c r="U23" s="1506">
        <f>H23</f>
        <v>102</v>
      </c>
      <c r="V23" s="1505" t="s">
        <v>11</v>
      </c>
      <c r="W23" s="1506">
        <f>J23</f>
        <v>102</v>
      </c>
      <c r="X23" s="3282"/>
      <c r="Y23" s="3509"/>
      <c r="Z23" s="3281" t="str">
        <f>Q23</f>
        <v>自然及人文环境</v>
      </c>
      <c r="AA23" s="3283">
        <f t="shared" si="3"/>
        <v>1</v>
      </c>
      <c r="AB23" s="3283">
        <f t="shared" si="4"/>
        <v>0.98039215686274506</v>
      </c>
      <c r="AC23" s="3283">
        <f t="shared" si="5"/>
        <v>0.98039215686274506</v>
      </c>
    </row>
    <row r="24" spans="1:29" ht="15.75" thickBot="1">
      <c r="A24" s="525"/>
      <c r="B24" s="588"/>
      <c r="C24" s="569" t="str">
        <f>'比较法-住宅、综合'!C28</f>
        <v>一般</v>
      </c>
      <c r="D24" s="548"/>
      <c r="E24" s="569" t="str">
        <f>'比较法-住宅、综合'!E28</f>
        <v>一般</v>
      </c>
      <c r="F24" s="550"/>
      <c r="G24" s="551" t="s">
        <v>3522</v>
      </c>
      <c r="H24" s="548"/>
      <c r="I24" s="551" t="s">
        <v>3522</v>
      </c>
      <c r="J24" s="548"/>
      <c r="K24" s="858"/>
      <c r="L24" s="2022"/>
      <c r="M24" s="2014"/>
      <c r="N24" s="2014"/>
      <c r="O24" s="2021"/>
      <c r="P24" s="3509"/>
      <c r="Q24" s="3280"/>
      <c r="R24" s="1505"/>
      <c r="S24" s="1506"/>
      <c r="T24" s="1505"/>
      <c r="U24" s="1506"/>
      <c r="V24" s="1505"/>
      <c r="W24" s="1506"/>
      <c r="X24" s="3282"/>
      <c r="Y24" s="3509"/>
      <c r="Z24" s="3281"/>
      <c r="AA24" s="3283">
        <v>1</v>
      </c>
      <c r="AB24" s="3283">
        <v>1</v>
      </c>
      <c r="AC24" s="3283">
        <v>1</v>
      </c>
    </row>
    <row r="25" spans="1:29" ht="15.75" hidden="1" thickBot="1">
      <c r="A25" s="525"/>
      <c r="B25" s="1807" t="s">
        <v>2244</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509"/>
      <c r="Q25" s="3280" t="str">
        <f t="shared" ref="Q25:Q46" si="11">B25</f>
        <v>楼层-1</v>
      </c>
      <c r="R25" s="1505" t="s">
        <v>11</v>
      </c>
      <c r="S25" s="1506">
        <f>F25</f>
        <v>100</v>
      </c>
      <c r="T25" s="1505" t="s">
        <v>11</v>
      </c>
      <c r="U25" s="1506">
        <f>H25</f>
        <v>100</v>
      </c>
      <c r="V25" s="1505" t="s">
        <v>11</v>
      </c>
      <c r="W25" s="1506">
        <f>J25</f>
        <v>100</v>
      </c>
      <c r="X25" s="3282"/>
      <c r="Y25" s="3509"/>
      <c r="Z25" s="3281" t="str">
        <f>Q25</f>
        <v>楼层-1</v>
      </c>
      <c r="AA25" s="3283">
        <f t="shared" si="3"/>
        <v>1</v>
      </c>
      <c r="AB25" s="3283">
        <f t="shared" si="4"/>
        <v>1</v>
      </c>
      <c r="AC25" s="3283">
        <f t="shared" si="5"/>
        <v>1</v>
      </c>
    </row>
    <row r="26" spans="1:29" ht="15.75" hidden="1" thickBot="1">
      <c r="A26" s="525"/>
      <c r="B26" s="520" t="s">
        <v>716</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509"/>
      <c r="Q26" s="3280" t="str">
        <f t="shared" si="11"/>
        <v>朝向</v>
      </c>
      <c r="R26" s="1505" t="s">
        <v>11</v>
      </c>
      <c r="S26" s="1506">
        <f>F26</f>
        <v>100</v>
      </c>
      <c r="T26" s="1505" t="s">
        <v>11</v>
      </c>
      <c r="U26" s="1506">
        <f>H26</f>
        <v>100</v>
      </c>
      <c r="V26" s="1505" t="s">
        <v>11</v>
      </c>
      <c r="W26" s="1506">
        <f>J26</f>
        <v>100</v>
      </c>
      <c r="X26" s="3282"/>
      <c r="Y26" s="3509"/>
      <c r="Z26" s="3281" t="str">
        <f>Q26</f>
        <v>朝向</v>
      </c>
      <c r="AA26" s="3283">
        <f t="shared" si="3"/>
        <v>1</v>
      </c>
      <c r="AB26" s="3283">
        <f t="shared" si="4"/>
        <v>1</v>
      </c>
      <c r="AC26" s="3283">
        <f t="shared" si="5"/>
        <v>1</v>
      </c>
    </row>
    <row r="27" spans="1:29" s="1202" customFormat="1" ht="15.75" hidden="1" thickBot="1">
      <c r="A27" s="529"/>
      <c r="B27" s="530" t="s">
        <v>717</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509"/>
      <c r="Q27" s="3277" t="str">
        <f t="shared" si="11"/>
        <v>道路级别</v>
      </c>
      <c r="R27" s="1500" t="s">
        <v>11</v>
      </c>
      <c r="S27" s="1501">
        <f>F27</f>
        <v>100</v>
      </c>
      <c r="T27" s="1500" t="s">
        <v>11</v>
      </c>
      <c r="U27" s="1501">
        <f>H27</f>
        <v>100</v>
      </c>
      <c r="V27" s="1500" t="s">
        <v>11</v>
      </c>
      <c r="W27" s="1501">
        <f>J27</f>
        <v>100</v>
      </c>
      <c r="X27" s="1502"/>
      <c r="Y27" s="3509"/>
      <c r="Z27" s="3272" t="str">
        <f>Q27</f>
        <v>道路级别</v>
      </c>
      <c r="AA27" s="3283">
        <f>D27/F27</f>
        <v>1</v>
      </c>
      <c r="AB27" s="3283">
        <f>D27/H27</f>
        <v>1</v>
      </c>
      <c r="AC27" s="3283">
        <f>D27/J27</f>
        <v>1</v>
      </c>
    </row>
    <row r="28" spans="1:29" ht="15.75" hidden="1" thickBot="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509"/>
      <c r="Q28" s="3280">
        <f t="shared" si="11"/>
        <v>111</v>
      </c>
      <c r="R28" s="1505" t="s">
        <v>11</v>
      </c>
      <c r="S28" s="1506">
        <f t="shared" ref="S28:S46" si="12">F28</f>
        <v>100</v>
      </c>
      <c r="T28" s="1505" t="s">
        <v>11</v>
      </c>
      <c r="U28" s="1506">
        <f t="shared" ref="U28:U46" si="13">H28</f>
        <v>100</v>
      </c>
      <c r="V28" s="1505" t="s">
        <v>11</v>
      </c>
      <c r="W28" s="1506">
        <f t="shared" ref="W28:W46" si="14">J28</f>
        <v>100</v>
      </c>
      <c r="X28" s="3282"/>
      <c r="Y28" s="3509"/>
      <c r="Z28" s="3281">
        <f t="shared" ref="Z28:Z46" si="15">Q28</f>
        <v>111</v>
      </c>
      <c r="AA28" s="3283">
        <f t="shared" si="3"/>
        <v>1</v>
      </c>
      <c r="AB28" s="3283">
        <f t="shared" si="4"/>
        <v>1</v>
      </c>
      <c r="AC28" s="3283">
        <f t="shared" si="5"/>
        <v>1</v>
      </c>
    </row>
    <row r="29" spans="1:29" ht="15.75" hidden="1" thickBot="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509"/>
      <c r="Q29" s="3280">
        <f t="shared" si="11"/>
        <v>111</v>
      </c>
      <c r="R29" s="1505" t="s">
        <v>11</v>
      </c>
      <c r="S29" s="1506">
        <f t="shared" si="12"/>
        <v>100</v>
      </c>
      <c r="T29" s="1505" t="s">
        <v>11</v>
      </c>
      <c r="U29" s="1506">
        <f t="shared" si="13"/>
        <v>100</v>
      </c>
      <c r="V29" s="1505" t="s">
        <v>11</v>
      </c>
      <c r="W29" s="1506">
        <f t="shared" si="14"/>
        <v>100</v>
      </c>
      <c r="X29" s="3282"/>
      <c r="Y29" s="3509"/>
      <c r="Z29" s="3281">
        <f t="shared" si="15"/>
        <v>111</v>
      </c>
      <c r="AA29" s="3283">
        <f t="shared" si="3"/>
        <v>1</v>
      </c>
      <c r="AB29" s="3283">
        <f t="shared" si="4"/>
        <v>1</v>
      </c>
      <c r="AC29" s="3283">
        <f t="shared" si="5"/>
        <v>1</v>
      </c>
    </row>
    <row r="30" spans="1:29" ht="15.75" hidden="1" thickBot="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509"/>
      <c r="Q30" s="3280">
        <f t="shared" si="11"/>
        <v>111</v>
      </c>
      <c r="R30" s="1505" t="s">
        <v>11</v>
      </c>
      <c r="S30" s="1506">
        <f t="shared" si="12"/>
        <v>100</v>
      </c>
      <c r="T30" s="1505" t="s">
        <v>11</v>
      </c>
      <c r="U30" s="1506">
        <f t="shared" si="13"/>
        <v>100</v>
      </c>
      <c r="V30" s="1505" t="s">
        <v>11</v>
      </c>
      <c r="W30" s="1506">
        <f t="shared" si="14"/>
        <v>100</v>
      </c>
      <c r="X30" s="3282"/>
      <c r="Y30" s="3509"/>
      <c r="Z30" s="3281">
        <f t="shared" si="15"/>
        <v>111</v>
      </c>
      <c r="AA30" s="3283">
        <f t="shared" si="3"/>
        <v>1</v>
      </c>
      <c r="AB30" s="3283">
        <f t="shared" si="4"/>
        <v>1</v>
      </c>
      <c r="AC30" s="3283">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509"/>
      <c r="Q31" s="3280">
        <f t="shared" si="11"/>
        <v>111</v>
      </c>
      <c r="R31" s="1505" t="s">
        <v>11</v>
      </c>
      <c r="S31" s="1506">
        <f t="shared" si="12"/>
        <v>100</v>
      </c>
      <c r="T31" s="1505" t="s">
        <v>11</v>
      </c>
      <c r="U31" s="1506">
        <f t="shared" si="13"/>
        <v>100</v>
      </c>
      <c r="V31" s="1505" t="s">
        <v>11</v>
      </c>
      <c r="W31" s="1506">
        <f t="shared" si="14"/>
        <v>100</v>
      </c>
      <c r="X31" s="3282"/>
      <c r="Y31" s="3509"/>
      <c r="Z31" s="3281">
        <f t="shared" si="15"/>
        <v>111</v>
      </c>
      <c r="AA31" s="3283">
        <f t="shared" si="3"/>
        <v>1</v>
      </c>
      <c r="AB31" s="3283">
        <f t="shared" si="4"/>
        <v>1</v>
      </c>
      <c r="AC31" s="3283">
        <f t="shared" si="5"/>
        <v>1</v>
      </c>
    </row>
    <row r="32" spans="1:29" ht="15">
      <c r="A32" s="2622" t="s">
        <v>2735</v>
      </c>
      <c r="B32" s="170" t="s">
        <v>718</v>
      </c>
      <c r="C32" s="866" t="s">
        <v>3047</v>
      </c>
      <c r="D32" s="590">
        <v>100</v>
      </c>
      <c r="E32" s="867" t="s">
        <v>3060</v>
      </c>
      <c r="F32" s="568">
        <f>SUMIF(100:100,E32,101:101)-SUMIF(100:100,C32,101:101)+100</f>
        <v>92</v>
      </c>
      <c r="G32" s="867" t="s">
        <v>3060</v>
      </c>
      <c r="H32" s="590">
        <f>SUMIF(100:100,G32,101:101)-SUMIF(100:100,C32,101:101)+100</f>
        <v>92</v>
      </c>
      <c r="I32" s="867" t="s">
        <v>3060</v>
      </c>
      <c r="J32" s="533">
        <f>SUMIF(100:100,I32,101:101)-SUMIF(100:100,C32,101:101)+100</f>
        <v>92</v>
      </c>
      <c r="K32" s="852">
        <v>8</v>
      </c>
      <c r="L32" s="2022"/>
      <c r="M32" s="2014"/>
      <c r="N32" s="2014"/>
      <c r="O32" s="2021"/>
      <c r="P32" s="3510" t="s">
        <v>543</v>
      </c>
      <c r="Q32" s="3280" t="str">
        <f t="shared" si="11"/>
        <v>建筑类型</v>
      </c>
      <c r="R32" s="1505" t="s">
        <v>11</v>
      </c>
      <c r="S32" s="1506">
        <f t="shared" si="12"/>
        <v>92</v>
      </c>
      <c r="T32" s="1505" t="s">
        <v>11</v>
      </c>
      <c r="U32" s="1506">
        <f t="shared" si="13"/>
        <v>92</v>
      </c>
      <c r="V32" s="1505" t="s">
        <v>11</v>
      </c>
      <c r="W32" s="1506">
        <f t="shared" si="14"/>
        <v>92</v>
      </c>
      <c r="X32" s="3282"/>
      <c r="Y32" s="3511" t="s">
        <v>543</v>
      </c>
      <c r="Z32" s="3281" t="str">
        <f t="shared" si="15"/>
        <v>建筑类型</v>
      </c>
      <c r="AA32" s="3283">
        <f t="shared" si="3"/>
        <v>1.0869565217391304</v>
      </c>
      <c r="AB32" s="3283">
        <f t="shared" si="4"/>
        <v>1.0869565217391304</v>
      </c>
      <c r="AC32" s="3283">
        <f t="shared" si="5"/>
        <v>1.0869565217391304</v>
      </c>
    </row>
    <row r="33" spans="1:29" s="1292" customFormat="1" ht="15">
      <c r="A33" s="596"/>
      <c r="B33" s="520" t="s">
        <v>719</v>
      </c>
      <c r="C33" s="868">
        <f>'数据-汇总表'!E3</f>
        <v>172032.86</v>
      </c>
      <c r="D33" s="252">
        <v>100</v>
      </c>
      <c r="E33" s="527">
        <f>60666*3</f>
        <v>181998</v>
      </c>
      <c r="F33" s="851">
        <f>LOOKUP(E33,103:103,104:104)-LOOKUP(C33,103:103,104:104)+100</f>
        <v>100</v>
      </c>
      <c r="G33" s="526">
        <v>207727.84</v>
      </c>
      <c r="H33" s="252">
        <f>LOOKUP(G33,103:103,104:104)-LOOKUP(C33,103:103,104:104)+100</f>
        <v>102</v>
      </c>
      <c r="I33" s="527">
        <v>396000</v>
      </c>
      <c r="J33" s="252">
        <f>LOOKUP(I33,103:103,104:104)-LOOKUP(C33,103:103,104:104)+100</f>
        <v>104</v>
      </c>
      <c r="K33" s="853"/>
      <c r="L33" s="2020"/>
      <c r="M33" s="2050"/>
      <c r="N33" s="2050"/>
      <c r="O33" s="2023"/>
      <c r="P33" s="3511"/>
      <c r="Q33" s="1533" t="str">
        <f t="shared" si="11"/>
        <v>项目建筑规模</v>
      </c>
      <c r="R33" s="1509" t="s">
        <v>11</v>
      </c>
      <c r="S33" s="1510">
        <f t="shared" si="12"/>
        <v>100</v>
      </c>
      <c r="T33" s="1509" t="s">
        <v>11</v>
      </c>
      <c r="U33" s="1510">
        <f t="shared" si="13"/>
        <v>102</v>
      </c>
      <c r="V33" s="1509" t="s">
        <v>11</v>
      </c>
      <c r="W33" s="1510">
        <f t="shared" si="14"/>
        <v>104</v>
      </c>
      <c r="X33" s="1511"/>
      <c r="Y33" s="3511"/>
      <c r="Z33" s="1512" t="str">
        <f t="shared" si="15"/>
        <v>项目建筑规模</v>
      </c>
      <c r="AA33" s="3283">
        <f t="shared" si="3"/>
        <v>1</v>
      </c>
      <c r="AB33" s="3283">
        <f t="shared" si="4"/>
        <v>0.98039215686274506</v>
      </c>
      <c r="AC33" s="3283">
        <f t="shared" si="5"/>
        <v>0.96153846153846156</v>
      </c>
    </row>
    <row r="34" spans="1:29" ht="15">
      <c r="A34" s="587"/>
      <c r="B34" s="520" t="s">
        <v>720</v>
      </c>
      <c r="C34" s="869" t="s">
        <v>3544</v>
      </c>
      <c r="D34" s="533">
        <v>100</v>
      </c>
      <c r="E34" s="869" t="s">
        <v>3544</v>
      </c>
      <c r="F34" s="568">
        <f>SUMIF(105:105,E34,106:106)-SUMIF(105:105,C34,106:106)+100</f>
        <v>100</v>
      </c>
      <c r="G34" s="869" t="s">
        <v>3544</v>
      </c>
      <c r="H34" s="533">
        <f>SUMIF(105:105,G34,106:106)-SUMIF(105:105,C34,106:106)+100</f>
        <v>100</v>
      </c>
      <c r="I34" s="3310" t="s">
        <v>3545</v>
      </c>
      <c r="J34" s="533">
        <f>SUMIF(105:105,I34,106:106)-SUMIF(105:105,C34,106:106)+100</f>
        <v>100</v>
      </c>
      <c r="K34" s="852">
        <v>1</v>
      </c>
      <c r="L34" s="2022"/>
      <c r="M34" s="2014"/>
      <c r="N34" s="2014"/>
      <c r="O34" s="2021"/>
      <c r="P34" s="3511"/>
      <c r="Q34" s="3280" t="str">
        <f t="shared" si="11"/>
        <v>建筑结构</v>
      </c>
      <c r="R34" s="1505" t="s">
        <v>11</v>
      </c>
      <c r="S34" s="1506">
        <f t="shared" si="12"/>
        <v>100</v>
      </c>
      <c r="T34" s="1505" t="s">
        <v>11</v>
      </c>
      <c r="U34" s="1506">
        <f t="shared" si="13"/>
        <v>100</v>
      </c>
      <c r="V34" s="1505" t="s">
        <v>11</v>
      </c>
      <c r="W34" s="1506">
        <f t="shared" si="14"/>
        <v>100</v>
      </c>
      <c r="X34" s="3282"/>
      <c r="Y34" s="3511"/>
      <c r="Z34" s="3281" t="str">
        <f t="shared" si="15"/>
        <v>建筑结构</v>
      </c>
      <c r="AA34" s="3283">
        <f t="shared" si="3"/>
        <v>1</v>
      </c>
      <c r="AB34" s="3283">
        <f t="shared" si="4"/>
        <v>1</v>
      </c>
      <c r="AC34" s="3283">
        <f t="shared" si="5"/>
        <v>1</v>
      </c>
    </row>
    <row r="35" spans="1:29" ht="15">
      <c r="A35" s="587"/>
      <c r="B35" s="520" t="s">
        <v>721</v>
      </c>
      <c r="C35" s="592" t="s">
        <v>3560</v>
      </c>
      <c r="D35" s="533">
        <v>100</v>
      </c>
      <c r="E35" s="592" t="s">
        <v>3560</v>
      </c>
      <c r="F35" s="568">
        <f>SUMIF(107:107,E35,108:108)-SUMIF(107:107,C35,108:108)+100</f>
        <v>100</v>
      </c>
      <c r="G35" s="592" t="s">
        <v>3560</v>
      </c>
      <c r="H35" s="533">
        <f>SUMIF(107:107,G35,108:108)-SUMIF(107:107,C35,108:108)+100</f>
        <v>100</v>
      </c>
      <c r="I35" s="592" t="s">
        <v>3560</v>
      </c>
      <c r="J35" s="533">
        <f>SUMIF(107:107,I35,108:108)-SUMIF(107:107,C35,108:108)+100</f>
        <v>100</v>
      </c>
      <c r="K35" s="852">
        <v>1</v>
      </c>
      <c r="L35" s="2022"/>
      <c r="M35" s="2014"/>
      <c r="N35" s="2014"/>
      <c r="O35" s="2021"/>
      <c r="P35" s="3511"/>
      <c r="Q35" s="3280" t="str">
        <f t="shared" si="11"/>
        <v>建筑品质</v>
      </c>
      <c r="R35" s="1505" t="s">
        <v>11</v>
      </c>
      <c r="S35" s="1506">
        <f t="shared" si="12"/>
        <v>100</v>
      </c>
      <c r="T35" s="1505" t="s">
        <v>11</v>
      </c>
      <c r="U35" s="1506">
        <f t="shared" si="13"/>
        <v>100</v>
      </c>
      <c r="V35" s="1505" t="s">
        <v>11</v>
      </c>
      <c r="W35" s="1506">
        <f t="shared" si="14"/>
        <v>100</v>
      </c>
      <c r="X35" s="3282"/>
      <c r="Y35" s="3511"/>
      <c r="Z35" s="3281" t="str">
        <f t="shared" si="15"/>
        <v>建筑品质</v>
      </c>
      <c r="AA35" s="3283">
        <f t="shared" si="3"/>
        <v>1</v>
      </c>
      <c r="AB35" s="3283">
        <f t="shared" si="4"/>
        <v>1</v>
      </c>
      <c r="AC35" s="3283">
        <f t="shared" si="5"/>
        <v>1</v>
      </c>
    </row>
    <row r="36" spans="1:29" ht="15">
      <c r="A36" s="587"/>
      <c r="B36" s="520" t="s">
        <v>722</v>
      </c>
      <c r="C36" s="592" t="s">
        <v>3556</v>
      </c>
      <c r="D36" s="533">
        <v>100</v>
      </c>
      <c r="E36" s="592" t="s">
        <v>3556</v>
      </c>
      <c r="F36" s="568">
        <f>SUMIF(109:109,E36,110:110)-SUMIF(109:109,C36,110:110)+100</f>
        <v>100</v>
      </c>
      <c r="G36" s="592" t="s">
        <v>3556</v>
      </c>
      <c r="H36" s="533">
        <f>SUMIF(109:109,G36,110:110)-SUMIF(109:109,C36,110:110)+100</f>
        <v>100</v>
      </c>
      <c r="I36" s="592" t="s">
        <v>3556</v>
      </c>
      <c r="J36" s="533">
        <f>SUMIF(109:109,I36,110:110)-SUMIF(109:109,C36,110:110)+100</f>
        <v>100</v>
      </c>
      <c r="K36" s="852">
        <v>1</v>
      </c>
      <c r="L36" s="2022"/>
      <c r="M36" s="2014"/>
      <c r="N36" s="2014"/>
      <c r="O36" s="2021"/>
      <c r="P36" s="3511"/>
      <c r="Q36" s="3280" t="str">
        <f t="shared" si="11"/>
        <v>公共部分装修</v>
      </c>
      <c r="R36" s="1505" t="s">
        <v>11</v>
      </c>
      <c r="S36" s="1506">
        <f t="shared" si="12"/>
        <v>100</v>
      </c>
      <c r="T36" s="1505" t="s">
        <v>11</v>
      </c>
      <c r="U36" s="1506">
        <f t="shared" si="13"/>
        <v>100</v>
      </c>
      <c r="V36" s="1505" t="s">
        <v>11</v>
      </c>
      <c r="W36" s="1506">
        <f t="shared" si="14"/>
        <v>100</v>
      </c>
      <c r="X36" s="3282"/>
      <c r="Y36" s="3511"/>
      <c r="Z36" s="3281" t="str">
        <f t="shared" si="15"/>
        <v>公共部分装修</v>
      </c>
      <c r="AA36" s="3283">
        <f t="shared" si="3"/>
        <v>1</v>
      </c>
      <c r="AB36" s="3283">
        <f t="shared" si="4"/>
        <v>1</v>
      </c>
      <c r="AC36" s="3283">
        <f t="shared" si="5"/>
        <v>1</v>
      </c>
    </row>
    <row r="37" spans="1:29" s="1202" customFormat="1" ht="15">
      <c r="A37" s="593"/>
      <c r="B37" s="520" t="s">
        <v>723</v>
      </c>
      <c r="C37" s="871">
        <v>1</v>
      </c>
      <c r="D37" s="252">
        <v>100</v>
      </c>
      <c r="E37" s="871">
        <v>1</v>
      </c>
      <c r="F37" s="851">
        <f>LOOKUP(E37,112:112,113:113)-LOOKUP(C37,112:112,113:113)+100</f>
        <v>100</v>
      </c>
      <c r="G37" s="871">
        <v>1</v>
      </c>
      <c r="H37" s="252">
        <f>LOOKUP(G37,112:112,113:113)-LOOKUP(C37,112:112,113:113)+100</f>
        <v>100</v>
      </c>
      <c r="I37" s="871">
        <v>1</v>
      </c>
      <c r="J37" s="252">
        <f>LOOKUP(I37,112:112,113:113)-LOOKUP(C37,112:112,113:113)+100</f>
        <v>100</v>
      </c>
      <c r="K37" s="852"/>
      <c r="L37" s="2015"/>
      <c r="M37" s="2016"/>
      <c r="N37" s="2016"/>
      <c r="O37" s="2017"/>
      <c r="P37" s="3511"/>
      <c r="Q37" s="3277" t="str">
        <f t="shared" si="11"/>
        <v>成新度</v>
      </c>
      <c r="R37" s="1500" t="s">
        <v>11</v>
      </c>
      <c r="S37" s="1501">
        <f t="shared" si="12"/>
        <v>100</v>
      </c>
      <c r="T37" s="1500" t="s">
        <v>11</v>
      </c>
      <c r="U37" s="1501">
        <f t="shared" si="13"/>
        <v>100</v>
      </c>
      <c r="V37" s="1500" t="s">
        <v>11</v>
      </c>
      <c r="W37" s="1501">
        <f t="shared" si="14"/>
        <v>100</v>
      </c>
      <c r="X37" s="1502"/>
      <c r="Y37" s="3511"/>
      <c r="Z37" s="3272" t="str">
        <f t="shared" si="15"/>
        <v>成新度</v>
      </c>
      <c r="AA37" s="1503">
        <f t="shared" si="3"/>
        <v>1</v>
      </c>
      <c r="AB37" s="1503">
        <f t="shared" si="4"/>
        <v>1</v>
      </c>
      <c r="AC37" s="1503">
        <f t="shared" si="5"/>
        <v>1</v>
      </c>
    </row>
    <row r="38" spans="1:29" ht="15">
      <c r="A38" s="587"/>
      <c r="B38" s="520" t="s">
        <v>724</v>
      </c>
      <c r="C38" s="592" t="s">
        <v>3561</v>
      </c>
      <c r="D38" s="533">
        <v>100</v>
      </c>
      <c r="E38" s="592" t="s">
        <v>3561</v>
      </c>
      <c r="F38" s="568">
        <f>SUMIF(114:114,E38,115:115)-SUMIF(114:114,C38,115:115)+100</f>
        <v>100</v>
      </c>
      <c r="G38" s="592" t="s">
        <v>3561</v>
      </c>
      <c r="H38" s="533">
        <f>SUMIF(114:114,G38,115:115)-SUMIF(114:114,C38,115:115)+100</f>
        <v>100</v>
      </c>
      <c r="I38" s="592" t="s">
        <v>3561</v>
      </c>
      <c r="J38" s="533">
        <f>SUMIF(114:114,I38,115:115)-SUMIF(114:114,C38,115:115)+100</f>
        <v>100</v>
      </c>
      <c r="K38" s="852">
        <v>1</v>
      </c>
      <c r="L38" s="2022"/>
      <c r="M38" s="2014"/>
      <c r="N38" s="2014"/>
      <c r="O38" s="2021"/>
      <c r="P38" s="3511" t="s">
        <v>543</v>
      </c>
      <c r="Q38" s="3280" t="str">
        <f t="shared" si="11"/>
        <v>物业管理</v>
      </c>
      <c r="R38" s="1505" t="s">
        <v>11</v>
      </c>
      <c r="S38" s="1506">
        <f t="shared" si="12"/>
        <v>100</v>
      </c>
      <c r="T38" s="1505" t="s">
        <v>11</v>
      </c>
      <c r="U38" s="1506">
        <f t="shared" si="13"/>
        <v>100</v>
      </c>
      <c r="V38" s="1505" t="s">
        <v>11</v>
      </c>
      <c r="W38" s="1506">
        <f t="shared" si="14"/>
        <v>100</v>
      </c>
      <c r="X38" s="3282"/>
      <c r="Y38" s="3511" t="s">
        <v>543</v>
      </c>
      <c r="Z38" s="3281" t="str">
        <f t="shared" si="15"/>
        <v>物业管理</v>
      </c>
      <c r="AA38" s="3283">
        <f t="shared" si="3"/>
        <v>1</v>
      </c>
      <c r="AB38" s="3283">
        <f t="shared" si="4"/>
        <v>1</v>
      </c>
      <c r="AC38" s="3283">
        <f t="shared" si="5"/>
        <v>1</v>
      </c>
    </row>
    <row r="39" spans="1:29" ht="15">
      <c r="A39" s="587"/>
      <c r="B39" s="1807" t="s">
        <v>2545</v>
      </c>
      <c r="C39" s="592" t="s">
        <v>3527</v>
      </c>
      <c r="D39" s="533">
        <v>100</v>
      </c>
      <c r="E39" s="592" t="s">
        <v>3527</v>
      </c>
      <c r="F39" s="568">
        <f>SUMIF(116:116,E39,117:117)-SUMIF(116:116,C39,117:117)+100</f>
        <v>100</v>
      </c>
      <c r="G39" s="592" t="s">
        <v>3527</v>
      </c>
      <c r="H39" s="533">
        <f>SUMIF(116:116,G39,117:117)-SUMIF(116:116,C39,117:117)+100</f>
        <v>100</v>
      </c>
      <c r="I39" s="592" t="s">
        <v>3527</v>
      </c>
      <c r="J39" s="533">
        <f>SUMIF(116:116,I39,117:117)-SUMIF(116:116,C39,117:117)+100</f>
        <v>100</v>
      </c>
      <c r="K39" s="852">
        <v>1</v>
      </c>
      <c r="L39" s="2022"/>
      <c r="M39" s="2014"/>
      <c r="N39" s="2014"/>
      <c r="O39" s="2021"/>
      <c r="P39" s="3511"/>
      <c r="Q39" s="3280" t="str">
        <f t="shared" si="11"/>
        <v>市政基础设施</v>
      </c>
      <c r="R39" s="1505" t="s">
        <v>11</v>
      </c>
      <c r="S39" s="1506">
        <f t="shared" si="12"/>
        <v>100</v>
      </c>
      <c r="T39" s="1505" t="s">
        <v>11</v>
      </c>
      <c r="U39" s="1506">
        <f t="shared" si="13"/>
        <v>100</v>
      </c>
      <c r="V39" s="1505" t="s">
        <v>11</v>
      </c>
      <c r="W39" s="1506">
        <f t="shared" si="14"/>
        <v>100</v>
      </c>
      <c r="X39" s="3282"/>
      <c r="Y39" s="3511"/>
      <c r="Z39" s="3281" t="str">
        <f t="shared" si="15"/>
        <v>市政基础设施</v>
      </c>
      <c r="AA39" s="3283">
        <f t="shared" si="3"/>
        <v>1</v>
      </c>
      <c r="AB39" s="3283">
        <f t="shared" si="4"/>
        <v>1</v>
      </c>
      <c r="AC39" s="3283">
        <f t="shared" si="5"/>
        <v>1</v>
      </c>
    </row>
    <row r="40" spans="1:29" ht="15" hidden="1">
      <c r="A40" s="587"/>
      <c r="B40" s="520" t="s">
        <v>725</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2"/>
      <c r="M40" s="2014"/>
      <c r="N40" s="2014"/>
      <c r="O40" s="2021"/>
      <c r="P40" s="3511"/>
      <c r="Q40" s="3280" t="str">
        <f t="shared" si="11"/>
        <v>房型</v>
      </c>
      <c r="R40" s="1505" t="s">
        <v>11</v>
      </c>
      <c r="S40" s="1506">
        <f t="shared" si="12"/>
        <v>100</v>
      </c>
      <c r="T40" s="1505" t="s">
        <v>11</v>
      </c>
      <c r="U40" s="1506">
        <f t="shared" si="13"/>
        <v>100</v>
      </c>
      <c r="V40" s="1505" t="s">
        <v>11</v>
      </c>
      <c r="W40" s="1506">
        <f t="shared" si="14"/>
        <v>100</v>
      </c>
      <c r="X40" s="3282"/>
      <c r="Y40" s="3511"/>
      <c r="Z40" s="3281" t="str">
        <f t="shared" si="15"/>
        <v>房型</v>
      </c>
      <c r="AA40" s="3283">
        <f t="shared" si="3"/>
        <v>1</v>
      </c>
      <c r="AB40" s="3283">
        <f t="shared" si="4"/>
        <v>1</v>
      </c>
      <c r="AC40" s="3283">
        <f t="shared" si="5"/>
        <v>1</v>
      </c>
    </row>
    <row r="41" spans="1:29" s="1292" customFormat="1" ht="28.5" hidden="1">
      <c r="A41" s="596"/>
      <c r="B41" s="520" t="s">
        <v>726</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20"/>
      <c r="M41" s="2050"/>
      <c r="N41" s="2050"/>
      <c r="O41" s="2023"/>
      <c r="P41" s="3511"/>
      <c r="Q41" s="1533" t="str">
        <f t="shared" si="11"/>
        <v>单套/主力户型建筑面积</v>
      </c>
      <c r="R41" s="1509" t="s">
        <v>11</v>
      </c>
      <c r="S41" s="1510">
        <f t="shared" si="12"/>
        <v>100</v>
      </c>
      <c r="T41" s="1509" t="s">
        <v>11</v>
      </c>
      <c r="U41" s="1510">
        <f t="shared" si="13"/>
        <v>100</v>
      </c>
      <c r="V41" s="1509" t="s">
        <v>11</v>
      </c>
      <c r="W41" s="1510">
        <f t="shared" si="14"/>
        <v>100</v>
      </c>
      <c r="X41" s="1511"/>
      <c r="Y41" s="3511"/>
      <c r="Z41" s="1512" t="str">
        <f t="shared" si="15"/>
        <v>单套/主力户型建筑面积</v>
      </c>
      <c r="AA41" s="3283">
        <f t="shared" si="3"/>
        <v>1</v>
      </c>
      <c r="AB41" s="3283">
        <f t="shared" si="4"/>
        <v>1</v>
      </c>
      <c r="AC41" s="3283">
        <f t="shared" si="5"/>
        <v>1</v>
      </c>
    </row>
    <row r="42" spans="1:29" ht="15.75" thickBot="1">
      <c r="A42" s="587"/>
      <c r="B42" s="520" t="s">
        <v>727</v>
      </c>
      <c r="C42" s="592" t="s">
        <v>3559</v>
      </c>
      <c r="D42" s="533">
        <v>100</v>
      </c>
      <c r="E42" s="592" t="s">
        <v>3559</v>
      </c>
      <c r="F42" s="568">
        <f>SUMIF(122:122,E42,123:123)-SUMIF(122:122,C42,123:123)+100</f>
        <v>100</v>
      </c>
      <c r="G42" s="592" t="s">
        <v>3559</v>
      </c>
      <c r="H42" s="533">
        <f>SUMIF(122:122,G42,123:123)-SUMIF(122:122,C42,123:123)+100</f>
        <v>100</v>
      </c>
      <c r="I42" s="592" t="s">
        <v>3559</v>
      </c>
      <c r="J42" s="533">
        <f>SUMIF(122:122,I42,123:123)-SUMIF(122:122,C42,123:123)+100</f>
        <v>100</v>
      </c>
      <c r="K42" s="852">
        <v>1</v>
      </c>
      <c r="L42" s="2022"/>
      <c r="M42" s="2014"/>
      <c r="N42" s="2014"/>
      <c r="O42" s="2021"/>
      <c r="P42" s="3511"/>
      <c r="Q42" s="3280" t="str">
        <f t="shared" si="11"/>
        <v>内部装修</v>
      </c>
      <c r="R42" s="1505" t="s">
        <v>11</v>
      </c>
      <c r="S42" s="1506">
        <f t="shared" si="12"/>
        <v>100</v>
      </c>
      <c r="T42" s="1505" t="s">
        <v>11</v>
      </c>
      <c r="U42" s="1506">
        <f t="shared" si="13"/>
        <v>100</v>
      </c>
      <c r="V42" s="1505" t="s">
        <v>11</v>
      </c>
      <c r="W42" s="1506">
        <f t="shared" si="14"/>
        <v>100</v>
      </c>
      <c r="X42" s="3282"/>
      <c r="Y42" s="3511"/>
      <c r="Z42" s="3281" t="str">
        <f t="shared" si="15"/>
        <v>内部装修</v>
      </c>
      <c r="AA42" s="3283">
        <f t="shared" si="3"/>
        <v>1</v>
      </c>
      <c r="AB42" s="3283">
        <f t="shared" si="4"/>
        <v>1</v>
      </c>
      <c r="AC42" s="3283">
        <f t="shared" si="5"/>
        <v>1</v>
      </c>
    </row>
    <row r="43" spans="1:29" ht="27.75" hidden="1" thickBot="1">
      <c r="A43" s="587"/>
      <c r="B43" s="520" t="s">
        <v>728</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2"/>
      <c r="M43" s="2014"/>
      <c r="N43" s="2014"/>
      <c r="O43" s="2021"/>
      <c r="P43" s="3511"/>
      <c r="Q43" s="3280" t="str">
        <f t="shared" si="11"/>
        <v>内部装修维护情况</v>
      </c>
      <c r="R43" s="1505" t="s">
        <v>11</v>
      </c>
      <c r="S43" s="1506">
        <f t="shared" si="12"/>
        <v>100</v>
      </c>
      <c r="T43" s="1505" t="s">
        <v>11</v>
      </c>
      <c r="U43" s="1506">
        <f t="shared" si="13"/>
        <v>100</v>
      </c>
      <c r="V43" s="1505" t="s">
        <v>11</v>
      </c>
      <c r="W43" s="1506">
        <f t="shared" si="14"/>
        <v>100</v>
      </c>
      <c r="X43" s="3282"/>
      <c r="Y43" s="3511"/>
      <c r="Z43" s="3281" t="str">
        <f t="shared" si="15"/>
        <v>内部装修维护情况</v>
      </c>
      <c r="AA43" s="3283">
        <f t="shared" si="3"/>
        <v>1</v>
      </c>
      <c r="AB43" s="3283">
        <f t="shared" si="4"/>
        <v>1</v>
      </c>
      <c r="AC43" s="3283">
        <f t="shared" si="5"/>
        <v>1</v>
      </c>
    </row>
    <row r="44" spans="1:29" s="1202" customFormat="1" ht="15.75" hidden="1" thickBot="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5"/>
      <c r="M44" s="2016"/>
      <c r="N44" s="2016"/>
      <c r="O44" s="2017"/>
      <c r="P44" s="3511"/>
      <c r="Q44" s="3277">
        <f t="shared" si="11"/>
        <v>111</v>
      </c>
      <c r="R44" s="1500" t="s">
        <v>11</v>
      </c>
      <c r="S44" s="1501">
        <f t="shared" si="12"/>
        <v>100</v>
      </c>
      <c r="T44" s="1500" t="s">
        <v>11</v>
      </c>
      <c r="U44" s="1501">
        <f t="shared" si="13"/>
        <v>100</v>
      </c>
      <c r="V44" s="1500" t="s">
        <v>11</v>
      </c>
      <c r="W44" s="1501">
        <f t="shared" si="14"/>
        <v>100</v>
      </c>
      <c r="X44" s="1502"/>
      <c r="Y44" s="3511"/>
      <c r="Z44" s="3272">
        <f t="shared" si="15"/>
        <v>111</v>
      </c>
      <c r="AA44" s="1503">
        <f t="shared" si="3"/>
        <v>1</v>
      </c>
      <c r="AB44" s="1503">
        <f t="shared" si="4"/>
        <v>1</v>
      </c>
      <c r="AC44" s="1503">
        <f t="shared" si="5"/>
        <v>1</v>
      </c>
    </row>
    <row r="45" spans="1:29" ht="15.75" hidden="1" thickBot="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511"/>
      <c r="Q45" s="3280">
        <f t="shared" si="11"/>
        <v>111</v>
      </c>
      <c r="R45" s="1505" t="s">
        <v>11</v>
      </c>
      <c r="S45" s="1506">
        <f t="shared" si="12"/>
        <v>100</v>
      </c>
      <c r="T45" s="1505" t="s">
        <v>11</v>
      </c>
      <c r="U45" s="1506">
        <f t="shared" si="13"/>
        <v>100</v>
      </c>
      <c r="V45" s="1505" t="s">
        <v>11</v>
      </c>
      <c r="W45" s="1506">
        <f t="shared" si="14"/>
        <v>100</v>
      </c>
      <c r="X45" s="3282"/>
      <c r="Y45" s="3511"/>
      <c r="Z45" s="3281">
        <f t="shared" si="15"/>
        <v>111</v>
      </c>
      <c r="AA45" s="3283">
        <f t="shared" si="3"/>
        <v>1</v>
      </c>
      <c r="AB45" s="3283">
        <f t="shared" si="4"/>
        <v>1</v>
      </c>
      <c r="AC45" s="3283">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612"/>
      <c r="Q46" s="3280">
        <f t="shared" si="11"/>
        <v>111</v>
      </c>
      <c r="R46" s="1505" t="s">
        <v>10</v>
      </c>
      <c r="S46" s="1506">
        <f t="shared" si="12"/>
        <v>100</v>
      </c>
      <c r="T46" s="1505" t="s">
        <v>10</v>
      </c>
      <c r="U46" s="1506">
        <f t="shared" si="13"/>
        <v>100</v>
      </c>
      <c r="V46" s="1505" t="s">
        <v>10</v>
      </c>
      <c r="W46" s="1506">
        <f t="shared" si="14"/>
        <v>100</v>
      </c>
      <c r="X46" s="3282"/>
      <c r="Y46" s="3612"/>
      <c r="Z46" s="3281">
        <f t="shared" si="15"/>
        <v>111</v>
      </c>
      <c r="AA46" s="3283">
        <f t="shared" si="3"/>
        <v>1</v>
      </c>
      <c r="AB46" s="3283">
        <f t="shared" si="4"/>
        <v>1</v>
      </c>
      <c r="AC46" s="3283">
        <f t="shared" si="5"/>
        <v>1</v>
      </c>
    </row>
    <row r="47" spans="1:29" ht="15">
      <c r="A47" s="600" t="s">
        <v>729</v>
      </c>
      <c r="B47" s="875"/>
      <c r="C47" s="2468" t="s">
        <v>9</v>
      </c>
      <c r="D47" s="2469"/>
      <c r="E47" s="2470">
        <v>6400</v>
      </c>
      <c r="F47" s="2471"/>
      <c r="G47" s="2472">
        <v>6900</v>
      </c>
      <c r="H47" s="2473"/>
      <c r="I47" s="2470">
        <v>7000</v>
      </c>
      <c r="J47" s="2473"/>
      <c r="K47" s="1534"/>
      <c r="L47" s="2024"/>
      <c r="M47" s="2025"/>
      <c r="N47" s="2014"/>
      <c r="O47" s="2025"/>
      <c r="P47" s="3506" t="str">
        <f>A47</f>
        <v>成交单价（元/平方米）</v>
      </c>
      <c r="Q47" s="3506"/>
      <c r="R47" s="3613">
        <f>E47</f>
        <v>6400</v>
      </c>
      <c r="S47" s="3613"/>
      <c r="T47" s="3613">
        <f>G47</f>
        <v>6900</v>
      </c>
      <c r="U47" s="3613"/>
      <c r="V47" s="3613">
        <f>I47</f>
        <v>7000</v>
      </c>
      <c r="W47" s="3613"/>
      <c r="X47" s="1494"/>
      <c r="Y47" s="1513"/>
      <c r="Z47" s="1494"/>
      <c r="AA47" s="1494"/>
      <c r="AB47" s="1494"/>
      <c r="AC47" s="1494"/>
    </row>
    <row r="48" spans="1:29" ht="15.75" thickBot="1">
      <c r="A48" s="608" t="s">
        <v>2673</v>
      </c>
      <c r="B48" s="876"/>
      <c r="C48" s="2474">
        <f>R49</f>
        <v>7114</v>
      </c>
      <c r="D48" s="3008" t="s">
        <v>2970</v>
      </c>
      <c r="E48" s="2475">
        <f>R48</f>
        <v>7098</v>
      </c>
      <c r="F48" s="3009"/>
      <c r="G48" s="2474">
        <f>T48</f>
        <v>7212</v>
      </c>
      <c r="H48" s="3009"/>
      <c r="I48" s="2475">
        <f>V48</f>
        <v>7032</v>
      </c>
      <c r="J48" s="3009"/>
      <c r="K48" s="3017">
        <f>F48+H48+J48</f>
        <v>0</v>
      </c>
      <c r="L48" s="2024"/>
      <c r="M48" s="2025"/>
      <c r="N48" s="2025"/>
      <c r="O48" s="2025"/>
      <c r="P48" s="3506" t="str">
        <f>A48</f>
        <v>比较价格（元/平方米）</v>
      </c>
      <c r="Q48" s="3506"/>
      <c r="R48" s="3613">
        <f>IF(F1="售价",ROUND(PRODUCT(R47,AA7:AA46),0),ROUND(PRODUCT(R47,AA7:AA46),1))</f>
        <v>7098</v>
      </c>
      <c r="S48" s="3613"/>
      <c r="T48" s="3613">
        <f>IF(F1="售价",ROUND(PRODUCT(T47,AB7:AB46),0),ROUND(PRODUCT(T47,AB7:AB46),1))</f>
        <v>7212</v>
      </c>
      <c r="U48" s="3613"/>
      <c r="V48" s="3613">
        <f>IF(F1="售价",ROUND(PRODUCT(V47,AC7:AC46),0),ROUND(PRODUCT(V47,AC7:AC46),1))</f>
        <v>7032</v>
      </c>
      <c r="W48" s="3613"/>
      <c r="X48" s="1494"/>
      <c r="Y48" s="1494"/>
      <c r="Z48" s="1494"/>
      <c r="AA48" s="1494"/>
      <c r="AB48" s="1494"/>
      <c r="AC48" s="1494"/>
    </row>
    <row r="49" spans="1:29" ht="15.75" thickBot="1">
      <c r="A49" s="612" t="s">
        <v>2902</v>
      </c>
      <c r="B49" s="613"/>
      <c r="C49" s="2476">
        <f>R49</f>
        <v>7114</v>
      </c>
      <c r="D49" s="2476"/>
      <c r="E49" s="2476"/>
      <c r="F49" s="2476"/>
      <c r="G49" s="2476"/>
      <c r="H49" s="2476"/>
      <c r="I49" s="2476"/>
      <c r="J49" s="2476"/>
      <c r="K49" s="1535"/>
      <c r="L49" s="2024"/>
      <c r="M49" s="2025"/>
      <c r="N49" s="2025"/>
      <c r="O49" s="2025"/>
      <c r="P49" s="3528" t="str">
        <f>A49</f>
        <v>估价对象XX用房的比较价格（楼面单价，元/平方米）</v>
      </c>
      <c r="Q49" s="3529"/>
      <c r="R49" s="3614">
        <f>IF(F1="售价",ROUND(IF(D48="简单平均",AVERAGE(R48:V48),R48*F48+T48*H48+V48*J48),0),ROUND(IF(D48="简单平均",AVERAGE(R48:V48),R48*F48+T48*H48+V48*J48),1))</f>
        <v>7114</v>
      </c>
      <c r="S49" s="3614"/>
      <c r="T49" s="3614"/>
      <c r="U49" s="3614"/>
      <c r="V49" s="3614"/>
      <c r="W49" s="3614"/>
      <c r="X49" s="1494"/>
      <c r="Y49" s="1494"/>
      <c r="Z49" s="1494"/>
      <c r="AA49" s="1494"/>
      <c r="AB49" s="1494"/>
      <c r="AC49" s="1494"/>
    </row>
    <row r="50" spans="1:29">
      <c r="A50" s="3208"/>
      <c r="B50" s="3208"/>
      <c r="C50" s="3208"/>
      <c r="D50" s="3208"/>
      <c r="E50" s="3208"/>
      <c r="F50" s="3208"/>
      <c r="G50" s="3210"/>
      <c r="H50" s="3208"/>
      <c r="I50" s="3208"/>
      <c r="J50" s="3208"/>
      <c r="K50" s="3211"/>
      <c r="L50" s="2029"/>
      <c r="M50" s="2025"/>
      <c r="N50" s="2025"/>
      <c r="O50" s="2025"/>
      <c r="P50" s="2025"/>
      <c r="Q50" s="2025"/>
      <c r="R50" s="2025"/>
      <c r="S50" s="2025"/>
      <c r="T50" s="2025"/>
      <c r="U50" s="2025"/>
      <c r="V50" s="2025"/>
      <c r="W50" s="2025"/>
      <c r="X50" s="2025"/>
      <c r="Y50" s="2025"/>
      <c r="Z50" s="2025"/>
      <c r="AA50" s="2025"/>
      <c r="AB50" s="2025"/>
      <c r="AC50" s="2025"/>
    </row>
    <row r="51" spans="1:29">
      <c r="A51" s="3208"/>
      <c r="B51" s="3208"/>
      <c r="C51" s="3208"/>
      <c r="D51" s="3208"/>
      <c r="E51" s="3208"/>
      <c r="F51" s="3208"/>
      <c r="G51" s="3208"/>
      <c r="H51" s="3208"/>
      <c r="I51" s="3208"/>
      <c r="J51" s="3208"/>
      <c r="K51" s="3211"/>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8"/>
      <c r="B52" s="3208"/>
      <c r="C52" s="615" t="s">
        <v>550</v>
      </c>
      <c r="D52" s="616"/>
      <c r="E52" s="617">
        <f>IF(E47&lt;E48,E48/E47-1,E47/E48-1)</f>
        <v>0.10906250000000006</v>
      </c>
      <c r="F52" s="618" t="str">
        <f>IF(OR(E52&gt;=0.3,E52&lt;=-0.3),"超过30%","")</f>
        <v/>
      </c>
      <c r="G52" s="617">
        <f>IF(G47&lt;G48,G48/G47-1,G47/G48-1)</f>
        <v>4.5217391304347876E-2</v>
      </c>
      <c r="H52" s="618" t="str">
        <f>IF(OR(G52&gt;=0.3,G52&lt;=-0.3),"超过30%","")</f>
        <v/>
      </c>
      <c r="I52" s="617">
        <f>IF(I47&lt;I48,I48/I47-1,I47/I48-1)</f>
        <v>4.5714285714286707E-3</v>
      </c>
      <c r="J52" s="618" t="str">
        <f>IF(OR(I52&gt;=0.3,I52&lt;=-0.3),"超过30%","")</f>
        <v/>
      </c>
      <c r="K52" s="3211"/>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8"/>
      <c r="B53" s="3208"/>
      <c r="C53" s="615" t="s">
        <v>551</v>
      </c>
      <c r="D53" s="619"/>
      <c r="E53" s="617">
        <f>IF(E48&lt;G48,G48/E48-1,E48/G48-1)</f>
        <v>1.606086221470826E-2</v>
      </c>
      <c r="F53" s="618" t="str">
        <f>IF(OR(E53&gt;=0.2,E53&lt;=-0.2),"超过20%","")</f>
        <v/>
      </c>
      <c r="G53" s="617">
        <f>IF(G48&lt;I48,I48/G48-1,G48/I48-1)</f>
        <v>2.5597269624573427E-2</v>
      </c>
      <c r="H53" s="618" t="str">
        <f>IF(OR(G53&gt;=0.2,G53&lt;=-0.2),"超过20%","")</f>
        <v/>
      </c>
      <c r="I53" s="617">
        <f>IF(I48&lt;E48,E48/I48-1,I48/E48-1)</f>
        <v>9.385665529010323E-3</v>
      </c>
      <c r="J53" s="618" t="str">
        <f>IF(OR(I53&gt;=0.2,I53&lt;=-0.2),"超过20%","")</f>
        <v/>
      </c>
      <c r="K53" s="3211"/>
      <c r="L53" s="2029"/>
      <c r="M53" s="2025"/>
      <c r="N53" s="2025"/>
      <c r="O53" s="2025"/>
      <c r="P53" s="2025"/>
      <c r="Q53" s="2025"/>
      <c r="R53" s="2025"/>
      <c r="S53" s="2025"/>
      <c r="T53" s="2025"/>
      <c r="U53" s="2025"/>
      <c r="V53" s="2025"/>
      <c r="W53" s="2025"/>
      <c r="X53" s="2025"/>
      <c r="Y53" s="2025"/>
      <c r="Z53" s="2025"/>
      <c r="AA53" s="2025"/>
      <c r="AB53" s="2025"/>
      <c r="AC53" s="2025"/>
    </row>
    <row r="54" spans="1:29" s="1297" customFormat="1" ht="13.5" customHeight="1">
      <c r="A54" s="3209"/>
      <c r="B54" s="3209"/>
      <c r="C54" s="615" t="s">
        <v>552</v>
      </c>
      <c r="D54" s="619"/>
      <c r="E54" s="617">
        <f>IF(E47&lt;G47,G47/E47-1,E47/G47-1)</f>
        <v>7.8125E-2</v>
      </c>
      <c r="F54" s="618" t="str">
        <f>IF(OR(E54&gt;=0.3,E54&lt;=-0.3),"超过30%","")</f>
        <v/>
      </c>
      <c r="G54" s="617">
        <f>IF(G47&lt;I47,I47/G47-1,G47/I47-1)</f>
        <v>1.449275362318847E-2</v>
      </c>
      <c r="H54" s="618" t="str">
        <f>IF(OR(G54&gt;=0.3,G54&lt;=-0.3),"超过30%","")</f>
        <v/>
      </c>
      <c r="I54" s="617">
        <f>IF(I47&lt;E47,E47/I47-1,I47/E47-1)</f>
        <v>9.375E-2</v>
      </c>
      <c r="J54" s="618" t="str">
        <f>IF(OR(I54&gt;=0.3,I54&lt;=-0.3),"超过30%","")</f>
        <v/>
      </c>
      <c r="K54" s="3212"/>
      <c r="L54" s="2032"/>
      <c r="M54" s="2026"/>
      <c r="N54" s="2026"/>
      <c r="O54" s="2026"/>
      <c r="P54" s="2026"/>
      <c r="Q54" s="2026"/>
      <c r="R54" s="2026"/>
      <c r="S54" s="2026"/>
      <c r="T54" s="2026"/>
      <c r="U54" s="2026"/>
      <c r="V54" s="2026"/>
      <c r="W54" s="2026"/>
      <c r="X54" s="2026"/>
      <c r="Y54" s="2026"/>
      <c r="Z54" s="2026"/>
      <c r="AA54" s="2026"/>
      <c r="AB54" s="2026"/>
      <c r="AC54" s="2026"/>
    </row>
    <row r="55" spans="1:29" s="1297"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567</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9" customFormat="1" ht="15">
      <c r="A58" s="636" t="s">
        <v>522</v>
      </c>
      <c r="B58" s="637"/>
      <c r="C58" s="2519" t="str">
        <f>YEAR(C7)&amp;"-"&amp;MONTH(C7)</f>
        <v>2021-2</v>
      </c>
      <c r="D58" s="2519">
        <f>EDATE(C58,-1)</f>
        <v>44197</v>
      </c>
      <c r="E58" s="2519">
        <f t="shared" ref="E58:O58" si="16">EDATE(D58,-1)</f>
        <v>44166</v>
      </c>
      <c r="F58" s="2519">
        <f t="shared" si="16"/>
        <v>44136</v>
      </c>
      <c r="G58" s="2519">
        <f t="shared" si="16"/>
        <v>44105</v>
      </c>
      <c r="H58" s="2519">
        <f t="shared" si="16"/>
        <v>44075</v>
      </c>
      <c r="I58" s="2519">
        <f t="shared" si="16"/>
        <v>44044</v>
      </c>
      <c r="J58" s="2519">
        <f t="shared" si="16"/>
        <v>44013</v>
      </c>
      <c r="K58" s="2519">
        <f t="shared" si="16"/>
        <v>43983</v>
      </c>
      <c r="L58" s="2519">
        <f t="shared" si="16"/>
        <v>43952</v>
      </c>
      <c r="M58" s="2519">
        <f t="shared" si="16"/>
        <v>43922</v>
      </c>
      <c r="N58" s="2519">
        <f t="shared" si="16"/>
        <v>43891</v>
      </c>
      <c r="O58" s="2519">
        <f t="shared" si="16"/>
        <v>43862</v>
      </c>
      <c r="P58" s="2039"/>
      <c r="Q58" s="2040"/>
      <c r="R58" s="2040"/>
      <c r="S58" s="2040"/>
      <c r="T58" s="2040"/>
      <c r="U58" s="2040"/>
      <c r="V58" s="2040"/>
      <c r="W58" s="2040"/>
      <c r="X58" s="2040"/>
      <c r="Y58" s="2040"/>
      <c r="Z58" s="2040"/>
      <c r="AA58" s="2040"/>
      <c r="AB58" s="2040"/>
      <c r="AC58" s="2040"/>
    </row>
    <row r="59" spans="1:29" s="1202" customFormat="1" ht="15">
      <c r="A59" s="638"/>
      <c r="B59" s="639"/>
      <c r="C59" s="640">
        <v>100</v>
      </c>
      <c r="D59" s="641">
        <v>100</v>
      </c>
      <c r="E59" s="641">
        <v>100</v>
      </c>
      <c r="F59" s="641">
        <v>99.5</v>
      </c>
      <c r="G59" s="641">
        <v>99.5</v>
      </c>
      <c r="H59" s="641">
        <v>99.5</v>
      </c>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2" customFormat="1" ht="15.75" thickBot="1">
      <c r="A60" s="644" t="s">
        <v>568</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2" customFormat="1" ht="15">
      <c r="A61" s="650" t="s">
        <v>524</v>
      </c>
      <c r="B61" s="639"/>
      <c r="C61" s="651" t="s">
        <v>569</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2"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570</v>
      </c>
      <c r="B63" s="656" t="s">
        <v>527</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530</v>
      </c>
      <c r="C65" s="665" t="s">
        <v>730</v>
      </c>
      <c r="D65" s="665" t="s">
        <v>731</v>
      </c>
      <c r="E65" s="665" t="s">
        <v>732</v>
      </c>
      <c r="F65" s="665" t="s">
        <v>733</v>
      </c>
      <c r="G65" s="665" t="s">
        <v>734</v>
      </c>
      <c r="H65" s="665" t="s">
        <v>735</v>
      </c>
      <c r="I65" s="665" t="s">
        <v>736</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531</v>
      </c>
      <c r="C67" s="673" t="str">
        <f>C68&amp;"（含）"&amp;"-"&amp;D68</f>
        <v>0（含）-1</v>
      </c>
      <c r="D67" s="673" t="str">
        <f t="shared" ref="D67:L67" si="18">D68&amp;"（含）"&amp;"-"&amp;E68</f>
        <v>1（含）-2</v>
      </c>
      <c r="E67" s="673" t="str">
        <f t="shared" si="18"/>
        <v>2（含）-3</v>
      </c>
      <c r="F67" s="673" t="str">
        <f t="shared" si="18"/>
        <v>3（含）-4</v>
      </c>
      <c r="G67" s="673" t="str">
        <f t="shared" si="18"/>
        <v>4（含）-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0</v>
      </c>
      <c r="D68" s="534">
        <v>1</v>
      </c>
      <c r="E68" s="534">
        <v>2</v>
      </c>
      <c r="F68" s="534">
        <v>3</v>
      </c>
      <c r="G68" s="534">
        <v>4</v>
      </c>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98</v>
      </c>
      <c r="E69" s="670">
        <f t="shared" si="19"/>
        <v>96</v>
      </c>
      <c r="F69" s="670">
        <f t="shared" si="19"/>
        <v>94</v>
      </c>
      <c r="G69" s="670">
        <f t="shared" si="19"/>
        <v>92</v>
      </c>
      <c r="H69" s="670">
        <f t="shared" si="19"/>
        <v>90</v>
      </c>
      <c r="I69" s="670">
        <f t="shared" si="19"/>
        <v>88</v>
      </c>
      <c r="J69" s="670">
        <f t="shared" si="19"/>
        <v>86</v>
      </c>
      <c r="K69" s="670">
        <f t="shared" si="19"/>
        <v>84</v>
      </c>
      <c r="L69" s="670">
        <f t="shared" si="19"/>
        <v>82</v>
      </c>
      <c r="M69" s="671">
        <f t="shared" si="19"/>
        <v>80</v>
      </c>
      <c r="N69" s="2045"/>
      <c r="O69" s="2045"/>
      <c r="P69" s="2044"/>
      <c r="Q69" s="2037"/>
      <c r="R69" s="2025"/>
      <c r="S69" s="2025"/>
      <c r="T69" s="2025"/>
      <c r="U69" s="2025"/>
      <c r="V69" s="2025"/>
      <c r="W69" s="2025"/>
      <c r="X69" s="2025"/>
      <c r="Y69" s="2025"/>
      <c r="Z69" s="2025"/>
      <c r="AA69" s="2025"/>
      <c r="AB69" s="2025"/>
      <c r="AC69" s="2025"/>
    </row>
    <row r="70" spans="1:29" s="1292"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2"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2"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2"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2"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2"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532</v>
      </c>
      <c r="B76" s="656" t="s">
        <v>571</v>
      </c>
      <c r="C76" s="694" t="s">
        <v>572</v>
      </c>
      <c r="D76" s="694" t="s">
        <v>573</v>
      </c>
      <c r="E76" s="694" t="s">
        <v>574</v>
      </c>
      <c r="F76" s="694" t="s">
        <v>575</v>
      </c>
      <c r="G76" s="694" t="s">
        <v>576</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95</v>
      </c>
      <c r="E77" s="670">
        <f>D77-$K15</f>
        <v>90</v>
      </c>
      <c r="F77" s="670">
        <f>E77-$K15</f>
        <v>85</v>
      </c>
      <c r="G77" s="670">
        <f>F77-$K15</f>
        <v>80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579</v>
      </c>
      <c r="C78" s="699" t="s">
        <v>572</v>
      </c>
      <c r="D78" s="699" t="s">
        <v>573</v>
      </c>
      <c r="E78" s="699" t="s">
        <v>574</v>
      </c>
      <c r="F78" s="699" t="s">
        <v>575</v>
      </c>
      <c r="G78" s="699" t="s">
        <v>576</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98</v>
      </c>
      <c r="E79" s="670">
        <f>D79-$K17</f>
        <v>96</v>
      </c>
      <c r="F79" s="670">
        <f>E79-$K17</f>
        <v>94</v>
      </c>
      <c r="G79" s="670">
        <f>F79-$K17</f>
        <v>92</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572</v>
      </c>
      <c r="D80" s="699" t="s">
        <v>573</v>
      </c>
      <c r="E80" s="699" t="s">
        <v>574</v>
      </c>
      <c r="F80" s="699" t="s">
        <v>575</v>
      </c>
      <c r="G80" s="699" t="s">
        <v>576</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98</v>
      </c>
      <c r="E81" s="670">
        <f>D81-$K19</f>
        <v>96</v>
      </c>
      <c r="F81" s="670">
        <f>E81-$K19</f>
        <v>94</v>
      </c>
      <c r="G81" s="670">
        <f>F81-$K19</f>
        <v>92</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99</v>
      </c>
      <c r="E83" s="670">
        <f>D83-$K21</f>
        <v>98</v>
      </c>
      <c r="F83" s="670">
        <f>E83-$K21</f>
        <v>97</v>
      </c>
      <c r="G83" s="670">
        <f>F83-$K21</f>
        <v>96</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737</v>
      </c>
      <c r="C84" s="699" t="s">
        <v>572</v>
      </c>
      <c r="D84" s="699" t="s">
        <v>573</v>
      </c>
      <c r="E84" s="699" t="s">
        <v>574</v>
      </c>
      <c r="F84" s="699" t="s">
        <v>575</v>
      </c>
      <c r="G84" s="699" t="s">
        <v>576</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98</v>
      </c>
      <c r="E85" s="670">
        <f>D85-$K23</f>
        <v>96</v>
      </c>
      <c r="F85" s="670">
        <f>E85-$K23</f>
        <v>94</v>
      </c>
      <c r="G85" s="670">
        <f>F85-$K23</f>
        <v>92</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2" customFormat="1" ht="15.75" thickTop="1">
      <c r="A86" s="700"/>
      <c r="B86" s="1808" t="s">
        <v>2245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2" customFormat="1" ht="15.75" thickTop="1">
      <c r="A88" s="700"/>
      <c r="B88" s="664" t="s">
        <v>739</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2"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2"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544</v>
      </c>
      <c r="B100" s="656" t="s">
        <v>740</v>
      </c>
      <c r="C100" s="3300" t="s">
        <v>3542</v>
      </c>
      <c r="D100" s="3300" t="s">
        <v>3543</v>
      </c>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92</v>
      </c>
      <c r="E101" s="670">
        <f t="shared" si="22"/>
        <v>84</v>
      </c>
      <c r="F101" s="670">
        <f t="shared" si="22"/>
        <v>76</v>
      </c>
      <c r="G101" s="670">
        <f t="shared" si="22"/>
        <v>68</v>
      </c>
      <c r="H101" s="670">
        <f t="shared" si="22"/>
        <v>60</v>
      </c>
      <c r="I101" s="670">
        <f t="shared" si="22"/>
        <v>52</v>
      </c>
      <c r="J101" s="670">
        <f t="shared" si="22"/>
        <v>44</v>
      </c>
      <c r="K101" s="670">
        <f t="shared" si="22"/>
        <v>36</v>
      </c>
      <c r="L101" s="670">
        <f t="shared" si="22"/>
        <v>28</v>
      </c>
      <c r="M101" s="670">
        <f t="shared" si="22"/>
        <v>20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0"/>
      <c r="B102" s="664" t="s">
        <v>741</v>
      </c>
      <c r="C102" s="699" t="str">
        <f>C103&amp;"(含)"&amp;"-"&amp;D103</f>
        <v>0(含)-100000</v>
      </c>
      <c r="D102" s="699" t="str">
        <f t="shared" ref="D102:L102" si="23">D103&amp;"(含)"&amp;"-"&amp;E103</f>
        <v>100000(含)-200000</v>
      </c>
      <c r="E102" s="699" t="str">
        <f t="shared" si="23"/>
        <v>200000(含)-300000</v>
      </c>
      <c r="F102" s="699" t="str">
        <f t="shared" si="23"/>
        <v>300000(含)-400000</v>
      </c>
      <c r="G102" s="699" t="str">
        <f t="shared" si="23"/>
        <v>400000(含)-500000</v>
      </c>
      <c r="H102" s="699" t="str">
        <f t="shared" si="23"/>
        <v>500000(含)-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2" customFormat="1">
      <c r="A103" s="719"/>
      <c r="B103" s="720"/>
      <c r="C103" s="721">
        <v>0</v>
      </c>
      <c r="D103" s="721">
        <f>C103+100000</f>
        <v>100000</v>
      </c>
      <c r="E103" s="721">
        <f t="shared" ref="E103:H103" si="24">D103+100000</f>
        <v>200000</v>
      </c>
      <c r="F103" s="721">
        <f t="shared" si="24"/>
        <v>300000</v>
      </c>
      <c r="G103" s="721">
        <f t="shared" si="24"/>
        <v>400000</v>
      </c>
      <c r="H103" s="721">
        <f t="shared" si="24"/>
        <v>500000</v>
      </c>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Bot="1">
      <c r="A104" s="678"/>
      <c r="B104" s="669"/>
      <c r="C104" s="683">
        <v>100</v>
      </c>
      <c r="D104" s="662">
        <f>C104+2</f>
        <v>102</v>
      </c>
      <c r="E104" s="662">
        <f t="shared" ref="E104:H104" si="25">D104+2</f>
        <v>104</v>
      </c>
      <c r="F104" s="662">
        <f t="shared" si="25"/>
        <v>106</v>
      </c>
      <c r="G104" s="662">
        <f t="shared" si="25"/>
        <v>108</v>
      </c>
      <c r="H104" s="662">
        <f t="shared" si="25"/>
        <v>110</v>
      </c>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742</v>
      </c>
      <c r="C105" s="3309" t="s">
        <v>3545</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6">C106-$K34</f>
        <v>99</v>
      </c>
      <c r="E106" s="670">
        <f t="shared" si="26"/>
        <v>98</v>
      </c>
      <c r="F106" s="670">
        <f t="shared" si="26"/>
        <v>97</v>
      </c>
      <c r="G106" s="670">
        <f t="shared" si="26"/>
        <v>96</v>
      </c>
      <c r="H106" s="670">
        <f t="shared" si="26"/>
        <v>95</v>
      </c>
      <c r="I106" s="670">
        <f t="shared" si="26"/>
        <v>94</v>
      </c>
      <c r="J106" s="670">
        <f t="shared" si="26"/>
        <v>93</v>
      </c>
      <c r="K106" s="670">
        <f t="shared" si="26"/>
        <v>92</v>
      </c>
      <c r="L106" s="670">
        <f t="shared" si="26"/>
        <v>91</v>
      </c>
      <c r="M106" s="670">
        <f t="shared" si="26"/>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743</v>
      </c>
      <c r="C107" s="3302" t="s">
        <v>3546</v>
      </c>
      <c r="D107" s="3302" t="s">
        <v>3547</v>
      </c>
      <c r="E107" s="3302" t="s">
        <v>3548</v>
      </c>
      <c r="F107" s="3302" t="s">
        <v>3549</v>
      </c>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7">C108-$K35</f>
        <v>99</v>
      </c>
      <c r="E108" s="670">
        <f t="shared" si="27"/>
        <v>98</v>
      </c>
      <c r="F108" s="670">
        <f t="shared" si="27"/>
        <v>97</v>
      </c>
      <c r="G108" s="670">
        <f t="shared" si="27"/>
        <v>96</v>
      </c>
      <c r="H108" s="670">
        <f t="shared" si="27"/>
        <v>95</v>
      </c>
      <c r="I108" s="670">
        <f t="shared" si="27"/>
        <v>94</v>
      </c>
      <c r="J108" s="670">
        <f t="shared" si="27"/>
        <v>93</v>
      </c>
      <c r="K108" s="670">
        <f t="shared" si="27"/>
        <v>92</v>
      </c>
      <c r="L108" s="670">
        <f t="shared" si="27"/>
        <v>91</v>
      </c>
      <c r="M108" s="670">
        <f t="shared" si="27"/>
        <v>90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744</v>
      </c>
      <c r="C109" s="3309" t="s">
        <v>3550</v>
      </c>
      <c r="D109" s="3309" t="s">
        <v>3551</v>
      </c>
      <c r="E109" s="3309" t="s">
        <v>3552</v>
      </c>
      <c r="F109" s="3302" t="s">
        <v>3553</v>
      </c>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8">C110-$K36</f>
        <v>99</v>
      </c>
      <c r="E110" s="670">
        <f t="shared" si="28"/>
        <v>98</v>
      </c>
      <c r="F110" s="670">
        <f t="shared" si="28"/>
        <v>97</v>
      </c>
      <c r="G110" s="670">
        <f t="shared" si="28"/>
        <v>96</v>
      </c>
      <c r="H110" s="670">
        <f t="shared" si="28"/>
        <v>95</v>
      </c>
      <c r="I110" s="670">
        <f t="shared" si="28"/>
        <v>94</v>
      </c>
      <c r="J110" s="670">
        <f t="shared" si="28"/>
        <v>93</v>
      </c>
      <c r="K110" s="670">
        <f t="shared" si="28"/>
        <v>92</v>
      </c>
      <c r="L110" s="670">
        <f t="shared" si="28"/>
        <v>91</v>
      </c>
      <c r="M110" s="670">
        <f t="shared" si="28"/>
        <v>90</v>
      </c>
      <c r="N110" s="2045"/>
      <c r="O110" s="2045"/>
      <c r="P110" s="2044"/>
      <c r="Q110" s="2037"/>
      <c r="R110" s="2025"/>
      <c r="S110" s="2025"/>
      <c r="T110" s="2025"/>
      <c r="U110" s="2025"/>
      <c r="V110" s="2025"/>
      <c r="W110" s="2025"/>
      <c r="X110" s="2025"/>
      <c r="Y110" s="2025"/>
      <c r="Z110" s="2025"/>
      <c r="AA110" s="2025"/>
      <c r="AB110" s="2025"/>
      <c r="AC110" s="2025"/>
    </row>
    <row r="111" spans="1:29" s="1292" customFormat="1" ht="15" thickTop="1">
      <c r="A111" s="719"/>
      <c r="B111" s="664" t="s">
        <v>745</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2"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746</v>
      </c>
      <c r="C114" s="3309" t="s">
        <v>3554</v>
      </c>
      <c r="D114" s="3309" t="s">
        <v>3555</v>
      </c>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9">C115-$K38</f>
        <v>99</v>
      </c>
      <c r="E115" s="670">
        <f t="shared" si="29"/>
        <v>98</v>
      </c>
      <c r="F115" s="670">
        <f t="shared" si="29"/>
        <v>97</v>
      </c>
      <c r="G115" s="670">
        <f t="shared" si="29"/>
        <v>96</v>
      </c>
      <c r="H115" s="670">
        <f t="shared" si="29"/>
        <v>95</v>
      </c>
      <c r="I115" s="670">
        <f t="shared" si="29"/>
        <v>94</v>
      </c>
      <c r="J115" s="670">
        <f t="shared" si="29"/>
        <v>93</v>
      </c>
      <c r="K115" s="670">
        <f t="shared" si="29"/>
        <v>92</v>
      </c>
      <c r="L115" s="670">
        <f t="shared" si="29"/>
        <v>91</v>
      </c>
      <c r="M115" s="670">
        <f t="shared" si="29"/>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2537</v>
      </c>
      <c r="C116" s="679" t="s">
        <v>3526</v>
      </c>
      <c r="D116" s="679" t="s">
        <v>3527</v>
      </c>
      <c r="E116" s="679" t="s">
        <v>3528</v>
      </c>
      <c r="F116" s="679" t="s">
        <v>3529</v>
      </c>
      <c r="G116" s="679" t="s">
        <v>3530</v>
      </c>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747</v>
      </c>
      <c r="C118" s="3302"/>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30">C119-$K40</f>
        <v>100</v>
      </c>
      <c r="E119" s="670">
        <f t="shared" si="30"/>
        <v>100</v>
      </c>
      <c r="F119" s="670">
        <f t="shared" si="30"/>
        <v>100</v>
      </c>
      <c r="G119" s="670">
        <f t="shared" si="30"/>
        <v>100</v>
      </c>
      <c r="H119" s="670">
        <f t="shared" si="30"/>
        <v>100</v>
      </c>
      <c r="I119" s="670">
        <f t="shared" si="30"/>
        <v>100</v>
      </c>
      <c r="J119" s="670">
        <f t="shared" si="30"/>
        <v>100</v>
      </c>
      <c r="K119" s="670">
        <f t="shared" si="30"/>
        <v>100</v>
      </c>
      <c r="L119" s="670">
        <f t="shared" si="30"/>
        <v>100</v>
      </c>
      <c r="M119" s="670">
        <f t="shared" si="30"/>
        <v>100</v>
      </c>
      <c r="N119" s="2045"/>
      <c r="O119" s="2045"/>
      <c r="P119" s="2044"/>
      <c r="Q119" s="2037"/>
      <c r="R119" s="2025"/>
      <c r="S119" s="2025"/>
      <c r="T119" s="2025"/>
      <c r="U119" s="2025"/>
      <c r="V119" s="2025"/>
      <c r="W119" s="2025"/>
      <c r="X119" s="2025"/>
      <c r="Y119" s="2025"/>
      <c r="Z119" s="2025"/>
      <c r="AA119" s="2025"/>
      <c r="AB119" s="2025"/>
      <c r="AC119" s="2025"/>
    </row>
    <row r="120" spans="1:29" s="1292" customFormat="1" ht="28.5" thickTop="1">
      <c r="A120" s="719"/>
      <c r="B120" s="664" t="s">
        <v>726</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2"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748</v>
      </c>
      <c r="C122" s="679" t="s">
        <v>3556</v>
      </c>
      <c r="D122" s="679" t="s">
        <v>3557</v>
      </c>
      <c r="E122" s="679" t="s">
        <v>3558</v>
      </c>
      <c r="F122" s="709" t="s">
        <v>3559</v>
      </c>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31">C123-$K42</f>
        <v>99</v>
      </c>
      <c r="E123" s="670">
        <f t="shared" si="31"/>
        <v>98</v>
      </c>
      <c r="F123" s="670">
        <f t="shared" si="31"/>
        <v>97</v>
      </c>
      <c r="G123" s="670">
        <f t="shared" si="31"/>
        <v>96</v>
      </c>
      <c r="H123" s="670">
        <f t="shared" si="31"/>
        <v>95</v>
      </c>
      <c r="I123" s="670">
        <f t="shared" si="31"/>
        <v>94</v>
      </c>
      <c r="J123" s="670">
        <f t="shared" si="31"/>
        <v>93</v>
      </c>
      <c r="K123" s="670">
        <f t="shared" si="31"/>
        <v>92</v>
      </c>
      <c r="L123" s="670">
        <f t="shared" si="31"/>
        <v>91</v>
      </c>
      <c r="M123" s="670">
        <f t="shared" si="31"/>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749</v>
      </c>
      <c r="C124" s="699" t="s">
        <v>572</v>
      </c>
      <c r="D124" s="699" t="s">
        <v>573</v>
      </c>
      <c r="E124" s="699" t="s">
        <v>574</v>
      </c>
      <c r="F124" s="699" t="s">
        <v>575</v>
      </c>
      <c r="G124" s="699" t="s">
        <v>576</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2"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2"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2246</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2247</v>
      </c>
      <c r="C137" s="1831"/>
      <c r="D137" s="1831"/>
      <c r="E137" s="1831"/>
      <c r="F137" s="1831"/>
      <c r="G137" s="1832"/>
      <c r="H137" s="1833"/>
      <c r="I137" s="1834" t="s">
        <v>2248</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2249</v>
      </c>
      <c r="D138" s="1837" t="s">
        <v>2250</v>
      </c>
      <c r="E138" s="1838" t="s">
        <v>2251</v>
      </c>
      <c r="F138" s="1839" t="s">
        <v>2252</v>
      </c>
      <c r="G138" s="1837" t="s">
        <v>2250</v>
      </c>
      <c r="H138" s="1840" t="s">
        <v>2251</v>
      </c>
      <c r="I138" s="1841"/>
      <c r="J138" s="1837" t="s">
        <v>2255</v>
      </c>
      <c r="K138" s="1840" t="s">
        <v>2256</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2257</v>
      </c>
      <c r="E139" s="1811">
        <v>100</v>
      </c>
      <c r="F139" s="1812">
        <v>102.5</v>
      </c>
      <c r="G139" s="1842" t="s">
        <v>2258</v>
      </c>
      <c r="H139" s="1813">
        <v>105</v>
      </c>
      <c r="I139" s="1843" t="s">
        <v>2259</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2260</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2261</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2262</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2263</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2264</v>
      </c>
      <c r="E144" s="1817">
        <v>102</v>
      </c>
      <c r="F144" s="1823">
        <v>100</v>
      </c>
      <c r="G144" s="1846" t="s">
        <v>2264</v>
      </c>
      <c r="H144" s="1819">
        <v>105</v>
      </c>
      <c r="I144" s="1845" t="s">
        <v>2263</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2265</v>
      </c>
      <c r="C145" s="1824">
        <f>ROUND(MAX(C139:C144)/MIN(C139:C144)-1,3)</f>
        <v>7.2999999999999995E-2</v>
      </c>
      <c r="D145" s="1848"/>
      <c r="E145" s="1848"/>
      <c r="F145" s="1849" t="s">
        <v>2266</v>
      </c>
      <c r="G145" s="1850"/>
      <c r="H145" s="1851"/>
      <c r="I145" s="1852" t="s">
        <v>2263</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2274</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2275</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view="pageBreakPreview" zoomScale="70" zoomScaleNormal="60" zoomScaleSheetLayoutView="70" workbookViewId="0">
      <selection activeCell="I5" sqref="I5:J5"/>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2465" t="s">
        <v>712</v>
      </c>
      <c r="C1" s="2466" t="s">
        <v>713</v>
      </c>
      <c r="D1" s="2467" t="s">
        <v>3060</v>
      </c>
      <c r="E1" s="2007"/>
      <c r="F1" s="2522" t="s">
        <v>3073</v>
      </c>
      <c r="G1" s="1529" t="s">
        <v>714</v>
      </c>
      <c r="H1" s="499"/>
      <c r="I1" s="499"/>
      <c r="J1" s="499"/>
      <c r="K1" s="500"/>
      <c r="L1" s="3204"/>
      <c r="M1" s="3205"/>
      <c r="N1" s="3205"/>
      <c r="O1" s="3205"/>
      <c r="P1" s="1497"/>
      <c r="Q1" s="1497"/>
      <c r="R1" s="1497"/>
      <c r="S1" s="1497"/>
      <c r="T1" s="1497"/>
      <c r="U1" s="1497"/>
      <c r="V1" s="1497"/>
      <c r="W1" s="1497"/>
      <c r="X1" s="1497"/>
      <c r="Y1" s="1497"/>
      <c r="Z1" s="1497"/>
      <c r="AA1" s="1497"/>
      <c r="AB1" s="1497"/>
      <c r="AC1" s="1498"/>
    </row>
    <row r="2" spans="1:29" s="1314" customFormat="1" ht="28.5" customHeight="1">
      <c r="A2" s="416" t="s">
        <v>460</v>
      </c>
      <c r="B2" s="2464">
        <f>ROUND(B3*D3/10000,0)</f>
        <v>23814</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4" customFormat="1" ht="28.5" customHeight="1" thickBot="1">
      <c r="A3" s="502" t="s">
        <v>512</v>
      </c>
      <c r="B3" s="839">
        <f>C49</f>
        <v>6545</v>
      </c>
      <c r="C3" s="840" t="s">
        <v>715</v>
      </c>
      <c r="D3" s="839">
        <f>SUMIF('数据-汇总表'!$C19:$C33,D1,'数据-汇总表'!$E19:$E33)</f>
        <v>36384.65</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5" t="s">
        <v>514</v>
      </c>
      <c r="B4" s="506"/>
      <c r="C4" s="3512" t="s">
        <v>515</v>
      </c>
      <c r="D4" s="3513"/>
      <c r="E4" s="3538" t="s">
        <v>516</v>
      </c>
      <c r="F4" s="3539"/>
      <c r="G4" s="3512" t="s">
        <v>517</v>
      </c>
      <c r="H4" s="3513"/>
      <c r="I4" s="3512" t="s">
        <v>518</v>
      </c>
      <c r="J4" s="3513"/>
      <c r="K4" s="841" t="s">
        <v>519</v>
      </c>
      <c r="L4" s="2013"/>
      <c r="M4" s="2014"/>
      <c r="N4" s="2014"/>
      <c r="O4" s="2014"/>
      <c r="P4" s="3514" t="s">
        <v>520</v>
      </c>
      <c r="Q4" s="3515"/>
      <c r="R4" s="3500" t="s">
        <v>516</v>
      </c>
      <c r="S4" s="3501"/>
      <c r="T4" s="3500" t="s">
        <v>517</v>
      </c>
      <c r="U4" s="3501"/>
      <c r="V4" s="3520" t="s">
        <v>518</v>
      </c>
      <c r="W4" s="3520"/>
      <c r="X4" s="1499"/>
      <c r="Y4" s="3500" t="s">
        <v>520</v>
      </c>
      <c r="Z4" s="3501"/>
      <c r="AA4" s="3495" t="s">
        <v>516</v>
      </c>
      <c r="AB4" s="3495" t="s">
        <v>517</v>
      </c>
      <c r="AC4" s="3495" t="s">
        <v>518</v>
      </c>
    </row>
    <row r="5" spans="1:29" ht="15">
      <c r="A5" s="508"/>
      <c r="B5" s="509"/>
      <c r="C5" s="3523" t="str">
        <f>'比较法-住宅、综合'!C7:D7</f>
        <v>金科•集美星辰</v>
      </c>
      <c r="D5" s="3524"/>
      <c r="E5" s="3611" t="s">
        <v>3588</v>
      </c>
      <c r="F5" s="3541"/>
      <c r="G5" s="3525" t="s">
        <v>3589</v>
      </c>
      <c r="H5" s="3524"/>
      <c r="I5" s="3525" t="s">
        <v>3590</v>
      </c>
      <c r="J5" s="3524"/>
      <c r="K5" s="842"/>
      <c r="L5" s="2013"/>
      <c r="M5" s="2014"/>
      <c r="N5" s="2014"/>
      <c r="O5" s="2014"/>
      <c r="P5" s="3516"/>
      <c r="Q5" s="3517"/>
      <c r="R5" s="3502"/>
      <c r="S5" s="3503"/>
      <c r="T5" s="3502"/>
      <c r="U5" s="3503"/>
      <c r="V5" s="3520"/>
      <c r="W5" s="3520"/>
      <c r="X5" s="1499"/>
      <c r="Y5" s="3502"/>
      <c r="Z5" s="3503"/>
      <c r="AA5" s="3496"/>
      <c r="AB5" s="3496"/>
      <c r="AC5" s="3496"/>
    </row>
    <row r="6" spans="1:29" ht="15.75" thickBot="1">
      <c r="A6" s="510"/>
      <c r="B6" s="511"/>
      <c r="C6" s="3521" t="str">
        <f>'比较法-住宅、综合'!C8:D8</f>
        <v>内江市</v>
      </c>
      <c r="D6" s="3522"/>
      <c r="E6" s="3521" t="str">
        <f>'比较法-住宅、综合'!E8:F8</f>
        <v>内江市</v>
      </c>
      <c r="F6" s="3522"/>
      <c r="G6" s="3521" t="str">
        <f>'比较法-住宅、综合'!G8:H8</f>
        <v>项目位置</v>
      </c>
      <c r="H6" s="3522"/>
      <c r="I6" s="3521" t="str">
        <f>'比较法-住宅、综合'!I8:J8</f>
        <v>项目位置</v>
      </c>
      <c r="J6" s="3522"/>
      <c r="K6" s="842" t="s">
        <v>521</v>
      </c>
      <c r="L6" s="2013"/>
      <c r="M6" s="2014"/>
      <c r="N6" s="2014"/>
      <c r="O6" s="2014"/>
      <c r="P6" s="3518"/>
      <c r="Q6" s="3519"/>
      <c r="R6" s="3502"/>
      <c r="S6" s="3503"/>
      <c r="T6" s="3504"/>
      <c r="U6" s="3505"/>
      <c r="V6" s="3520"/>
      <c r="W6" s="3520"/>
      <c r="X6" s="1499"/>
      <c r="Y6" s="3504"/>
      <c r="Z6" s="3505"/>
      <c r="AA6" s="3497"/>
      <c r="AB6" s="3497"/>
      <c r="AC6" s="3497"/>
    </row>
    <row r="7" spans="1:29" s="1202" customFormat="1" ht="15.75" thickBot="1">
      <c r="A7" s="2627"/>
      <c r="B7" s="2634" t="s">
        <v>522</v>
      </c>
      <c r="C7" s="512">
        <f>'数据-取费表'!B2</f>
        <v>44254</v>
      </c>
      <c r="D7" s="513">
        <v>100</v>
      </c>
      <c r="E7" s="514">
        <v>44228</v>
      </c>
      <c r="F7" s="515">
        <f>SUMIF(58:58,YEAR(E7)&amp;"-"&amp;MONTH(E7),59:59)</f>
        <v>100</v>
      </c>
      <c r="G7" s="514">
        <v>44228</v>
      </c>
      <c r="H7" s="513">
        <f>SUMIF(58:58,YEAR(G7)&amp;"-"&amp;MONTH(G7),59:59)</f>
        <v>100</v>
      </c>
      <c r="I7" s="516">
        <v>44228</v>
      </c>
      <c r="J7" s="513">
        <f>SUMIF(58:58,YEAR(I7)&amp;"-"&amp;MONTH(I7),59:59)</f>
        <v>100</v>
      </c>
      <c r="K7" s="843"/>
      <c r="L7" s="2015"/>
      <c r="M7" s="2016"/>
      <c r="N7" s="2016"/>
      <c r="O7" s="2016"/>
      <c r="P7" s="3498" t="s">
        <v>523</v>
      </c>
      <c r="Q7" s="3507"/>
      <c r="R7" s="1500" t="s">
        <v>13</v>
      </c>
      <c r="S7" s="1501">
        <f t="shared" ref="S7:S15" si="0">F7</f>
        <v>100</v>
      </c>
      <c r="T7" s="1500" t="s">
        <v>13</v>
      </c>
      <c r="U7" s="1501">
        <f t="shared" ref="U7:U15" si="1">H7</f>
        <v>100</v>
      </c>
      <c r="V7" s="1500" t="s">
        <v>13</v>
      </c>
      <c r="W7" s="1501">
        <f t="shared" ref="W7:W15" si="2">J7</f>
        <v>100</v>
      </c>
      <c r="X7" s="1502"/>
      <c r="Y7" s="3498" t="s">
        <v>523</v>
      </c>
      <c r="Z7" s="3499"/>
      <c r="AA7" s="1503">
        <f>D7/F7</f>
        <v>1</v>
      </c>
      <c r="AB7" s="1503">
        <f>D7/H7</f>
        <v>1</v>
      </c>
      <c r="AC7" s="1503">
        <f>D7/J7</f>
        <v>1</v>
      </c>
    </row>
    <row r="8" spans="1:29" s="1202" customFormat="1" ht="15.75" thickBot="1">
      <c r="A8" s="2628"/>
      <c r="B8" s="2635" t="s">
        <v>524</v>
      </c>
      <c r="C8" s="518" t="s">
        <v>569</v>
      </c>
      <c r="D8" s="513">
        <v>100</v>
      </c>
      <c r="E8" s="3306" t="s">
        <v>3541</v>
      </c>
      <c r="F8" s="515">
        <f>SUMIF(61:61,E8,62:62)-SUMIF(61:61,C8,62:62)+100</f>
        <v>100</v>
      </c>
      <c r="G8" s="3306" t="s">
        <v>3541</v>
      </c>
      <c r="H8" s="513">
        <f>SUMIF(61:61,G8,62:62)-SUMIF(61:61,C8,62:62)+100</f>
        <v>100</v>
      </c>
      <c r="I8" s="3306" t="s">
        <v>3541</v>
      </c>
      <c r="J8" s="513">
        <f>SUMIF(61:61,I8,62:62)-SUMIF(61:61,C8,62:62)+100</f>
        <v>100</v>
      </c>
      <c r="K8" s="843"/>
      <c r="L8" s="2015"/>
      <c r="M8" s="2016"/>
      <c r="N8" s="2016"/>
      <c r="O8" s="2016"/>
      <c r="P8" s="3498" t="s">
        <v>526</v>
      </c>
      <c r="Q8" s="3499"/>
      <c r="R8" s="1500" t="s">
        <v>13</v>
      </c>
      <c r="S8" s="1501">
        <f t="shared" si="0"/>
        <v>100</v>
      </c>
      <c r="T8" s="1500" t="s">
        <v>13</v>
      </c>
      <c r="U8" s="1501">
        <f t="shared" si="1"/>
        <v>100</v>
      </c>
      <c r="V8" s="1500" t="s">
        <v>13</v>
      </c>
      <c r="W8" s="1501">
        <f t="shared" si="2"/>
        <v>100</v>
      </c>
      <c r="X8" s="1502"/>
      <c r="Y8" s="3498" t="s">
        <v>526</v>
      </c>
      <c r="Z8" s="3499"/>
      <c r="AA8" s="1503">
        <f t="shared" ref="AA8:AA46" si="3">D8/F8</f>
        <v>1</v>
      </c>
      <c r="AB8" s="1503">
        <f t="shared" ref="AB8:AB46" si="4">D8/H8</f>
        <v>1</v>
      </c>
      <c r="AC8" s="1503">
        <f t="shared" ref="AC8:AC46" si="5">D8/J8</f>
        <v>1</v>
      </c>
    </row>
    <row r="9" spans="1:29" s="1202" customFormat="1" ht="15">
      <c r="A9" s="2629"/>
      <c r="B9" s="2636" t="s">
        <v>2736</v>
      </c>
      <c r="C9" s="3305" t="s">
        <v>3539</v>
      </c>
      <c r="D9" s="251">
        <v>100</v>
      </c>
      <c r="E9" s="3307" t="s">
        <v>913</v>
      </c>
      <c r="F9" s="847">
        <f>SUMIF(63:63,E9,64:64)-SUMIF(63:63,C9,64:64)+100</f>
        <v>100</v>
      </c>
      <c r="G9" s="3307" t="s">
        <v>913</v>
      </c>
      <c r="H9" s="251">
        <f>SUMIF(63:63,G9,64:64)-SUMIF(63:63,C9,64:64)+100</f>
        <v>100</v>
      </c>
      <c r="I9" s="3307" t="s">
        <v>913</v>
      </c>
      <c r="J9" s="251">
        <f>SUMIF(63:63,I9,64:64)-SUMIF(63:63,C9,64:64)+100</f>
        <v>100</v>
      </c>
      <c r="K9" s="843"/>
      <c r="L9" s="2015"/>
      <c r="M9" s="2016"/>
      <c r="N9" s="2016"/>
      <c r="O9" s="2017"/>
      <c r="P9" s="3506" t="s">
        <v>528</v>
      </c>
      <c r="Q9" s="1133" t="str">
        <f t="shared" ref="Q9:Q15" si="6">B9</f>
        <v>用途</v>
      </c>
      <c r="R9" s="1500" t="s">
        <v>8</v>
      </c>
      <c r="S9" s="1501">
        <f t="shared" si="0"/>
        <v>100</v>
      </c>
      <c r="T9" s="1500" t="s">
        <v>8</v>
      </c>
      <c r="U9" s="1501">
        <f t="shared" si="1"/>
        <v>100</v>
      </c>
      <c r="V9" s="1500" t="s">
        <v>8</v>
      </c>
      <c r="W9" s="1501">
        <f t="shared" si="2"/>
        <v>100</v>
      </c>
      <c r="X9" s="1502"/>
      <c r="Y9" s="3457" t="s">
        <v>529</v>
      </c>
      <c r="Z9" s="1132" t="str">
        <f t="shared" ref="Z9:Z15" si="7">Q9</f>
        <v>用途</v>
      </c>
      <c r="AA9" s="1503">
        <f t="shared" si="3"/>
        <v>1</v>
      </c>
      <c r="AB9" s="1503">
        <f t="shared" si="4"/>
        <v>1</v>
      </c>
      <c r="AC9" s="1503">
        <f t="shared" si="5"/>
        <v>1</v>
      </c>
    </row>
    <row r="10" spans="1:29" s="1291" customFormat="1" ht="27">
      <c r="A10" s="2630"/>
      <c r="B10" s="2635" t="s">
        <v>2737</v>
      </c>
      <c r="C10" s="849" t="s">
        <v>3540</v>
      </c>
      <c r="D10" s="252">
        <v>100</v>
      </c>
      <c r="E10" s="3308" t="s">
        <v>3540</v>
      </c>
      <c r="F10" s="851">
        <f>SUMIF(65:65,E10,66:66)-SUMIF(65:65,C10,66:66)+100</f>
        <v>100</v>
      </c>
      <c r="G10" s="3308" t="s">
        <v>3540</v>
      </c>
      <c r="H10" s="252">
        <f>SUMIF(65:65,G10,66:66)-SUMIF(65:65,C10,66:66)+100</f>
        <v>100</v>
      </c>
      <c r="I10" s="3308" t="s">
        <v>3540</v>
      </c>
      <c r="J10" s="252">
        <f>SUMIF(65:65,I10,66:66)-SUMIF(65:65,C10,66:66)+100</f>
        <v>100</v>
      </c>
      <c r="K10" s="852">
        <v>1</v>
      </c>
      <c r="L10" s="2018"/>
      <c r="M10" s="2057"/>
      <c r="N10" s="2057"/>
      <c r="O10" s="2019"/>
      <c r="P10" s="3506"/>
      <c r="Q10" s="1133" t="str">
        <f t="shared" si="6"/>
        <v>土地使用年限（年）</v>
      </c>
      <c r="R10" s="1500" t="s">
        <v>8</v>
      </c>
      <c r="S10" s="1501">
        <f t="shared" si="0"/>
        <v>100</v>
      </c>
      <c r="T10" s="1500" t="s">
        <v>8</v>
      </c>
      <c r="U10" s="1501">
        <f t="shared" si="1"/>
        <v>100</v>
      </c>
      <c r="V10" s="1500" t="s">
        <v>8</v>
      </c>
      <c r="W10" s="1501">
        <f t="shared" si="2"/>
        <v>100</v>
      </c>
      <c r="X10" s="1502"/>
      <c r="Y10" s="3457"/>
      <c r="Z10" s="1132" t="str">
        <f t="shared" si="7"/>
        <v>土地使用年限（年）</v>
      </c>
      <c r="AA10" s="1503">
        <f t="shared" si="3"/>
        <v>1</v>
      </c>
      <c r="AB10" s="1503">
        <f t="shared" si="4"/>
        <v>1</v>
      </c>
      <c r="AC10" s="1503">
        <f t="shared" si="5"/>
        <v>1</v>
      </c>
    </row>
    <row r="11" spans="1:29" ht="15.75" thickBot="1">
      <c r="A11" s="2631"/>
      <c r="B11" s="2635" t="s">
        <v>2738</v>
      </c>
      <c r="C11" s="526">
        <f>'比较法-住宅、综合'!C13</f>
        <v>2.16</v>
      </c>
      <c r="D11" s="252">
        <v>100</v>
      </c>
      <c r="E11" s="527">
        <v>3</v>
      </c>
      <c r="F11" s="851">
        <f>LOOKUP(E11,68:68,69:69)-LOOKUP(C11,68:68,69:69)+100</f>
        <v>98</v>
      </c>
      <c r="G11" s="526">
        <v>3</v>
      </c>
      <c r="H11" s="252">
        <f>LOOKUP(G11,68:68,69:69)-LOOKUP(C11,68:68,69:69)+100</f>
        <v>98</v>
      </c>
      <c r="I11" s="526">
        <v>2.5</v>
      </c>
      <c r="J11" s="252">
        <f>LOOKUP(I11,68:68,69:69)-LOOKUP(C11,68:68,69:69)+100</f>
        <v>100</v>
      </c>
      <c r="K11" s="852">
        <v>2</v>
      </c>
      <c r="L11" s="2020"/>
      <c r="M11" s="2014"/>
      <c r="N11" s="2014"/>
      <c r="O11" s="2021"/>
      <c r="P11" s="3506"/>
      <c r="Q11" s="1133" t="str">
        <f t="shared" si="6"/>
        <v>容积率</v>
      </c>
      <c r="R11" s="1500" t="s">
        <v>11</v>
      </c>
      <c r="S11" s="1501">
        <f t="shared" si="0"/>
        <v>98</v>
      </c>
      <c r="T11" s="1500" t="s">
        <v>11</v>
      </c>
      <c r="U11" s="1501">
        <f t="shared" si="1"/>
        <v>98</v>
      </c>
      <c r="V11" s="1500" t="s">
        <v>11</v>
      </c>
      <c r="W11" s="1501">
        <f t="shared" si="2"/>
        <v>100</v>
      </c>
      <c r="X11" s="1502"/>
      <c r="Y11" s="3457"/>
      <c r="Z11" s="1132" t="str">
        <f t="shared" si="7"/>
        <v>容积率</v>
      </c>
      <c r="AA11" s="1503">
        <f t="shared" si="3"/>
        <v>1.0204081632653061</v>
      </c>
      <c r="AB11" s="1503">
        <f t="shared" si="4"/>
        <v>1.0204081632653061</v>
      </c>
      <c r="AC11" s="1503">
        <f t="shared" si="5"/>
        <v>1</v>
      </c>
    </row>
    <row r="12" spans="1:29" s="1202" customFormat="1" ht="15" hidden="1">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506"/>
      <c r="Q12" s="1133">
        <f t="shared" si="6"/>
        <v>111</v>
      </c>
      <c r="R12" s="1500" t="s">
        <v>11</v>
      </c>
      <c r="S12" s="1501">
        <f t="shared" si="0"/>
        <v>100</v>
      </c>
      <c r="T12" s="1500" t="s">
        <v>11</v>
      </c>
      <c r="U12" s="1501">
        <f t="shared" si="1"/>
        <v>100</v>
      </c>
      <c r="V12" s="1500" t="s">
        <v>11</v>
      </c>
      <c r="W12" s="1501">
        <f t="shared" si="2"/>
        <v>100</v>
      </c>
      <c r="X12" s="1502"/>
      <c r="Y12" s="3457"/>
      <c r="Z12" s="1132">
        <f t="shared" si="7"/>
        <v>111</v>
      </c>
      <c r="AA12" s="1503">
        <f>D12/F12</f>
        <v>1</v>
      </c>
      <c r="AB12" s="1503">
        <f>D12/H12</f>
        <v>1</v>
      </c>
      <c r="AC12" s="1503">
        <f>D12/J12</f>
        <v>1</v>
      </c>
    </row>
    <row r="13" spans="1:29" ht="15" hidden="1">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506"/>
      <c r="Q13" s="1133">
        <f t="shared" si="6"/>
        <v>111</v>
      </c>
      <c r="R13" s="1500" t="s">
        <v>11</v>
      </c>
      <c r="S13" s="1501">
        <f t="shared" si="0"/>
        <v>100</v>
      </c>
      <c r="T13" s="1500" t="s">
        <v>11</v>
      </c>
      <c r="U13" s="1501">
        <f t="shared" si="1"/>
        <v>100</v>
      </c>
      <c r="V13" s="1500" t="s">
        <v>11</v>
      </c>
      <c r="W13" s="1501">
        <f t="shared" si="2"/>
        <v>100</v>
      </c>
      <c r="X13" s="1502"/>
      <c r="Y13" s="3457"/>
      <c r="Z13" s="1132">
        <f t="shared" si="7"/>
        <v>111</v>
      </c>
      <c r="AA13" s="1503">
        <f t="shared" si="3"/>
        <v>1</v>
      </c>
      <c r="AB13" s="1503">
        <f t="shared" si="4"/>
        <v>1</v>
      </c>
      <c r="AC13" s="1503">
        <f t="shared" si="5"/>
        <v>1</v>
      </c>
    </row>
    <row r="14" spans="1:29" ht="15.75" hidden="1"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506"/>
      <c r="Q14" s="1133">
        <f t="shared" si="6"/>
        <v>111</v>
      </c>
      <c r="R14" s="1500" t="s">
        <v>11</v>
      </c>
      <c r="S14" s="1501">
        <f t="shared" si="0"/>
        <v>100</v>
      </c>
      <c r="T14" s="1500" t="s">
        <v>11</v>
      </c>
      <c r="U14" s="1501">
        <f t="shared" si="1"/>
        <v>100</v>
      </c>
      <c r="V14" s="1500" t="s">
        <v>11</v>
      </c>
      <c r="W14" s="1501">
        <f t="shared" si="2"/>
        <v>100</v>
      </c>
      <c r="X14" s="1502"/>
      <c r="Y14" s="3457"/>
      <c r="Z14" s="1132">
        <f t="shared" si="7"/>
        <v>111</v>
      </c>
      <c r="AA14" s="1503">
        <f t="shared" si="3"/>
        <v>1</v>
      </c>
      <c r="AB14" s="1503">
        <f t="shared" si="4"/>
        <v>1</v>
      </c>
      <c r="AC14" s="1503">
        <f t="shared" si="5"/>
        <v>1</v>
      </c>
    </row>
    <row r="15" spans="1:29" ht="99.75">
      <c r="A15" s="2625" t="s">
        <v>2734</v>
      </c>
      <c r="B15" s="164" t="s">
        <v>294</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v>5</v>
      </c>
      <c r="L15" s="2022"/>
      <c r="M15" s="2014"/>
      <c r="N15" s="2014"/>
      <c r="O15" s="2021"/>
      <c r="P15" s="3508" t="s">
        <v>533</v>
      </c>
      <c r="Q15" s="1504" t="str">
        <f t="shared" si="6"/>
        <v>居住社区成熟度</v>
      </c>
      <c r="R15" s="1505" t="s">
        <v>11</v>
      </c>
      <c r="S15" s="1506">
        <f t="shared" si="0"/>
        <v>100</v>
      </c>
      <c r="T15" s="1505" t="s">
        <v>11</v>
      </c>
      <c r="U15" s="1506">
        <f t="shared" si="1"/>
        <v>100</v>
      </c>
      <c r="V15" s="1505" t="s">
        <v>11</v>
      </c>
      <c r="W15" s="1506">
        <f t="shared" si="2"/>
        <v>100</v>
      </c>
      <c r="X15" s="1499"/>
      <c r="Y15" s="3508" t="s">
        <v>533</v>
      </c>
      <c r="Z15" s="1507" t="str">
        <f t="shared" si="7"/>
        <v>居住社区成熟度</v>
      </c>
      <c r="AA15" s="1508">
        <f t="shared" si="3"/>
        <v>1</v>
      </c>
      <c r="AB15" s="1508">
        <f t="shared" si="4"/>
        <v>1</v>
      </c>
      <c r="AC15" s="1508">
        <f t="shared" si="5"/>
        <v>1</v>
      </c>
    </row>
    <row r="16" spans="1:29" ht="15">
      <c r="A16" s="525"/>
      <c r="B16" s="857"/>
      <c r="C16" s="569" t="str">
        <f>'比较法-住宅、综合'!C18</f>
        <v>较好</v>
      </c>
      <c r="D16" s="548"/>
      <c r="E16" s="569" t="s">
        <v>3522</v>
      </c>
      <c r="F16" s="550"/>
      <c r="G16" s="569" t="s">
        <v>3522</v>
      </c>
      <c r="H16" s="552"/>
      <c r="I16" s="569" t="s">
        <v>3522</v>
      </c>
      <c r="J16" s="548"/>
      <c r="K16" s="858"/>
      <c r="L16" s="2022"/>
      <c r="M16" s="2014"/>
      <c r="N16" s="2014"/>
      <c r="O16" s="2021"/>
      <c r="P16" s="3509"/>
      <c r="Q16" s="1504"/>
      <c r="R16" s="1505"/>
      <c r="S16" s="1506"/>
      <c r="T16" s="1505"/>
      <c r="U16" s="1506"/>
      <c r="V16" s="1505"/>
      <c r="W16" s="1506"/>
      <c r="X16" s="1499"/>
      <c r="Y16" s="3509"/>
      <c r="Z16" s="1507"/>
      <c r="AA16" s="1508">
        <v>1</v>
      </c>
      <c r="AB16" s="1508">
        <v>1</v>
      </c>
      <c r="AC16" s="1508">
        <v>1</v>
      </c>
    </row>
    <row r="17" spans="1:29" ht="85.5">
      <c r="A17" s="525"/>
      <c r="B17" s="859" t="s">
        <v>295</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v>2</v>
      </c>
      <c r="L17" s="2022"/>
      <c r="M17" s="2014"/>
      <c r="N17" s="2014"/>
      <c r="O17" s="2021"/>
      <c r="P17" s="3509"/>
      <c r="Q17" s="1504" t="str">
        <f>B17</f>
        <v>交通便捷度</v>
      </c>
      <c r="R17" s="1505" t="s">
        <v>11</v>
      </c>
      <c r="S17" s="1506">
        <f>F17</f>
        <v>100</v>
      </c>
      <c r="T17" s="1505" t="s">
        <v>11</v>
      </c>
      <c r="U17" s="1506">
        <f>H17</f>
        <v>100</v>
      </c>
      <c r="V17" s="1505" t="s">
        <v>11</v>
      </c>
      <c r="W17" s="1506">
        <f>J17</f>
        <v>100</v>
      </c>
      <c r="X17" s="1499"/>
      <c r="Y17" s="3509"/>
      <c r="Z17" s="1507" t="str">
        <f>Q17</f>
        <v>交通便捷度</v>
      </c>
      <c r="AA17" s="1508">
        <f t="shared" si="3"/>
        <v>1</v>
      </c>
      <c r="AB17" s="1508">
        <f t="shared" si="4"/>
        <v>1</v>
      </c>
      <c r="AC17" s="1508">
        <f t="shared" si="5"/>
        <v>1</v>
      </c>
    </row>
    <row r="18" spans="1:29" ht="15">
      <c r="A18" s="525"/>
      <c r="B18" s="588"/>
      <c r="C18" s="861" t="str">
        <f>'比较法-住宅、综合'!C24</f>
        <v>一般</v>
      </c>
      <c r="D18" s="552"/>
      <c r="E18" s="861" t="str">
        <f>'比较法-住宅、综合'!E24</f>
        <v>一般</v>
      </c>
      <c r="F18" s="556"/>
      <c r="G18" s="562" t="s">
        <v>3523</v>
      </c>
      <c r="H18" s="548"/>
      <c r="I18" s="562" t="s">
        <v>3523</v>
      </c>
      <c r="J18" s="548"/>
      <c r="K18" s="858"/>
      <c r="L18" s="2022"/>
      <c r="M18" s="2014"/>
      <c r="N18" s="2014"/>
      <c r="O18" s="2021"/>
      <c r="P18" s="3509"/>
      <c r="Q18" s="1504"/>
      <c r="R18" s="1505"/>
      <c r="S18" s="1506"/>
      <c r="T18" s="1505"/>
      <c r="U18" s="1506"/>
      <c r="V18" s="1505"/>
      <c r="W18" s="1506"/>
      <c r="X18" s="1499"/>
      <c r="Y18" s="3509"/>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102</v>
      </c>
      <c r="I19" s="563"/>
      <c r="J19" s="552">
        <f>SUMIF(80:80,I20,81:81)-SUMIF(80:80,C20,81:81)+100</f>
        <v>102</v>
      </c>
      <c r="K19" s="856">
        <v>2</v>
      </c>
      <c r="L19" s="2022"/>
      <c r="M19" s="2014"/>
      <c r="N19" s="2014"/>
      <c r="O19" s="2021"/>
      <c r="P19" s="3509"/>
      <c r="Q19" s="1504" t="str">
        <f>B19</f>
        <v>公共配套设施</v>
      </c>
      <c r="R19" s="1505" t="s">
        <v>11</v>
      </c>
      <c r="S19" s="1506">
        <f>F19</f>
        <v>100</v>
      </c>
      <c r="T19" s="1505" t="s">
        <v>11</v>
      </c>
      <c r="U19" s="1506">
        <f>H19</f>
        <v>102</v>
      </c>
      <c r="V19" s="1505" t="s">
        <v>11</v>
      </c>
      <c r="W19" s="1506">
        <f>J19</f>
        <v>102</v>
      </c>
      <c r="X19" s="1499"/>
      <c r="Y19" s="3509"/>
      <c r="Z19" s="1507" t="str">
        <f>Q19</f>
        <v>公共配套设施</v>
      </c>
      <c r="AA19" s="1508">
        <f t="shared" si="3"/>
        <v>1</v>
      </c>
      <c r="AB19" s="1508">
        <f t="shared" si="4"/>
        <v>0.98039215686274506</v>
      </c>
      <c r="AC19" s="1508">
        <f t="shared" si="5"/>
        <v>0.98039215686274506</v>
      </c>
    </row>
    <row r="20" spans="1:29" ht="15">
      <c r="A20" s="525"/>
      <c r="B20" s="588"/>
      <c r="C20" s="569" t="str">
        <f>'比较法-住宅、综合'!C30</f>
        <v>一般</v>
      </c>
      <c r="D20" s="548"/>
      <c r="E20" s="569" t="s">
        <v>3523</v>
      </c>
      <c r="F20" s="550"/>
      <c r="G20" s="551" t="s">
        <v>3522</v>
      </c>
      <c r="H20" s="548"/>
      <c r="I20" s="551" t="s">
        <v>3522</v>
      </c>
      <c r="J20" s="548"/>
      <c r="K20" s="858"/>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2"/>
      <c r="M21" s="2014"/>
      <c r="N21" s="2014"/>
      <c r="O21" s="2021"/>
      <c r="P21" s="3509"/>
      <c r="Q21" s="2427" t="str">
        <f>B21</f>
        <v>基础设施水平</v>
      </c>
      <c r="R21" s="1505" t="s">
        <v>11</v>
      </c>
      <c r="S21" s="1506">
        <f>F21</f>
        <v>100</v>
      </c>
      <c r="T21" s="1505" t="s">
        <v>11</v>
      </c>
      <c r="U21" s="1506">
        <f>H21</f>
        <v>100</v>
      </c>
      <c r="V21" s="1505" t="s">
        <v>11</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910"/>
      <c r="C22" s="861" t="str">
        <f>'比较法-住宅、综合'!C32</f>
        <v>六通</v>
      </c>
      <c r="D22" s="548"/>
      <c r="E22" s="861" t="str">
        <f>'比较法-住宅、综合'!E32</f>
        <v>六通</v>
      </c>
      <c r="F22" s="550"/>
      <c r="G22" s="569" t="s">
        <v>3527</v>
      </c>
      <c r="H22" s="548"/>
      <c r="I22" s="569" t="s">
        <v>3527</v>
      </c>
      <c r="J22" s="548"/>
      <c r="K22" s="2441"/>
      <c r="L22" s="2022"/>
      <c r="M22" s="2014"/>
      <c r="N22" s="2014"/>
      <c r="O22" s="2021"/>
      <c r="P22" s="3509"/>
      <c r="Q22" s="2427"/>
      <c r="R22" s="1505"/>
      <c r="S22" s="1506"/>
      <c r="T22" s="1505"/>
      <c r="U22" s="1506"/>
      <c r="V22" s="1505"/>
      <c r="W22" s="1506"/>
      <c r="X22" s="2429"/>
      <c r="Y22" s="3509"/>
      <c r="Z22" s="2428"/>
      <c r="AA22" s="1508">
        <v>1</v>
      </c>
      <c r="AB22" s="1508">
        <v>1</v>
      </c>
      <c r="AC22" s="1508">
        <v>1</v>
      </c>
    </row>
    <row r="23" spans="1:29" ht="57">
      <c r="A23" s="525"/>
      <c r="B23" s="859" t="s">
        <v>296</v>
      </c>
      <c r="C23" s="860" t="str">
        <f>估价对象房地状况!C9</f>
        <v>区域自然环境：；人文环境；综合评价环境状况一般</v>
      </c>
      <c r="D23" s="552">
        <v>100</v>
      </c>
      <c r="E23" s="555"/>
      <c r="F23" s="556">
        <f>SUMIF(84:84,E24,85:85)-SUMIF(84:84,C24,85:85)+100</f>
        <v>100</v>
      </c>
      <c r="G23" s="557"/>
      <c r="H23" s="552">
        <f>SUMIF(84:84,G24,85:85)-SUMIF(84:84,C24,85:85)+100</f>
        <v>102</v>
      </c>
      <c r="I23" s="555"/>
      <c r="J23" s="552">
        <f>SUMIF(84:84,I24,85:85)-SUMIF(84:84,C24,85:85)+100</f>
        <v>102</v>
      </c>
      <c r="K23" s="856">
        <v>2</v>
      </c>
      <c r="L23" s="2022"/>
      <c r="M23" s="2014"/>
      <c r="N23" s="2014"/>
      <c r="O23" s="2021"/>
      <c r="P23" s="3509"/>
      <c r="Q23" s="1504" t="str">
        <f>B23</f>
        <v>自然及人文环境</v>
      </c>
      <c r="R23" s="1505" t="s">
        <v>11</v>
      </c>
      <c r="S23" s="1506">
        <f>F23</f>
        <v>100</v>
      </c>
      <c r="T23" s="1505" t="s">
        <v>11</v>
      </c>
      <c r="U23" s="1506">
        <f>H23</f>
        <v>102</v>
      </c>
      <c r="V23" s="1505" t="s">
        <v>11</v>
      </c>
      <c r="W23" s="1506">
        <f>J23</f>
        <v>102</v>
      </c>
      <c r="X23" s="1499"/>
      <c r="Y23" s="3509"/>
      <c r="Z23" s="1507" t="str">
        <f>Q23</f>
        <v>自然及人文环境</v>
      </c>
      <c r="AA23" s="1508">
        <f t="shared" si="3"/>
        <v>1</v>
      </c>
      <c r="AB23" s="1508">
        <f t="shared" si="4"/>
        <v>0.98039215686274506</v>
      </c>
      <c r="AC23" s="1508">
        <f t="shared" si="5"/>
        <v>0.98039215686274506</v>
      </c>
    </row>
    <row r="24" spans="1:29" ht="15.75" thickBot="1">
      <c r="A24" s="525"/>
      <c r="B24" s="588"/>
      <c r="C24" s="569" t="str">
        <f>'比较法-住宅、综合'!C28</f>
        <v>一般</v>
      </c>
      <c r="D24" s="548"/>
      <c r="E24" s="569" t="str">
        <f>'比较法-住宅、综合'!E28</f>
        <v>一般</v>
      </c>
      <c r="F24" s="550"/>
      <c r="G24" s="551" t="s">
        <v>3522</v>
      </c>
      <c r="H24" s="548"/>
      <c r="I24" s="551" t="s">
        <v>3522</v>
      </c>
      <c r="J24" s="548"/>
      <c r="K24" s="858"/>
      <c r="L24" s="2022"/>
      <c r="M24" s="2014"/>
      <c r="N24" s="2014"/>
      <c r="O24" s="2021"/>
      <c r="P24" s="3509"/>
      <c r="Q24" s="1504"/>
      <c r="R24" s="1505"/>
      <c r="S24" s="1506"/>
      <c r="T24" s="1505"/>
      <c r="U24" s="1506"/>
      <c r="V24" s="1505"/>
      <c r="W24" s="1506"/>
      <c r="X24" s="1499"/>
      <c r="Y24" s="3509"/>
      <c r="Z24" s="1507"/>
      <c r="AA24" s="1508">
        <v>1</v>
      </c>
      <c r="AB24" s="1508">
        <v>1</v>
      </c>
      <c r="AC24" s="1508">
        <v>1</v>
      </c>
    </row>
    <row r="25" spans="1:29" ht="15" hidden="1">
      <c r="A25" s="525"/>
      <c r="B25" s="1807" t="s">
        <v>2244</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509"/>
      <c r="Q25" s="1504" t="str">
        <f t="shared" ref="Q25:Q46" si="11">B25</f>
        <v>楼层-1</v>
      </c>
      <c r="R25" s="1505" t="s">
        <v>11</v>
      </c>
      <c r="S25" s="1506">
        <f>F25</f>
        <v>100</v>
      </c>
      <c r="T25" s="1505" t="s">
        <v>11</v>
      </c>
      <c r="U25" s="1506">
        <f>H25</f>
        <v>100</v>
      </c>
      <c r="V25" s="1505" t="s">
        <v>11</v>
      </c>
      <c r="W25" s="1506">
        <f>J25</f>
        <v>100</v>
      </c>
      <c r="X25" s="1499"/>
      <c r="Y25" s="3509"/>
      <c r="Z25" s="1507" t="str">
        <f>Q25</f>
        <v>楼层-1</v>
      </c>
      <c r="AA25" s="1508">
        <f t="shared" si="3"/>
        <v>1</v>
      </c>
      <c r="AB25" s="1508">
        <f t="shared" si="4"/>
        <v>1</v>
      </c>
      <c r="AC25" s="1508">
        <f t="shared" si="5"/>
        <v>1</v>
      </c>
    </row>
    <row r="26" spans="1:29" ht="15" hidden="1">
      <c r="A26" s="525"/>
      <c r="B26" s="520" t="s">
        <v>716</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509"/>
      <c r="Q26" s="1504" t="str">
        <f t="shared" si="11"/>
        <v>朝向</v>
      </c>
      <c r="R26" s="1505" t="s">
        <v>11</v>
      </c>
      <c r="S26" s="1506">
        <f>F26</f>
        <v>100</v>
      </c>
      <c r="T26" s="1505" t="s">
        <v>11</v>
      </c>
      <c r="U26" s="1506">
        <f>H26</f>
        <v>100</v>
      </c>
      <c r="V26" s="1505" t="s">
        <v>11</v>
      </c>
      <c r="W26" s="1506">
        <f>J26</f>
        <v>100</v>
      </c>
      <c r="X26" s="1499"/>
      <c r="Y26" s="3509"/>
      <c r="Z26" s="1507" t="str">
        <f>Q26</f>
        <v>朝向</v>
      </c>
      <c r="AA26" s="1508">
        <f t="shared" si="3"/>
        <v>1</v>
      </c>
      <c r="AB26" s="1508">
        <f t="shared" si="4"/>
        <v>1</v>
      </c>
      <c r="AC26" s="1508">
        <f t="shared" si="5"/>
        <v>1</v>
      </c>
    </row>
    <row r="27" spans="1:29" s="1202" customFormat="1" ht="15" hidden="1">
      <c r="A27" s="529"/>
      <c r="B27" s="530" t="s">
        <v>717</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509"/>
      <c r="Q27" s="1133" t="str">
        <f t="shared" si="11"/>
        <v>道路级别</v>
      </c>
      <c r="R27" s="1500" t="s">
        <v>11</v>
      </c>
      <c r="S27" s="1501">
        <f>F27</f>
        <v>100</v>
      </c>
      <c r="T27" s="1500" t="s">
        <v>11</v>
      </c>
      <c r="U27" s="1501">
        <f>H27</f>
        <v>100</v>
      </c>
      <c r="V27" s="1500" t="s">
        <v>11</v>
      </c>
      <c r="W27" s="1501">
        <f>J27</f>
        <v>100</v>
      </c>
      <c r="X27" s="1502"/>
      <c r="Y27" s="3509"/>
      <c r="Z27" s="1132" t="str">
        <f>Q27</f>
        <v>道路级别</v>
      </c>
      <c r="AA27" s="1508">
        <f>D27/F27</f>
        <v>1</v>
      </c>
      <c r="AB27" s="1508">
        <f>D27/H27</f>
        <v>1</v>
      </c>
      <c r="AC27" s="1508">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509"/>
      <c r="Q28" s="1504">
        <f t="shared" si="11"/>
        <v>111</v>
      </c>
      <c r="R28" s="1505" t="s">
        <v>11</v>
      </c>
      <c r="S28" s="1506">
        <f t="shared" ref="S28:S46" si="12">F28</f>
        <v>100</v>
      </c>
      <c r="T28" s="1505" t="s">
        <v>11</v>
      </c>
      <c r="U28" s="1506">
        <f t="shared" ref="U28:U46" si="13">H28</f>
        <v>100</v>
      </c>
      <c r="V28" s="1505" t="s">
        <v>11</v>
      </c>
      <c r="W28" s="1506">
        <f t="shared" ref="W28:W46" si="14">J28</f>
        <v>100</v>
      </c>
      <c r="X28" s="1499"/>
      <c r="Y28" s="3509"/>
      <c r="Z28" s="1507">
        <f t="shared" ref="Z28:Z46" si="15">Q28</f>
        <v>111</v>
      </c>
      <c r="AA28" s="1508">
        <f t="shared" si="3"/>
        <v>1</v>
      </c>
      <c r="AB28" s="1508">
        <f t="shared" si="4"/>
        <v>1</v>
      </c>
      <c r="AC28" s="1508">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509"/>
      <c r="Q29" s="1504">
        <f t="shared" si="11"/>
        <v>111</v>
      </c>
      <c r="R29" s="1505" t="s">
        <v>11</v>
      </c>
      <c r="S29" s="1506">
        <f t="shared" si="12"/>
        <v>100</v>
      </c>
      <c r="T29" s="1505" t="s">
        <v>11</v>
      </c>
      <c r="U29" s="1506">
        <f t="shared" si="13"/>
        <v>100</v>
      </c>
      <c r="V29" s="1505" t="s">
        <v>11</v>
      </c>
      <c r="W29" s="1506">
        <f t="shared" si="14"/>
        <v>100</v>
      </c>
      <c r="X29" s="1499"/>
      <c r="Y29" s="3509"/>
      <c r="Z29" s="1507">
        <f t="shared" si="15"/>
        <v>111</v>
      </c>
      <c r="AA29" s="1508">
        <f t="shared" si="3"/>
        <v>1</v>
      </c>
      <c r="AB29" s="1508">
        <f t="shared" si="4"/>
        <v>1</v>
      </c>
      <c r="AC29" s="1508">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509"/>
      <c r="Q30" s="1504">
        <f t="shared" si="11"/>
        <v>111</v>
      </c>
      <c r="R30" s="1505" t="s">
        <v>11</v>
      </c>
      <c r="S30" s="1506">
        <f t="shared" si="12"/>
        <v>100</v>
      </c>
      <c r="T30" s="1505" t="s">
        <v>11</v>
      </c>
      <c r="U30" s="1506">
        <f t="shared" si="13"/>
        <v>100</v>
      </c>
      <c r="V30" s="1505" t="s">
        <v>11</v>
      </c>
      <c r="W30" s="1506">
        <f t="shared" si="14"/>
        <v>100</v>
      </c>
      <c r="X30" s="1499"/>
      <c r="Y30" s="3509"/>
      <c r="Z30" s="1507">
        <f t="shared" si="15"/>
        <v>111</v>
      </c>
      <c r="AA30" s="1508">
        <f t="shared" si="3"/>
        <v>1</v>
      </c>
      <c r="AB30" s="1508">
        <f t="shared" si="4"/>
        <v>1</v>
      </c>
      <c r="AC30" s="1508">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509"/>
      <c r="Q31" s="1504">
        <f t="shared" si="11"/>
        <v>111</v>
      </c>
      <c r="R31" s="1505" t="s">
        <v>11</v>
      </c>
      <c r="S31" s="1506">
        <f t="shared" si="12"/>
        <v>100</v>
      </c>
      <c r="T31" s="1505" t="s">
        <v>11</v>
      </c>
      <c r="U31" s="1506">
        <f t="shared" si="13"/>
        <v>100</v>
      </c>
      <c r="V31" s="1505" t="s">
        <v>11</v>
      </c>
      <c r="W31" s="1506">
        <f t="shared" si="14"/>
        <v>100</v>
      </c>
      <c r="X31" s="1499"/>
      <c r="Y31" s="3509"/>
      <c r="Z31" s="1507">
        <f t="shared" si="15"/>
        <v>111</v>
      </c>
      <c r="AA31" s="1508">
        <f t="shared" si="3"/>
        <v>1</v>
      </c>
      <c r="AB31" s="1508">
        <f t="shared" si="4"/>
        <v>1</v>
      </c>
      <c r="AC31" s="1508">
        <f t="shared" si="5"/>
        <v>1</v>
      </c>
    </row>
    <row r="32" spans="1:29" ht="15">
      <c r="A32" s="2622" t="s">
        <v>2735</v>
      </c>
      <c r="B32" s="170" t="s">
        <v>718</v>
      </c>
      <c r="C32" s="866" t="s">
        <v>3060</v>
      </c>
      <c r="D32" s="590">
        <v>100</v>
      </c>
      <c r="E32" s="867" t="s">
        <v>3060</v>
      </c>
      <c r="F32" s="568">
        <f>SUMIF(100:100,E32,101:101)-SUMIF(100:100,C32,101:101)+100</f>
        <v>100</v>
      </c>
      <c r="G32" s="867" t="s">
        <v>3060</v>
      </c>
      <c r="H32" s="590">
        <f>SUMIF(100:100,G32,101:101)-SUMIF(100:100,C32,101:101)+100</f>
        <v>100</v>
      </c>
      <c r="I32" s="867" t="s">
        <v>3060</v>
      </c>
      <c r="J32" s="533">
        <f>SUMIF(100:100,I32,101:101)-SUMIF(100:100,C32,101:101)+100</f>
        <v>100</v>
      </c>
      <c r="K32" s="852">
        <v>8</v>
      </c>
      <c r="L32" s="2022"/>
      <c r="M32" s="2014"/>
      <c r="N32" s="2014"/>
      <c r="O32" s="2021"/>
      <c r="P32" s="3510" t="s">
        <v>543</v>
      </c>
      <c r="Q32" s="1504" t="str">
        <f t="shared" si="11"/>
        <v>建筑类型</v>
      </c>
      <c r="R32" s="1505" t="s">
        <v>11</v>
      </c>
      <c r="S32" s="1506">
        <f t="shared" si="12"/>
        <v>100</v>
      </c>
      <c r="T32" s="1505" t="s">
        <v>11</v>
      </c>
      <c r="U32" s="1506">
        <f t="shared" si="13"/>
        <v>100</v>
      </c>
      <c r="V32" s="1505" t="s">
        <v>11</v>
      </c>
      <c r="W32" s="1506">
        <f t="shared" si="14"/>
        <v>100</v>
      </c>
      <c r="X32" s="1499"/>
      <c r="Y32" s="3511" t="s">
        <v>543</v>
      </c>
      <c r="Z32" s="1507" t="str">
        <f t="shared" si="15"/>
        <v>建筑类型</v>
      </c>
      <c r="AA32" s="1508">
        <f t="shared" si="3"/>
        <v>1</v>
      </c>
      <c r="AB32" s="1508">
        <f t="shared" si="4"/>
        <v>1</v>
      </c>
      <c r="AC32" s="1508">
        <f t="shared" si="5"/>
        <v>1</v>
      </c>
    </row>
    <row r="33" spans="1:29" s="1292" customFormat="1" ht="15">
      <c r="A33" s="596"/>
      <c r="B33" s="520" t="s">
        <v>719</v>
      </c>
      <c r="C33" s="868">
        <f>'数据-汇总表'!E3</f>
        <v>172032.86</v>
      </c>
      <c r="D33" s="252">
        <v>100</v>
      </c>
      <c r="E33" s="527">
        <f>60666*3</f>
        <v>181998</v>
      </c>
      <c r="F33" s="851">
        <f>LOOKUP(E33,103:103,104:104)-LOOKUP(C33,103:103,104:104)+100</f>
        <v>100</v>
      </c>
      <c r="G33" s="526">
        <v>207727.84</v>
      </c>
      <c r="H33" s="252">
        <f>LOOKUP(G33,103:103,104:104)-LOOKUP(C33,103:103,104:104)+100</f>
        <v>102</v>
      </c>
      <c r="I33" s="527">
        <v>396000</v>
      </c>
      <c r="J33" s="252">
        <f>LOOKUP(I33,103:103,104:104)-LOOKUP(C33,103:103,104:104)+100</f>
        <v>104</v>
      </c>
      <c r="K33" s="853"/>
      <c r="L33" s="2020"/>
      <c r="M33" s="2050"/>
      <c r="N33" s="2050"/>
      <c r="O33" s="2023"/>
      <c r="P33" s="3511"/>
      <c r="Q33" s="1533" t="str">
        <f t="shared" si="11"/>
        <v>项目建筑规模</v>
      </c>
      <c r="R33" s="1509" t="s">
        <v>11</v>
      </c>
      <c r="S33" s="1510">
        <f t="shared" si="12"/>
        <v>100</v>
      </c>
      <c r="T33" s="1509" t="s">
        <v>11</v>
      </c>
      <c r="U33" s="1510">
        <f t="shared" si="13"/>
        <v>102</v>
      </c>
      <c r="V33" s="1509" t="s">
        <v>11</v>
      </c>
      <c r="W33" s="1510">
        <f t="shared" si="14"/>
        <v>104</v>
      </c>
      <c r="X33" s="1511"/>
      <c r="Y33" s="3511"/>
      <c r="Z33" s="1512" t="str">
        <f t="shared" si="15"/>
        <v>项目建筑规模</v>
      </c>
      <c r="AA33" s="1508">
        <f t="shared" si="3"/>
        <v>1</v>
      </c>
      <c r="AB33" s="1508">
        <f t="shared" si="4"/>
        <v>0.98039215686274506</v>
      </c>
      <c r="AC33" s="1508">
        <f t="shared" si="5"/>
        <v>0.96153846153846156</v>
      </c>
    </row>
    <row r="34" spans="1:29" ht="15">
      <c r="A34" s="587"/>
      <c r="B34" s="520" t="s">
        <v>720</v>
      </c>
      <c r="C34" s="869" t="s">
        <v>3544</v>
      </c>
      <c r="D34" s="533">
        <v>100</v>
      </c>
      <c r="E34" s="869" t="s">
        <v>3544</v>
      </c>
      <c r="F34" s="568">
        <f>SUMIF(105:105,E34,106:106)-SUMIF(105:105,C34,106:106)+100</f>
        <v>100</v>
      </c>
      <c r="G34" s="869" t="s">
        <v>3544</v>
      </c>
      <c r="H34" s="533">
        <f>SUMIF(105:105,G34,106:106)-SUMIF(105:105,C34,106:106)+100</f>
        <v>100</v>
      </c>
      <c r="I34" s="3310" t="s">
        <v>3545</v>
      </c>
      <c r="J34" s="533">
        <f>SUMIF(105:105,I34,106:106)-SUMIF(105:105,C34,106:106)+100</f>
        <v>100</v>
      </c>
      <c r="K34" s="852">
        <v>1</v>
      </c>
      <c r="L34" s="2022"/>
      <c r="M34" s="2014"/>
      <c r="N34" s="2014"/>
      <c r="O34" s="2021"/>
      <c r="P34" s="3511"/>
      <c r="Q34" s="1504" t="str">
        <f t="shared" si="11"/>
        <v>建筑结构</v>
      </c>
      <c r="R34" s="1505" t="s">
        <v>11</v>
      </c>
      <c r="S34" s="1506">
        <f t="shared" si="12"/>
        <v>100</v>
      </c>
      <c r="T34" s="1505" t="s">
        <v>11</v>
      </c>
      <c r="U34" s="1506">
        <f t="shared" si="13"/>
        <v>100</v>
      </c>
      <c r="V34" s="1505" t="s">
        <v>11</v>
      </c>
      <c r="W34" s="1506">
        <f t="shared" si="14"/>
        <v>100</v>
      </c>
      <c r="X34" s="1499"/>
      <c r="Y34" s="3511"/>
      <c r="Z34" s="1507" t="str">
        <f t="shared" si="15"/>
        <v>建筑结构</v>
      </c>
      <c r="AA34" s="1508">
        <f t="shared" si="3"/>
        <v>1</v>
      </c>
      <c r="AB34" s="1508">
        <f t="shared" si="4"/>
        <v>1</v>
      </c>
      <c r="AC34" s="1508">
        <f t="shared" si="5"/>
        <v>1</v>
      </c>
    </row>
    <row r="35" spans="1:29" ht="15">
      <c r="A35" s="587"/>
      <c r="B35" s="520" t="s">
        <v>721</v>
      </c>
      <c r="C35" s="592" t="s">
        <v>3560</v>
      </c>
      <c r="D35" s="533">
        <v>100</v>
      </c>
      <c r="E35" s="592" t="s">
        <v>3560</v>
      </c>
      <c r="F35" s="568">
        <f>SUMIF(107:107,E35,108:108)-SUMIF(107:107,C35,108:108)+100</f>
        <v>100</v>
      </c>
      <c r="G35" s="592" t="s">
        <v>3560</v>
      </c>
      <c r="H35" s="533">
        <f>SUMIF(107:107,G35,108:108)-SUMIF(107:107,C35,108:108)+100</f>
        <v>100</v>
      </c>
      <c r="I35" s="592" t="s">
        <v>3560</v>
      </c>
      <c r="J35" s="533">
        <f>SUMIF(107:107,I35,108:108)-SUMIF(107:107,C35,108:108)+100</f>
        <v>100</v>
      </c>
      <c r="K35" s="852">
        <v>1</v>
      </c>
      <c r="L35" s="2022"/>
      <c r="M35" s="2014"/>
      <c r="N35" s="2014"/>
      <c r="O35" s="2021"/>
      <c r="P35" s="3511"/>
      <c r="Q35" s="1504" t="str">
        <f t="shared" si="11"/>
        <v>建筑品质</v>
      </c>
      <c r="R35" s="1505" t="s">
        <v>11</v>
      </c>
      <c r="S35" s="1506">
        <f t="shared" si="12"/>
        <v>100</v>
      </c>
      <c r="T35" s="1505" t="s">
        <v>11</v>
      </c>
      <c r="U35" s="1506">
        <f t="shared" si="13"/>
        <v>100</v>
      </c>
      <c r="V35" s="1505" t="s">
        <v>11</v>
      </c>
      <c r="W35" s="1506">
        <f t="shared" si="14"/>
        <v>100</v>
      </c>
      <c r="X35" s="1499"/>
      <c r="Y35" s="3511"/>
      <c r="Z35" s="1507" t="str">
        <f t="shared" si="15"/>
        <v>建筑品质</v>
      </c>
      <c r="AA35" s="1508">
        <f t="shared" si="3"/>
        <v>1</v>
      </c>
      <c r="AB35" s="1508">
        <f t="shared" si="4"/>
        <v>1</v>
      </c>
      <c r="AC35" s="1508">
        <f t="shared" si="5"/>
        <v>1</v>
      </c>
    </row>
    <row r="36" spans="1:29" ht="15">
      <c r="A36" s="587"/>
      <c r="B36" s="520" t="s">
        <v>722</v>
      </c>
      <c r="C36" s="592" t="s">
        <v>3556</v>
      </c>
      <c r="D36" s="533">
        <v>100</v>
      </c>
      <c r="E36" s="592" t="s">
        <v>3556</v>
      </c>
      <c r="F36" s="568">
        <f>SUMIF(109:109,E36,110:110)-SUMIF(109:109,C36,110:110)+100</f>
        <v>100</v>
      </c>
      <c r="G36" s="592" t="s">
        <v>3556</v>
      </c>
      <c r="H36" s="533">
        <f>SUMIF(109:109,G36,110:110)-SUMIF(109:109,C36,110:110)+100</f>
        <v>100</v>
      </c>
      <c r="I36" s="592" t="s">
        <v>3556</v>
      </c>
      <c r="J36" s="533">
        <f>SUMIF(109:109,I36,110:110)-SUMIF(109:109,C36,110:110)+100</f>
        <v>100</v>
      </c>
      <c r="K36" s="852">
        <v>1</v>
      </c>
      <c r="L36" s="2022"/>
      <c r="M36" s="2014"/>
      <c r="N36" s="2014"/>
      <c r="O36" s="2021"/>
      <c r="P36" s="3511"/>
      <c r="Q36" s="1504" t="str">
        <f t="shared" si="11"/>
        <v>公共部分装修</v>
      </c>
      <c r="R36" s="1505" t="s">
        <v>11</v>
      </c>
      <c r="S36" s="1506">
        <f t="shared" si="12"/>
        <v>100</v>
      </c>
      <c r="T36" s="1505" t="s">
        <v>11</v>
      </c>
      <c r="U36" s="1506">
        <f t="shared" si="13"/>
        <v>100</v>
      </c>
      <c r="V36" s="1505" t="s">
        <v>11</v>
      </c>
      <c r="W36" s="1506">
        <f t="shared" si="14"/>
        <v>100</v>
      </c>
      <c r="X36" s="1499"/>
      <c r="Y36" s="3511"/>
      <c r="Z36" s="1507" t="str">
        <f t="shared" si="15"/>
        <v>公共部分装修</v>
      </c>
      <c r="AA36" s="1508">
        <f t="shared" si="3"/>
        <v>1</v>
      </c>
      <c r="AB36" s="1508">
        <f t="shared" si="4"/>
        <v>1</v>
      </c>
      <c r="AC36" s="1508">
        <f t="shared" si="5"/>
        <v>1</v>
      </c>
    </row>
    <row r="37" spans="1:29" s="1202" customFormat="1" ht="15">
      <c r="A37" s="593"/>
      <c r="B37" s="520" t="s">
        <v>723</v>
      </c>
      <c r="C37" s="871">
        <v>1</v>
      </c>
      <c r="D37" s="252">
        <v>100</v>
      </c>
      <c r="E37" s="871">
        <v>1</v>
      </c>
      <c r="F37" s="851">
        <f>LOOKUP(E37,112:112,113:113)-LOOKUP(C37,112:112,113:113)+100</f>
        <v>100</v>
      </c>
      <c r="G37" s="871">
        <v>1</v>
      </c>
      <c r="H37" s="252">
        <f>LOOKUP(G37,112:112,113:113)-LOOKUP(C37,112:112,113:113)+100</f>
        <v>100</v>
      </c>
      <c r="I37" s="871">
        <v>1</v>
      </c>
      <c r="J37" s="252">
        <f>LOOKUP(I37,112:112,113:113)-LOOKUP(C37,112:112,113:113)+100</f>
        <v>100</v>
      </c>
      <c r="K37" s="852"/>
      <c r="L37" s="2015"/>
      <c r="M37" s="2016"/>
      <c r="N37" s="2016"/>
      <c r="O37" s="2017"/>
      <c r="P37" s="3511"/>
      <c r="Q37" s="1133" t="str">
        <f t="shared" si="11"/>
        <v>成新度</v>
      </c>
      <c r="R37" s="1500" t="s">
        <v>11</v>
      </c>
      <c r="S37" s="1501">
        <f t="shared" si="12"/>
        <v>100</v>
      </c>
      <c r="T37" s="1500" t="s">
        <v>11</v>
      </c>
      <c r="U37" s="1501">
        <f t="shared" si="13"/>
        <v>100</v>
      </c>
      <c r="V37" s="1500" t="s">
        <v>11</v>
      </c>
      <c r="W37" s="1501">
        <f t="shared" si="14"/>
        <v>100</v>
      </c>
      <c r="X37" s="1502"/>
      <c r="Y37" s="3511"/>
      <c r="Z37" s="1132" t="str">
        <f t="shared" si="15"/>
        <v>成新度</v>
      </c>
      <c r="AA37" s="1503">
        <f t="shared" si="3"/>
        <v>1</v>
      </c>
      <c r="AB37" s="1503">
        <f t="shared" si="4"/>
        <v>1</v>
      </c>
      <c r="AC37" s="1503">
        <f t="shared" si="5"/>
        <v>1</v>
      </c>
    </row>
    <row r="38" spans="1:29" ht="15">
      <c r="A38" s="587"/>
      <c r="B38" s="520" t="s">
        <v>724</v>
      </c>
      <c r="C38" s="592" t="s">
        <v>3561</v>
      </c>
      <c r="D38" s="533">
        <v>100</v>
      </c>
      <c r="E38" s="592" t="s">
        <v>3561</v>
      </c>
      <c r="F38" s="568">
        <f>SUMIF(114:114,E38,115:115)-SUMIF(114:114,C38,115:115)+100</f>
        <v>100</v>
      </c>
      <c r="G38" s="592" t="s">
        <v>3561</v>
      </c>
      <c r="H38" s="533">
        <f>SUMIF(114:114,G38,115:115)-SUMIF(114:114,C38,115:115)+100</f>
        <v>100</v>
      </c>
      <c r="I38" s="592" t="s">
        <v>3561</v>
      </c>
      <c r="J38" s="533">
        <f>SUMIF(114:114,I38,115:115)-SUMIF(114:114,C38,115:115)+100</f>
        <v>100</v>
      </c>
      <c r="K38" s="852">
        <v>1</v>
      </c>
      <c r="L38" s="2022"/>
      <c r="M38" s="2014"/>
      <c r="N38" s="2014"/>
      <c r="O38" s="2021"/>
      <c r="P38" s="3511" t="s">
        <v>543</v>
      </c>
      <c r="Q38" s="1504" t="str">
        <f t="shared" si="11"/>
        <v>物业管理</v>
      </c>
      <c r="R38" s="1505" t="s">
        <v>11</v>
      </c>
      <c r="S38" s="1506">
        <f t="shared" si="12"/>
        <v>100</v>
      </c>
      <c r="T38" s="1505" t="s">
        <v>11</v>
      </c>
      <c r="U38" s="1506">
        <f t="shared" si="13"/>
        <v>100</v>
      </c>
      <c r="V38" s="1505" t="s">
        <v>11</v>
      </c>
      <c r="W38" s="1506">
        <f t="shared" si="14"/>
        <v>100</v>
      </c>
      <c r="X38" s="1499"/>
      <c r="Y38" s="3511" t="s">
        <v>543</v>
      </c>
      <c r="Z38" s="1507" t="str">
        <f t="shared" si="15"/>
        <v>物业管理</v>
      </c>
      <c r="AA38" s="1508">
        <f t="shared" si="3"/>
        <v>1</v>
      </c>
      <c r="AB38" s="1508">
        <f t="shared" si="4"/>
        <v>1</v>
      </c>
      <c r="AC38" s="1508">
        <f t="shared" si="5"/>
        <v>1</v>
      </c>
    </row>
    <row r="39" spans="1:29" ht="15">
      <c r="A39" s="587"/>
      <c r="B39" s="1807" t="s">
        <v>2545</v>
      </c>
      <c r="C39" s="592" t="s">
        <v>3527</v>
      </c>
      <c r="D39" s="533">
        <v>100</v>
      </c>
      <c r="E39" s="592" t="s">
        <v>3527</v>
      </c>
      <c r="F39" s="568">
        <f>SUMIF(116:116,E39,117:117)-SUMIF(116:116,C39,117:117)+100</f>
        <v>100</v>
      </c>
      <c r="G39" s="592" t="s">
        <v>3527</v>
      </c>
      <c r="H39" s="533">
        <f>SUMIF(116:116,G39,117:117)-SUMIF(116:116,C39,117:117)+100</f>
        <v>100</v>
      </c>
      <c r="I39" s="592" t="s">
        <v>3527</v>
      </c>
      <c r="J39" s="533">
        <f>SUMIF(116:116,I39,117:117)-SUMIF(116:116,C39,117:117)+100</f>
        <v>100</v>
      </c>
      <c r="K39" s="852">
        <v>1</v>
      </c>
      <c r="L39" s="2022"/>
      <c r="M39" s="2014"/>
      <c r="N39" s="2014"/>
      <c r="O39" s="2021"/>
      <c r="P39" s="3511"/>
      <c r="Q39" s="1504" t="str">
        <f t="shared" si="11"/>
        <v>市政基础设施</v>
      </c>
      <c r="R39" s="1505" t="s">
        <v>11</v>
      </c>
      <c r="S39" s="1506">
        <f t="shared" si="12"/>
        <v>100</v>
      </c>
      <c r="T39" s="1505" t="s">
        <v>11</v>
      </c>
      <c r="U39" s="1506">
        <f t="shared" si="13"/>
        <v>100</v>
      </c>
      <c r="V39" s="1505" t="s">
        <v>11</v>
      </c>
      <c r="W39" s="1506">
        <f t="shared" si="14"/>
        <v>100</v>
      </c>
      <c r="X39" s="1499"/>
      <c r="Y39" s="3511"/>
      <c r="Z39" s="1507" t="str">
        <f t="shared" si="15"/>
        <v>市政基础设施</v>
      </c>
      <c r="AA39" s="1508">
        <f t="shared" si="3"/>
        <v>1</v>
      </c>
      <c r="AB39" s="1508">
        <f t="shared" si="4"/>
        <v>1</v>
      </c>
      <c r="AC39" s="1508">
        <f t="shared" si="5"/>
        <v>1</v>
      </c>
    </row>
    <row r="40" spans="1:29" ht="15" hidden="1">
      <c r="A40" s="587"/>
      <c r="B40" s="520" t="s">
        <v>725</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2"/>
      <c r="L40" s="2022"/>
      <c r="M40" s="2014"/>
      <c r="N40" s="2014"/>
      <c r="O40" s="2021"/>
      <c r="P40" s="3511"/>
      <c r="Q40" s="1504" t="str">
        <f t="shared" si="11"/>
        <v>房型</v>
      </c>
      <c r="R40" s="1505" t="s">
        <v>11</v>
      </c>
      <c r="S40" s="1506">
        <f t="shared" si="12"/>
        <v>100</v>
      </c>
      <c r="T40" s="1505" t="s">
        <v>11</v>
      </c>
      <c r="U40" s="1506">
        <f t="shared" si="13"/>
        <v>100</v>
      </c>
      <c r="V40" s="1505" t="s">
        <v>11</v>
      </c>
      <c r="W40" s="1506">
        <f t="shared" si="14"/>
        <v>100</v>
      </c>
      <c r="X40" s="1499"/>
      <c r="Y40" s="3511"/>
      <c r="Z40" s="1507" t="str">
        <f t="shared" si="15"/>
        <v>房型</v>
      </c>
      <c r="AA40" s="1508">
        <f t="shared" si="3"/>
        <v>1</v>
      </c>
      <c r="AB40" s="1508">
        <f t="shared" si="4"/>
        <v>1</v>
      </c>
      <c r="AC40" s="1508">
        <f t="shared" si="5"/>
        <v>1</v>
      </c>
    </row>
    <row r="41" spans="1:29" s="1292" customFormat="1" ht="28.5" hidden="1">
      <c r="A41" s="596"/>
      <c r="B41" s="520" t="s">
        <v>726</v>
      </c>
      <c r="C41" s="868"/>
      <c r="D41" s="252">
        <v>100</v>
      </c>
      <c r="E41" s="868"/>
      <c r="F41" s="851">
        <f>SUMIF(120:120,E41,121:121)-SUMIF(120:120,C41,121:121)+100</f>
        <v>100</v>
      </c>
      <c r="G41" s="868"/>
      <c r="H41" s="252">
        <f>SUMIF(120:120,G41,121:121)-SUMIF(120:120,C41,121:121)+100</f>
        <v>100</v>
      </c>
      <c r="I41" s="868"/>
      <c r="J41" s="533">
        <f>SUMIF(120:120,I41,121:121)-SUMIF(120:120,C41,121:121)+100</f>
        <v>100</v>
      </c>
      <c r="K41" s="853"/>
      <c r="L41" s="2020"/>
      <c r="M41" s="2050"/>
      <c r="N41" s="2050"/>
      <c r="O41" s="2023"/>
      <c r="P41" s="3511"/>
      <c r="Q41" s="1533" t="str">
        <f t="shared" si="11"/>
        <v>单套/主力户型建筑面积</v>
      </c>
      <c r="R41" s="1509" t="s">
        <v>11</v>
      </c>
      <c r="S41" s="1510">
        <f t="shared" si="12"/>
        <v>100</v>
      </c>
      <c r="T41" s="1509" t="s">
        <v>11</v>
      </c>
      <c r="U41" s="1510">
        <f t="shared" si="13"/>
        <v>100</v>
      </c>
      <c r="V41" s="1509" t="s">
        <v>11</v>
      </c>
      <c r="W41" s="1510">
        <f t="shared" si="14"/>
        <v>100</v>
      </c>
      <c r="X41" s="1511"/>
      <c r="Y41" s="3511"/>
      <c r="Z41" s="1512" t="str">
        <f t="shared" si="15"/>
        <v>单套/主力户型建筑面积</v>
      </c>
      <c r="AA41" s="1508">
        <f t="shared" si="3"/>
        <v>1</v>
      </c>
      <c r="AB41" s="1508">
        <f t="shared" si="4"/>
        <v>1</v>
      </c>
      <c r="AC41" s="1508">
        <f t="shared" si="5"/>
        <v>1</v>
      </c>
    </row>
    <row r="42" spans="1:29" ht="15.75" thickBot="1">
      <c r="A42" s="587"/>
      <c r="B42" s="520" t="s">
        <v>727</v>
      </c>
      <c r="C42" s="592" t="s">
        <v>3559</v>
      </c>
      <c r="D42" s="533">
        <v>100</v>
      </c>
      <c r="E42" s="592" t="s">
        <v>3559</v>
      </c>
      <c r="F42" s="568">
        <f>SUMIF(122:122,E42,123:123)-SUMIF(122:122,C42,123:123)+100</f>
        <v>100</v>
      </c>
      <c r="G42" s="592" t="s">
        <v>3559</v>
      </c>
      <c r="H42" s="533">
        <f>SUMIF(122:122,G42,123:123)-SUMIF(122:122,C42,123:123)+100</f>
        <v>100</v>
      </c>
      <c r="I42" s="592" t="s">
        <v>3559</v>
      </c>
      <c r="J42" s="533">
        <f>SUMIF(122:122,I42,123:123)-SUMIF(122:122,C42,123:123)+100</f>
        <v>100</v>
      </c>
      <c r="K42" s="852">
        <v>1</v>
      </c>
      <c r="L42" s="2022"/>
      <c r="M42" s="2014"/>
      <c r="N42" s="2014"/>
      <c r="O42" s="2021"/>
      <c r="P42" s="3511"/>
      <c r="Q42" s="1504" t="str">
        <f t="shared" si="11"/>
        <v>内部装修</v>
      </c>
      <c r="R42" s="1505" t="s">
        <v>11</v>
      </c>
      <c r="S42" s="1506">
        <f t="shared" si="12"/>
        <v>100</v>
      </c>
      <c r="T42" s="1505" t="s">
        <v>11</v>
      </c>
      <c r="U42" s="1506">
        <f t="shared" si="13"/>
        <v>100</v>
      </c>
      <c r="V42" s="1505" t="s">
        <v>11</v>
      </c>
      <c r="W42" s="1506">
        <f t="shared" si="14"/>
        <v>100</v>
      </c>
      <c r="X42" s="1499"/>
      <c r="Y42" s="3511"/>
      <c r="Z42" s="1507" t="str">
        <f t="shared" si="15"/>
        <v>内部装修</v>
      </c>
      <c r="AA42" s="1508">
        <f t="shared" si="3"/>
        <v>1</v>
      </c>
      <c r="AB42" s="1508">
        <f t="shared" si="4"/>
        <v>1</v>
      </c>
      <c r="AC42" s="1508">
        <f t="shared" si="5"/>
        <v>1</v>
      </c>
    </row>
    <row r="43" spans="1:29" ht="27" hidden="1">
      <c r="A43" s="587"/>
      <c r="B43" s="520" t="s">
        <v>728</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2"/>
      <c r="M43" s="2014"/>
      <c r="N43" s="2014"/>
      <c r="O43" s="2021"/>
      <c r="P43" s="3511"/>
      <c r="Q43" s="1504" t="str">
        <f t="shared" si="11"/>
        <v>内部装修维护情况</v>
      </c>
      <c r="R43" s="1505" t="s">
        <v>11</v>
      </c>
      <c r="S43" s="1506">
        <f t="shared" si="12"/>
        <v>100</v>
      </c>
      <c r="T43" s="1505" t="s">
        <v>11</v>
      </c>
      <c r="U43" s="1506">
        <f t="shared" si="13"/>
        <v>100</v>
      </c>
      <c r="V43" s="1505" t="s">
        <v>11</v>
      </c>
      <c r="W43" s="1506">
        <f t="shared" si="14"/>
        <v>100</v>
      </c>
      <c r="X43" s="1499"/>
      <c r="Y43" s="3511"/>
      <c r="Z43" s="1507" t="str">
        <f t="shared" si="15"/>
        <v>内部装修维护情况</v>
      </c>
      <c r="AA43" s="1508">
        <f t="shared" si="3"/>
        <v>1</v>
      </c>
      <c r="AB43" s="1508">
        <f t="shared" si="4"/>
        <v>1</v>
      </c>
      <c r="AC43" s="1508">
        <f t="shared" si="5"/>
        <v>1</v>
      </c>
    </row>
    <row r="44" spans="1:29" s="1202" customFormat="1" ht="15" hidden="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5"/>
      <c r="M44" s="2016"/>
      <c r="N44" s="2016"/>
      <c r="O44" s="2017"/>
      <c r="P44" s="3511"/>
      <c r="Q44" s="1133">
        <f t="shared" si="11"/>
        <v>111</v>
      </c>
      <c r="R44" s="1500" t="s">
        <v>11</v>
      </c>
      <c r="S44" s="1501">
        <f t="shared" si="12"/>
        <v>100</v>
      </c>
      <c r="T44" s="1500" t="s">
        <v>11</v>
      </c>
      <c r="U44" s="1501">
        <f t="shared" si="13"/>
        <v>100</v>
      </c>
      <c r="V44" s="1500" t="s">
        <v>11</v>
      </c>
      <c r="W44" s="1501">
        <f t="shared" si="14"/>
        <v>100</v>
      </c>
      <c r="X44" s="1502"/>
      <c r="Y44" s="3511"/>
      <c r="Z44" s="1132">
        <f t="shared" si="15"/>
        <v>111</v>
      </c>
      <c r="AA44" s="1503">
        <f t="shared" si="3"/>
        <v>1</v>
      </c>
      <c r="AB44" s="1503">
        <f t="shared" si="4"/>
        <v>1</v>
      </c>
      <c r="AC44" s="1503">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511"/>
      <c r="Q45" s="1504">
        <f t="shared" si="11"/>
        <v>111</v>
      </c>
      <c r="R45" s="1505" t="s">
        <v>11</v>
      </c>
      <c r="S45" s="1506">
        <f t="shared" si="12"/>
        <v>100</v>
      </c>
      <c r="T45" s="1505" t="s">
        <v>11</v>
      </c>
      <c r="U45" s="1506">
        <f t="shared" si="13"/>
        <v>100</v>
      </c>
      <c r="V45" s="1505" t="s">
        <v>11</v>
      </c>
      <c r="W45" s="1506">
        <f t="shared" si="14"/>
        <v>100</v>
      </c>
      <c r="X45" s="1499"/>
      <c r="Y45" s="3511"/>
      <c r="Z45" s="1507">
        <f t="shared" si="15"/>
        <v>111</v>
      </c>
      <c r="AA45" s="1508">
        <f t="shared" si="3"/>
        <v>1</v>
      </c>
      <c r="AB45" s="1508">
        <f t="shared" si="4"/>
        <v>1</v>
      </c>
      <c r="AC45" s="1508">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612"/>
      <c r="Q46" s="1504">
        <f t="shared" si="11"/>
        <v>111</v>
      </c>
      <c r="R46" s="1505" t="s">
        <v>10</v>
      </c>
      <c r="S46" s="1506">
        <f t="shared" si="12"/>
        <v>100</v>
      </c>
      <c r="T46" s="1505" t="s">
        <v>10</v>
      </c>
      <c r="U46" s="1506">
        <f t="shared" si="13"/>
        <v>100</v>
      </c>
      <c r="V46" s="1505" t="s">
        <v>10</v>
      </c>
      <c r="W46" s="1506">
        <f t="shared" si="14"/>
        <v>100</v>
      </c>
      <c r="X46" s="1499"/>
      <c r="Y46" s="3612"/>
      <c r="Z46" s="1507">
        <f t="shared" si="15"/>
        <v>111</v>
      </c>
      <c r="AA46" s="1508">
        <f t="shared" si="3"/>
        <v>1</v>
      </c>
      <c r="AB46" s="1508">
        <f t="shared" si="4"/>
        <v>1</v>
      </c>
      <c r="AC46" s="1508">
        <f t="shared" si="5"/>
        <v>1</v>
      </c>
    </row>
    <row r="47" spans="1:29" ht="15">
      <c r="A47" s="600" t="s">
        <v>729</v>
      </c>
      <c r="B47" s="875"/>
      <c r="C47" s="2468" t="s">
        <v>9</v>
      </c>
      <c r="D47" s="2469"/>
      <c r="E47" s="2470">
        <v>6400</v>
      </c>
      <c r="F47" s="2471"/>
      <c r="G47" s="2472">
        <v>6900</v>
      </c>
      <c r="H47" s="2473"/>
      <c r="I47" s="2470">
        <v>7000</v>
      </c>
      <c r="J47" s="2473"/>
      <c r="K47" s="1534"/>
      <c r="L47" s="2024"/>
      <c r="M47" s="2025"/>
      <c r="N47" s="2014"/>
      <c r="O47" s="2025"/>
      <c r="P47" s="3506" t="str">
        <f>A47</f>
        <v>成交单价（元/平方米）</v>
      </c>
      <c r="Q47" s="3506"/>
      <c r="R47" s="3613">
        <f>E47</f>
        <v>6400</v>
      </c>
      <c r="S47" s="3613"/>
      <c r="T47" s="3613">
        <f>G47</f>
        <v>6900</v>
      </c>
      <c r="U47" s="3613"/>
      <c r="V47" s="3613">
        <f>I47</f>
        <v>7000</v>
      </c>
      <c r="W47" s="3613"/>
      <c r="X47" s="1494"/>
      <c r="Y47" s="1513"/>
      <c r="Z47" s="1494"/>
      <c r="AA47" s="1494"/>
      <c r="AB47" s="1494"/>
      <c r="AC47" s="1494"/>
    </row>
    <row r="48" spans="1:29" ht="15.75" thickBot="1">
      <c r="A48" s="608" t="s">
        <v>2740</v>
      </c>
      <c r="B48" s="876"/>
      <c r="C48" s="2474">
        <f>R49</f>
        <v>6545</v>
      </c>
      <c r="D48" s="3008" t="s">
        <v>2970</v>
      </c>
      <c r="E48" s="2475">
        <f>R48</f>
        <v>6531</v>
      </c>
      <c r="F48" s="3009"/>
      <c r="G48" s="2474">
        <f>T48</f>
        <v>6635</v>
      </c>
      <c r="H48" s="3009"/>
      <c r="I48" s="2475">
        <f>V48</f>
        <v>6469</v>
      </c>
      <c r="J48" s="3009"/>
      <c r="K48" s="3017">
        <f>F48+H48+J48</f>
        <v>0</v>
      </c>
      <c r="L48" s="2024"/>
      <c r="M48" s="2025"/>
      <c r="N48" s="2025"/>
      <c r="O48" s="2025"/>
      <c r="P48" s="3506" t="str">
        <f>A48</f>
        <v>比较价格（元/平方米）</v>
      </c>
      <c r="Q48" s="3506"/>
      <c r="R48" s="3613">
        <f>IF(F1="售价",ROUND(PRODUCT(R47,AA7:AA46),0),ROUND(PRODUCT(R47,AA7:AA46),1))</f>
        <v>6531</v>
      </c>
      <c r="S48" s="3613"/>
      <c r="T48" s="3613">
        <f>IF(F1="售价",ROUND(PRODUCT(T47,AB7:AB46),0),ROUND(PRODUCT(T47,AB7:AB46),1))</f>
        <v>6635</v>
      </c>
      <c r="U48" s="3613"/>
      <c r="V48" s="3613">
        <f>IF(F1="售价",ROUND(PRODUCT(V47,AC7:AC46),0),ROUND(PRODUCT(V47,AC7:AC46),1))</f>
        <v>6469</v>
      </c>
      <c r="W48" s="3613"/>
      <c r="X48" s="1494"/>
      <c r="Y48" s="1494"/>
      <c r="Z48" s="1494"/>
      <c r="AA48" s="1494"/>
      <c r="AB48" s="1494"/>
      <c r="AC48" s="1494"/>
    </row>
    <row r="49" spans="1:29" ht="15.75" thickBot="1">
      <c r="A49" s="612" t="s">
        <v>2902</v>
      </c>
      <c r="B49" s="613"/>
      <c r="C49" s="2476">
        <f>R49</f>
        <v>6545</v>
      </c>
      <c r="D49" s="2476"/>
      <c r="E49" s="2476"/>
      <c r="F49" s="2476"/>
      <c r="G49" s="2476"/>
      <c r="H49" s="2476"/>
      <c r="I49" s="2476"/>
      <c r="J49" s="2476"/>
      <c r="K49" s="1535"/>
      <c r="L49" s="2024"/>
      <c r="M49" s="2025"/>
      <c r="N49" s="2025"/>
      <c r="O49" s="2025"/>
      <c r="P49" s="3528" t="str">
        <f>A49</f>
        <v>估价对象XX用房的比较价格（楼面单价，元/平方米）</v>
      </c>
      <c r="Q49" s="3529"/>
      <c r="R49" s="3614">
        <f>IF(F1="售价",ROUND(IF(D48="简单平均",AVERAGE(R48:V48),R48*F48+T48*H48+V48*J48),0),ROUND(IF(D48="简单平均",AVERAGE(R48:V48),R48*F48+T48*H48+V48*J48),1))</f>
        <v>6545</v>
      </c>
      <c r="S49" s="3614"/>
      <c r="T49" s="3614"/>
      <c r="U49" s="3614"/>
      <c r="V49" s="3614"/>
      <c r="W49" s="3614"/>
      <c r="X49" s="1494"/>
      <c r="Y49" s="1494"/>
      <c r="Z49" s="1494"/>
      <c r="AA49" s="1494"/>
      <c r="AB49" s="1494"/>
      <c r="AC49" s="1494"/>
    </row>
    <row r="50" spans="1:29">
      <c r="A50" s="3208"/>
      <c r="B50" s="3208"/>
      <c r="C50" s="3208"/>
      <c r="D50" s="3208"/>
      <c r="E50" s="3208"/>
      <c r="F50" s="3208"/>
      <c r="G50" s="3210"/>
      <c r="H50" s="3208"/>
      <c r="I50" s="3208"/>
      <c r="J50" s="3208"/>
      <c r="K50" s="3211"/>
      <c r="L50" s="2029"/>
      <c r="M50" s="2025"/>
      <c r="N50" s="2025"/>
      <c r="O50" s="2025"/>
      <c r="P50" s="2025"/>
      <c r="Q50" s="2025"/>
      <c r="R50" s="2025"/>
      <c r="S50" s="2025"/>
      <c r="T50" s="2025"/>
      <c r="U50" s="2025"/>
      <c r="V50" s="2025"/>
      <c r="W50" s="2025"/>
      <c r="X50" s="2025"/>
      <c r="Y50" s="2025"/>
      <c r="Z50" s="2025"/>
      <c r="AA50" s="2025"/>
      <c r="AB50" s="2025"/>
      <c r="AC50" s="2025"/>
    </row>
    <row r="51" spans="1:29">
      <c r="A51" s="3208"/>
      <c r="B51" s="3208"/>
      <c r="C51" s="3208"/>
      <c r="D51" s="3208"/>
      <c r="E51" s="3208"/>
      <c r="F51" s="3208"/>
      <c r="G51" s="3208"/>
      <c r="H51" s="3208"/>
      <c r="I51" s="3208"/>
      <c r="J51" s="3208"/>
      <c r="K51" s="3211"/>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8"/>
      <c r="B52" s="3208"/>
      <c r="C52" s="615" t="s">
        <v>550</v>
      </c>
      <c r="D52" s="616"/>
      <c r="E52" s="617">
        <f>IF(E47&lt;E48,E48/E47-1,E47/E48-1)</f>
        <v>2.0468750000000036E-2</v>
      </c>
      <c r="F52" s="618" t="str">
        <f>IF(OR(E52&gt;=0.3,E52&lt;=-0.3),"超过30%","")</f>
        <v/>
      </c>
      <c r="G52" s="617">
        <f>IF(G47&lt;G48,G48/G47-1,G47/G48-1)</f>
        <v>3.9939713639788987E-2</v>
      </c>
      <c r="H52" s="618" t="str">
        <f>IF(OR(G52&gt;=0.3,G52&lt;=-0.3),"超过30%","")</f>
        <v/>
      </c>
      <c r="I52" s="617">
        <f>IF(I47&lt;I48,I48/I47-1,I47/I48-1)</f>
        <v>8.2083784201576693E-2</v>
      </c>
      <c r="J52" s="618" t="str">
        <f>IF(OR(I52&gt;=0.3,I52&lt;=-0.3),"超过30%","")</f>
        <v/>
      </c>
      <c r="K52" s="3211"/>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8"/>
      <c r="B53" s="3208"/>
      <c r="C53" s="615" t="s">
        <v>551</v>
      </c>
      <c r="D53" s="619"/>
      <c r="E53" s="617">
        <f>IF(E48&lt;G48,G48/E48-1,E48/G48-1)</f>
        <v>1.5924054509263597E-2</v>
      </c>
      <c r="F53" s="618" t="str">
        <f>IF(OR(E53&gt;=0.2,E53&lt;=-0.2),"超过20%","")</f>
        <v/>
      </c>
      <c r="G53" s="617">
        <f>IF(G48&lt;I48,I48/G48-1,G48/I48-1)</f>
        <v>2.5660844025351626E-2</v>
      </c>
      <c r="H53" s="618" t="str">
        <f>IF(OR(G53&gt;=0.2,G53&lt;=-0.2),"超过20%","")</f>
        <v/>
      </c>
      <c r="I53" s="617">
        <f>IF(I48&lt;E48,E48/I48-1,I48/E48-1)</f>
        <v>9.5841706600710008E-3</v>
      </c>
      <c r="J53" s="618" t="str">
        <f>IF(OR(I53&gt;=0.2,I53&lt;=-0.2),"超过20%","")</f>
        <v/>
      </c>
      <c r="K53" s="3211"/>
      <c r="L53" s="2029"/>
      <c r="M53" s="2025"/>
      <c r="N53" s="2025"/>
      <c r="O53" s="2025"/>
      <c r="P53" s="2025"/>
      <c r="Q53" s="2025"/>
      <c r="R53" s="2025"/>
      <c r="S53" s="2025"/>
      <c r="T53" s="2025"/>
      <c r="U53" s="2025"/>
      <c r="V53" s="2025"/>
      <c r="W53" s="2025"/>
      <c r="X53" s="2025"/>
      <c r="Y53" s="2025"/>
      <c r="Z53" s="2025"/>
      <c r="AA53" s="2025"/>
      <c r="AB53" s="2025"/>
      <c r="AC53" s="2025"/>
    </row>
    <row r="54" spans="1:29" s="1297" customFormat="1" ht="13.5" customHeight="1">
      <c r="A54" s="3209"/>
      <c r="B54" s="3209"/>
      <c r="C54" s="615" t="s">
        <v>552</v>
      </c>
      <c r="D54" s="619"/>
      <c r="E54" s="617">
        <f>IF(E47&lt;G47,G47/E47-1,E47/G47-1)</f>
        <v>7.8125E-2</v>
      </c>
      <c r="F54" s="618" t="str">
        <f>IF(OR(E54&gt;=0.3,E54&lt;=-0.3),"超过30%","")</f>
        <v/>
      </c>
      <c r="G54" s="617">
        <f>IF(G47&lt;I47,I47/G47-1,G47/I47-1)</f>
        <v>1.449275362318847E-2</v>
      </c>
      <c r="H54" s="618" t="str">
        <f>IF(OR(G54&gt;=0.3,G54&lt;=-0.3),"超过30%","")</f>
        <v/>
      </c>
      <c r="I54" s="617">
        <f>IF(I47&lt;E47,E47/I47-1,I47/E47-1)</f>
        <v>9.375E-2</v>
      </c>
      <c r="J54" s="618" t="str">
        <f>IF(OR(I54&gt;=0.3,I54&lt;=-0.3),"超过30%","")</f>
        <v/>
      </c>
      <c r="K54" s="3212"/>
      <c r="L54" s="2032"/>
      <c r="M54" s="2026"/>
      <c r="N54" s="2026"/>
      <c r="O54" s="2026"/>
      <c r="P54" s="2026"/>
      <c r="Q54" s="2026"/>
      <c r="R54" s="2026"/>
      <c r="S54" s="2026"/>
      <c r="T54" s="2026"/>
      <c r="U54" s="2026"/>
      <c r="V54" s="2026"/>
      <c r="W54" s="2026"/>
      <c r="X54" s="2026"/>
      <c r="Y54" s="2026"/>
      <c r="Z54" s="2026"/>
      <c r="AA54" s="2026"/>
      <c r="AB54" s="2026"/>
      <c r="AC54" s="2026"/>
    </row>
    <row r="55" spans="1:29" s="1297"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567</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9" customFormat="1" ht="15">
      <c r="A58" s="636" t="s">
        <v>522</v>
      </c>
      <c r="B58" s="637"/>
      <c r="C58" s="2519" t="str">
        <f>YEAR(C7)&amp;"-"&amp;MONTH(C7)</f>
        <v>2021-2</v>
      </c>
      <c r="D58" s="2519">
        <f>EDATE(C58,-1)</f>
        <v>44197</v>
      </c>
      <c r="E58" s="2519">
        <f t="shared" ref="E58:O58" si="16">EDATE(D58,-1)</f>
        <v>44166</v>
      </c>
      <c r="F58" s="2519">
        <f t="shared" si="16"/>
        <v>44136</v>
      </c>
      <c r="G58" s="2519">
        <f t="shared" si="16"/>
        <v>44105</v>
      </c>
      <c r="H58" s="2519">
        <f t="shared" si="16"/>
        <v>44075</v>
      </c>
      <c r="I58" s="2519">
        <f t="shared" si="16"/>
        <v>44044</v>
      </c>
      <c r="J58" s="2519">
        <f t="shared" si="16"/>
        <v>44013</v>
      </c>
      <c r="K58" s="2519">
        <f t="shared" si="16"/>
        <v>43983</v>
      </c>
      <c r="L58" s="2519">
        <f t="shared" si="16"/>
        <v>43952</v>
      </c>
      <c r="M58" s="2519">
        <f t="shared" si="16"/>
        <v>43922</v>
      </c>
      <c r="N58" s="2519">
        <f t="shared" si="16"/>
        <v>43891</v>
      </c>
      <c r="O58" s="2519">
        <f t="shared" si="16"/>
        <v>43862</v>
      </c>
      <c r="P58" s="2039"/>
      <c r="Q58" s="2040"/>
      <c r="R58" s="2040"/>
      <c r="S58" s="2040"/>
      <c r="T58" s="2040"/>
      <c r="U58" s="2040"/>
      <c r="V58" s="2040"/>
      <c r="W58" s="2040"/>
      <c r="X58" s="2040"/>
      <c r="Y58" s="2040"/>
      <c r="Z58" s="2040"/>
      <c r="AA58" s="2040"/>
      <c r="AB58" s="2040"/>
      <c r="AC58" s="2040"/>
    </row>
    <row r="59" spans="1:29" s="1202" customFormat="1" ht="15">
      <c r="A59" s="638"/>
      <c r="B59" s="639"/>
      <c r="C59" s="640">
        <v>100</v>
      </c>
      <c r="D59" s="641">
        <v>100</v>
      </c>
      <c r="E59" s="641">
        <v>100</v>
      </c>
      <c r="F59" s="641">
        <v>99.5</v>
      </c>
      <c r="G59" s="641">
        <v>99.5</v>
      </c>
      <c r="H59" s="641">
        <v>99.5</v>
      </c>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2" customFormat="1" ht="15.75" thickBot="1">
      <c r="A60" s="644" t="s">
        <v>568</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2" customFormat="1" ht="15">
      <c r="A61" s="650" t="s">
        <v>524</v>
      </c>
      <c r="B61" s="639"/>
      <c r="C61" s="651" t="s">
        <v>569</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2"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570</v>
      </c>
      <c r="B63" s="656" t="s">
        <v>527</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530</v>
      </c>
      <c r="C65" s="665" t="s">
        <v>730</v>
      </c>
      <c r="D65" s="665" t="s">
        <v>731</v>
      </c>
      <c r="E65" s="665" t="s">
        <v>732</v>
      </c>
      <c r="F65" s="665" t="s">
        <v>733</v>
      </c>
      <c r="G65" s="665" t="s">
        <v>734</v>
      </c>
      <c r="H65" s="665" t="s">
        <v>735</v>
      </c>
      <c r="I65" s="665" t="s">
        <v>736</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531</v>
      </c>
      <c r="C67" s="673" t="str">
        <f>C68&amp;"（含）"&amp;"-"&amp;D68</f>
        <v>0（含）-1</v>
      </c>
      <c r="D67" s="673" t="str">
        <f t="shared" ref="D67:L67" si="18">D68&amp;"（含）"&amp;"-"&amp;E68</f>
        <v>1（含）-2</v>
      </c>
      <c r="E67" s="673" t="str">
        <f t="shared" si="18"/>
        <v>2（含）-3</v>
      </c>
      <c r="F67" s="673" t="str">
        <f t="shared" si="18"/>
        <v>3（含）-4</v>
      </c>
      <c r="G67" s="673" t="str">
        <f t="shared" si="18"/>
        <v>4（含）-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0</v>
      </c>
      <c r="D68" s="534">
        <v>1</v>
      </c>
      <c r="E68" s="534">
        <v>2</v>
      </c>
      <c r="F68" s="534">
        <v>3</v>
      </c>
      <c r="G68" s="534">
        <v>4</v>
      </c>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98</v>
      </c>
      <c r="E69" s="670">
        <f t="shared" si="19"/>
        <v>96</v>
      </c>
      <c r="F69" s="670">
        <f t="shared" si="19"/>
        <v>94</v>
      </c>
      <c r="G69" s="670">
        <f t="shared" si="19"/>
        <v>92</v>
      </c>
      <c r="H69" s="670">
        <f t="shared" si="19"/>
        <v>90</v>
      </c>
      <c r="I69" s="670">
        <f t="shared" si="19"/>
        <v>88</v>
      </c>
      <c r="J69" s="670">
        <f t="shared" si="19"/>
        <v>86</v>
      </c>
      <c r="K69" s="670">
        <f t="shared" si="19"/>
        <v>84</v>
      </c>
      <c r="L69" s="670">
        <f t="shared" si="19"/>
        <v>82</v>
      </c>
      <c r="M69" s="671">
        <f t="shared" si="19"/>
        <v>80</v>
      </c>
      <c r="N69" s="2045"/>
      <c r="O69" s="2045"/>
      <c r="P69" s="2044"/>
      <c r="Q69" s="2037"/>
      <c r="R69" s="2025"/>
      <c r="S69" s="2025"/>
      <c r="T69" s="2025"/>
      <c r="U69" s="2025"/>
      <c r="V69" s="2025"/>
      <c r="W69" s="2025"/>
      <c r="X69" s="2025"/>
      <c r="Y69" s="2025"/>
      <c r="Z69" s="2025"/>
      <c r="AA69" s="2025"/>
      <c r="AB69" s="2025"/>
      <c r="AC69" s="2025"/>
    </row>
    <row r="70" spans="1:29" s="1292"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2"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2"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2"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2"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2"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532</v>
      </c>
      <c r="B76" s="656" t="s">
        <v>571</v>
      </c>
      <c r="C76" s="694" t="s">
        <v>572</v>
      </c>
      <c r="D76" s="694" t="s">
        <v>573</v>
      </c>
      <c r="E76" s="694" t="s">
        <v>574</v>
      </c>
      <c r="F76" s="694" t="s">
        <v>575</v>
      </c>
      <c r="G76" s="694" t="s">
        <v>576</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95</v>
      </c>
      <c r="E77" s="670">
        <f>D77-$K15</f>
        <v>90</v>
      </c>
      <c r="F77" s="670">
        <f>E77-$K15</f>
        <v>85</v>
      </c>
      <c r="G77" s="670">
        <f>F77-$K15</f>
        <v>80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579</v>
      </c>
      <c r="C78" s="699" t="s">
        <v>572</v>
      </c>
      <c r="D78" s="699" t="s">
        <v>573</v>
      </c>
      <c r="E78" s="699" t="s">
        <v>574</v>
      </c>
      <c r="F78" s="699" t="s">
        <v>575</v>
      </c>
      <c r="G78" s="699" t="s">
        <v>576</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98</v>
      </c>
      <c r="E79" s="670">
        <f>D79-$K17</f>
        <v>96</v>
      </c>
      <c r="F79" s="670">
        <f>E79-$K17</f>
        <v>94</v>
      </c>
      <c r="G79" s="670">
        <f>F79-$K17</f>
        <v>92</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572</v>
      </c>
      <c r="D80" s="699" t="s">
        <v>573</v>
      </c>
      <c r="E80" s="699" t="s">
        <v>574</v>
      </c>
      <c r="F80" s="699" t="s">
        <v>575</v>
      </c>
      <c r="G80" s="699" t="s">
        <v>576</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98</v>
      </c>
      <c r="E81" s="670">
        <f>D81-$K19</f>
        <v>96</v>
      </c>
      <c r="F81" s="670">
        <f>E81-$K19</f>
        <v>94</v>
      </c>
      <c r="G81" s="670">
        <f>F81-$K19</f>
        <v>92</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99</v>
      </c>
      <c r="E83" s="670">
        <f>D83-$K21</f>
        <v>98</v>
      </c>
      <c r="F83" s="670">
        <f>E83-$K21</f>
        <v>97</v>
      </c>
      <c r="G83" s="670">
        <f>F83-$K21</f>
        <v>96</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737</v>
      </c>
      <c r="C84" s="699" t="s">
        <v>572</v>
      </c>
      <c r="D84" s="699" t="s">
        <v>573</v>
      </c>
      <c r="E84" s="699" t="s">
        <v>574</v>
      </c>
      <c r="F84" s="699" t="s">
        <v>575</v>
      </c>
      <c r="G84" s="699" t="s">
        <v>576</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98</v>
      </c>
      <c r="E85" s="670">
        <f>D85-$K23</f>
        <v>96</v>
      </c>
      <c r="F85" s="670">
        <f>E85-$K23</f>
        <v>94</v>
      </c>
      <c r="G85" s="670">
        <f>F85-$K23</f>
        <v>92</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2" customFormat="1" ht="15.75" thickTop="1">
      <c r="A86" s="700"/>
      <c r="B86" s="1808" t="s">
        <v>2245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2" customFormat="1" ht="15.75" thickTop="1">
      <c r="A88" s="700"/>
      <c r="B88" s="664" t="s">
        <v>739</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2"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2"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544</v>
      </c>
      <c r="B100" s="656" t="s">
        <v>740</v>
      </c>
      <c r="C100" s="3300" t="s">
        <v>3542</v>
      </c>
      <c r="D100" s="3300" t="s">
        <v>3543</v>
      </c>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92</v>
      </c>
      <c r="E101" s="670">
        <f t="shared" si="22"/>
        <v>84</v>
      </c>
      <c r="F101" s="670">
        <f t="shared" si="22"/>
        <v>76</v>
      </c>
      <c r="G101" s="670">
        <f t="shared" si="22"/>
        <v>68</v>
      </c>
      <c r="H101" s="670">
        <f t="shared" si="22"/>
        <v>60</v>
      </c>
      <c r="I101" s="670">
        <f t="shared" si="22"/>
        <v>52</v>
      </c>
      <c r="J101" s="670">
        <f t="shared" si="22"/>
        <v>44</v>
      </c>
      <c r="K101" s="670">
        <f t="shared" si="22"/>
        <v>36</v>
      </c>
      <c r="L101" s="670">
        <f t="shared" si="22"/>
        <v>28</v>
      </c>
      <c r="M101" s="670">
        <f t="shared" si="22"/>
        <v>20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0"/>
      <c r="B102" s="664" t="s">
        <v>741</v>
      </c>
      <c r="C102" s="699" t="str">
        <f>C103&amp;"(含)"&amp;"-"&amp;D103</f>
        <v>0(含)-100000</v>
      </c>
      <c r="D102" s="699" t="str">
        <f t="shared" ref="D102:L102" si="23">D103&amp;"(含)"&amp;"-"&amp;E103</f>
        <v>100000(含)-200000</v>
      </c>
      <c r="E102" s="699" t="str">
        <f t="shared" si="23"/>
        <v>200000(含)-300000</v>
      </c>
      <c r="F102" s="699" t="str">
        <f t="shared" si="23"/>
        <v>300000(含)-400000</v>
      </c>
      <c r="G102" s="699" t="str">
        <f t="shared" si="23"/>
        <v>400000(含)-500000</v>
      </c>
      <c r="H102" s="699" t="str">
        <f t="shared" si="23"/>
        <v>500000(含)-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2" customFormat="1">
      <c r="A103" s="719"/>
      <c r="B103" s="720"/>
      <c r="C103" s="721">
        <v>0</v>
      </c>
      <c r="D103" s="721">
        <f>C103+100000</f>
        <v>100000</v>
      </c>
      <c r="E103" s="721">
        <f t="shared" ref="E103:H103" si="24">D103+100000</f>
        <v>200000</v>
      </c>
      <c r="F103" s="721">
        <f t="shared" si="24"/>
        <v>300000</v>
      </c>
      <c r="G103" s="721">
        <f t="shared" si="24"/>
        <v>400000</v>
      </c>
      <c r="H103" s="721">
        <f t="shared" si="24"/>
        <v>500000</v>
      </c>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Bot="1">
      <c r="A104" s="678"/>
      <c r="B104" s="669"/>
      <c r="C104" s="683">
        <v>100</v>
      </c>
      <c r="D104" s="662">
        <f>C104+2</f>
        <v>102</v>
      </c>
      <c r="E104" s="662">
        <f t="shared" ref="E104:H104" si="25">D104+2</f>
        <v>104</v>
      </c>
      <c r="F104" s="662">
        <f t="shared" si="25"/>
        <v>106</v>
      </c>
      <c r="G104" s="662">
        <f t="shared" si="25"/>
        <v>108</v>
      </c>
      <c r="H104" s="662">
        <f t="shared" si="25"/>
        <v>110</v>
      </c>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742</v>
      </c>
      <c r="C105" s="3309" t="s">
        <v>3545</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6">C106-$K34</f>
        <v>99</v>
      </c>
      <c r="E106" s="670">
        <f t="shared" si="26"/>
        <v>98</v>
      </c>
      <c r="F106" s="670">
        <f t="shared" si="26"/>
        <v>97</v>
      </c>
      <c r="G106" s="670">
        <f t="shared" si="26"/>
        <v>96</v>
      </c>
      <c r="H106" s="670">
        <f t="shared" si="26"/>
        <v>95</v>
      </c>
      <c r="I106" s="670">
        <f t="shared" si="26"/>
        <v>94</v>
      </c>
      <c r="J106" s="670">
        <f t="shared" si="26"/>
        <v>93</v>
      </c>
      <c r="K106" s="670">
        <f t="shared" si="26"/>
        <v>92</v>
      </c>
      <c r="L106" s="670">
        <f t="shared" si="26"/>
        <v>91</v>
      </c>
      <c r="M106" s="670">
        <f t="shared" si="26"/>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743</v>
      </c>
      <c r="C107" s="3302" t="s">
        <v>3546</v>
      </c>
      <c r="D107" s="3302" t="s">
        <v>3547</v>
      </c>
      <c r="E107" s="3302" t="s">
        <v>3548</v>
      </c>
      <c r="F107" s="3302" t="s">
        <v>3549</v>
      </c>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7">C108-$K35</f>
        <v>99</v>
      </c>
      <c r="E108" s="670">
        <f t="shared" si="27"/>
        <v>98</v>
      </c>
      <c r="F108" s="670">
        <f t="shared" si="27"/>
        <v>97</v>
      </c>
      <c r="G108" s="670">
        <f t="shared" si="27"/>
        <v>96</v>
      </c>
      <c r="H108" s="670">
        <f t="shared" si="27"/>
        <v>95</v>
      </c>
      <c r="I108" s="670">
        <f t="shared" si="27"/>
        <v>94</v>
      </c>
      <c r="J108" s="670">
        <f t="shared" si="27"/>
        <v>93</v>
      </c>
      <c r="K108" s="670">
        <f t="shared" si="27"/>
        <v>92</v>
      </c>
      <c r="L108" s="670">
        <f t="shared" si="27"/>
        <v>91</v>
      </c>
      <c r="M108" s="670">
        <f t="shared" si="27"/>
        <v>90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744</v>
      </c>
      <c r="C109" s="3309" t="s">
        <v>3550</v>
      </c>
      <c r="D109" s="3309" t="s">
        <v>3551</v>
      </c>
      <c r="E109" s="3309" t="s">
        <v>3552</v>
      </c>
      <c r="F109" s="3302" t="s">
        <v>3553</v>
      </c>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8">C110-$K36</f>
        <v>99</v>
      </c>
      <c r="E110" s="670">
        <f t="shared" si="28"/>
        <v>98</v>
      </c>
      <c r="F110" s="670">
        <f t="shared" si="28"/>
        <v>97</v>
      </c>
      <c r="G110" s="670">
        <f t="shared" si="28"/>
        <v>96</v>
      </c>
      <c r="H110" s="670">
        <f t="shared" si="28"/>
        <v>95</v>
      </c>
      <c r="I110" s="670">
        <f t="shared" si="28"/>
        <v>94</v>
      </c>
      <c r="J110" s="670">
        <f t="shared" si="28"/>
        <v>93</v>
      </c>
      <c r="K110" s="670">
        <f t="shared" si="28"/>
        <v>92</v>
      </c>
      <c r="L110" s="670">
        <f t="shared" si="28"/>
        <v>91</v>
      </c>
      <c r="M110" s="670">
        <f t="shared" si="28"/>
        <v>90</v>
      </c>
      <c r="N110" s="2045"/>
      <c r="O110" s="2045"/>
      <c r="P110" s="2044"/>
      <c r="Q110" s="2037"/>
      <c r="R110" s="2025"/>
      <c r="S110" s="2025"/>
      <c r="T110" s="2025"/>
      <c r="U110" s="2025"/>
      <c r="V110" s="2025"/>
      <c r="W110" s="2025"/>
      <c r="X110" s="2025"/>
      <c r="Y110" s="2025"/>
      <c r="Z110" s="2025"/>
      <c r="AA110" s="2025"/>
      <c r="AB110" s="2025"/>
      <c r="AC110" s="2025"/>
    </row>
    <row r="111" spans="1:29" s="1292" customFormat="1" ht="15" thickTop="1">
      <c r="A111" s="719"/>
      <c r="B111" s="664" t="s">
        <v>745</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2"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746</v>
      </c>
      <c r="C114" s="3309" t="s">
        <v>3554</v>
      </c>
      <c r="D114" s="3309" t="s">
        <v>3555</v>
      </c>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9">C115-$K38</f>
        <v>99</v>
      </c>
      <c r="E115" s="670">
        <f t="shared" si="29"/>
        <v>98</v>
      </c>
      <c r="F115" s="670">
        <f t="shared" si="29"/>
        <v>97</v>
      </c>
      <c r="G115" s="670">
        <f t="shared" si="29"/>
        <v>96</v>
      </c>
      <c r="H115" s="670">
        <f t="shared" si="29"/>
        <v>95</v>
      </c>
      <c r="I115" s="670">
        <f t="shared" si="29"/>
        <v>94</v>
      </c>
      <c r="J115" s="670">
        <f t="shared" si="29"/>
        <v>93</v>
      </c>
      <c r="K115" s="670">
        <f t="shared" si="29"/>
        <v>92</v>
      </c>
      <c r="L115" s="670">
        <f t="shared" si="29"/>
        <v>91</v>
      </c>
      <c r="M115" s="670">
        <f t="shared" si="29"/>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2537</v>
      </c>
      <c r="C116" s="679" t="s">
        <v>3526</v>
      </c>
      <c r="D116" s="679" t="s">
        <v>3527</v>
      </c>
      <c r="E116" s="679" t="s">
        <v>3528</v>
      </c>
      <c r="F116" s="679" t="s">
        <v>3529</v>
      </c>
      <c r="G116" s="679" t="s">
        <v>3530</v>
      </c>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747</v>
      </c>
      <c r="C118" s="3302"/>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30">C119-$K40</f>
        <v>100</v>
      </c>
      <c r="E119" s="670">
        <f t="shared" si="30"/>
        <v>100</v>
      </c>
      <c r="F119" s="670">
        <f t="shared" si="30"/>
        <v>100</v>
      </c>
      <c r="G119" s="670">
        <f t="shared" si="30"/>
        <v>100</v>
      </c>
      <c r="H119" s="670">
        <f t="shared" si="30"/>
        <v>100</v>
      </c>
      <c r="I119" s="670">
        <f t="shared" si="30"/>
        <v>100</v>
      </c>
      <c r="J119" s="670">
        <f t="shared" si="30"/>
        <v>100</v>
      </c>
      <c r="K119" s="670">
        <f t="shared" si="30"/>
        <v>100</v>
      </c>
      <c r="L119" s="670">
        <f t="shared" si="30"/>
        <v>100</v>
      </c>
      <c r="M119" s="670">
        <f t="shared" si="30"/>
        <v>100</v>
      </c>
      <c r="N119" s="2045"/>
      <c r="O119" s="2045"/>
      <c r="P119" s="2044"/>
      <c r="Q119" s="2037"/>
      <c r="R119" s="2025"/>
      <c r="S119" s="2025"/>
      <c r="T119" s="2025"/>
      <c r="U119" s="2025"/>
      <c r="V119" s="2025"/>
      <c r="W119" s="2025"/>
      <c r="X119" s="2025"/>
      <c r="Y119" s="2025"/>
      <c r="Z119" s="2025"/>
      <c r="AA119" s="2025"/>
      <c r="AB119" s="2025"/>
      <c r="AC119" s="2025"/>
    </row>
    <row r="120" spans="1:29" s="1292" customFormat="1" ht="28.5" thickTop="1">
      <c r="A120" s="719"/>
      <c r="B120" s="664" t="s">
        <v>726</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2"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748</v>
      </c>
      <c r="C122" s="679" t="s">
        <v>3556</v>
      </c>
      <c r="D122" s="679" t="s">
        <v>3557</v>
      </c>
      <c r="E122" s="679" t="s">
        <v>3558</v>
      </c>
      <c r="F122" s="709" t="s">
        <v>3559</v>
      </c>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31">C123-$K42</f>
        <v>99</v>
      </c>
      <c r="E123" s="670">
        <f t="shared" si="31"/>
        <v>98</v>
      </c>
      <c r="F123" s="670">
        <f t="shared" si="31"/>
        <v>97</v>
      </c>
      <c r="G123" s="670">
        <f t="shared" si="31"/>
        <v>96</v>
      </c>
      <c r="H123" s="670">
        <f t="shared" si="31"/>
        <v>95</v>
      </c>
      <c r="I123" s="670">
        <f t="shared" si="31"/>
        <v>94</v>
      </c>
      <c r="J123" s="670">
        <f t="shared" si="31"/>
        <v>93</v>
      </c>
      <c r="K123" s="670">
        <f t="shared" si="31"/>
        <v>92</v>
      </c>
      <c r="L123" s="670">
        <f t="shared" si="31"/>
        <v>91</v>
      </c>
      <c r="M123" s="670">
        <f t="shared" si="31"/>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749</v>
      </c>
      <c r="C124" s="699" t="s">
        <v>572</v>
      </c>
      <c r="D124" s="699" t="s">
        <v>573</v>
      </c>
      <c r="E124" s="699" t="s">
        <v>574</v>
      </c>
      <c r="F124" s="699" t="s">
        <v>575</v>
      </c>
      <c r="G124" s="699" t="s">
        <v>576</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2"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2"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2246</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2247</v>
      </c>
      <c r="C137" s="1831"/>
      <c r="D137" s="1831"/>
      <c r="E137" s="1831"/>
      <c r="F137" s="1831"/>
      <c r="G137" s="1832"/>
      <c r="H137" s="1833"/>
      <c r="I137" s="1834" t="s">
        <v>2248</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2249</v>
      </c>
      <c r="D138" s="1837" t="s">
        <v>2250</v>
      </c>
      <c r="E138" s="1838" t="s">
        <v>2251</v>
      </c>
      <c r="F138" s="1839" t="s">
        <v>2252</v>
      </c>
      <c r="G138" s="1837" t="s">
        <v>2253</v>
      </c>
      <c r="H138" s="1840" t="s">
        <v>2254</v>
      </c>
      <c r="I138" s="1841"/>
      <c r="J138" s="1837" t="s">
        <v>2255</v>
      </c>
      <c r="K138" s="1840" t="s">
        <v>2256</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2257</v>
      </c>
      <c r="E139" s="1811">
        <v>100</v>
      </c>
      <c r="F139" s="1812">
        <v>102.5</v>
      </c>
      <c r="G139" s="1842" t="s">
        <v>2258</v>
      </c>
      <c r="H139" s="1813">
        <v>105</v>
      </c>
      <c r="I139" s="1843" t="s">
        <v>2259</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2260</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2261</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2262</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2263</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2264</v>
      </c>
      <c r="E144" s="1817">
        <v>102</v>
      </c>
      <c r="F144" s="1823">
        <v>100</v>
      </c>
      <c r="G144" s="1846" t="s">
        <v>2264</v>
      </c>
      <c r="H144" s="1819">
        <v>105</v>
      </c>
      <c r="I144" s="1845" t="s">
        <v>2263</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2265</v>
      </c>
      <c r="C145" s="1824">
        <f>ROUND(MAX(C139:C144)/MIN(C139:C144)-1,3)</f>
        <v>7.2999999999999995E-2</v>
      </c>
      <c r="D145" s="1848"/>
      <c r="E145" s="1848"/>
      <c r="F145" s="1849" t="s">
        <v>2266</v>
      </c>
      <c r="G145" s="1850"/>
      <c r="H145" s="1851"/>
      <c r="I145" s="1852" t="s">
        <v>2263</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2274</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2275</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496" t="s">
        <v>750</v>
      </c>
      <c r="C1" s="497" t="s">
        <v>713</v>
      </c>
      <c r="D1" s="2223"/>
      <c r="E1" s="499"/>
      <c r="F1" s="2522"/>
      <c r="G1" s="1529" t="s">
        <v>714</v>
      </c>
      <c r="H1" s="499"/>
      <c r="I1" s="499"/>
      <c r="J1" s="499"/>
      <c r="K1" s="500"/>
      <c r="L1" s="3204"/>
      <c r="M1" s="3205"/>
      <c r="N1" s="3205"/>
      <c r="O1" s="3205"/>
      <c r="P1" s="2012"/>
      <c r="Q1" s="2012"/>
      <c r="R1" s="2012"/>
      <c r="S1" s="2012"/>
      <c r="T1" s="2012"/>
      <c r="U1" s="2012"/>
      <c r="V1" s="2012"/>
      <c r="W1" s="2012"/>
      <c r="X1" s="2012"/>
      <c r="Y1" s="2012"/>
      <c r="Z1" s="2012"/>
      <c r="AA1" s="2012"/>
      <c r="AB1" s="2012"/>
      <c r="AC1" s="3206"/>
    </row>
    <row r="2" spans="1:29" s="1289" customFormat="1" ht="28.5" customHeight="1">
      <c r="A2" s="416" t="s">
        <v>460</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6"/>
    </row>
    <row r="3" spans="1:29" s="1289" customFormat="1" ht="28.5" customHeight="1" thickBot="1">
      <c r="A3" s="502" t="s">
        <v>512</v>
      </c>
      <c r="B3" s="503" t="e">
        <f>C49</f>
        <v>#DIV/0!</v>
      </c>
      <c r="C3" s="840" t="s">
        <v>715</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514</v>
      </c>
      <c r="B4" s="506"/>
      <c r="C4" s="3512" t="s">
        <v>515</v>
      </c>
      <c r="D4" s="3513"/>
      <c r="E4" s="3538" t="s">
        <v>516</v>
      </c>
      <c r="F4" s="3539"/>
      <c r="G4" s="3512" t="s">
        <v>517</v>
      </c>
      <c r="H4" s="3513"/>
      <c r="I4" s="3512" t="s">
        <v>518</v>
      </c>
      <c r="J4" s="3513"/>
      <c r="K4" s="507" t="s">
        <v>519</v>
      </c>
      <c r="L4" s="2013"/>
      <c r="M4" s="2014"/>
      <c r="N4" s="2014"/>
      <c r="O4" s="2014"/>
      <c r="P4" s="3514" t="s">
        <v>520</v>
      </c>
      <c r="Q4" s="3515"/>
      <c r="R4" s="3500" t="s">
        <v>516</v>
      </c>
      <c r="S4" s="3501"/>
      <c r="T4" s="3500" t="s">
        <v>517</v>
      </c>
      <c r="U4" s="3501"/>
      <c r="V4" s="3520" t="s">
        <v>518</v>
      </c>
      <c r="W4" s="3520"/>
      <c r="X4" s="1499"/>
      <c r="Y4" s="3500" t="s">
        <v>520</v>
      </c>
      <c r="Z4" s="3501"/>
      <c r="AA4" s="3495" t="s">
        <v>516</v>
      </c>
      <c r="AB4" s="3520" t="s">
        <v>517</v>
      </c>
      <c r="AC4" s="3495" t="s">
        <v>518</v>
      </c>
    </row>
    <row r="5" spans="1:29" ht="15">
      <c r="A5" s="508"/>
      <c r="B5" s="509"/>
      <c r="C5" s="3523" t="s">
        <v>2896</v>
      </c>
      <c r="D5" s="3524"/>
      <c r="E5" s="3540" t="s">
        <v>2897</v>
      </c>
      <c r="F5" s="3541"/>
      <c r="G5" s="3523" t="s">
        <v>2898</v>
      </c>
      <c r="H5" s="3524"/>
      <c r="I5" s="3523" t="s">
        <v>2899</v>
      </c>
      <c r="J5" s="3524"/>
      <c r="K5" s="507"/>
      <c r="L5" s="2013"/>
      <c r="M5" s="2014"/>
      <c r="N5" s="2014"/>
      <c r="O5" s="2014"/>
      <c r="P5" s="3516"/>
      <c r="Q5" s="3517"/>
      <c r="R5" s="3502"/>
      <c r="S5" s="3503"/>
      <c r="T5" s="3502"/>
      <c r="U5" s="3503"/>
      <c r="V5" s="3520"/>
      <c r="W5" s="3520"/>
      <c r="X5" s="1499"/>
      <c r="Y5" s="3502"/>
      <c r="Z5" s="3503"/>
      <c r="AA5" s="3496"/>
      <c r="AB5" s="3520"/>
      <c r="AC5" s="3496"/>
    </row>
    <row r="6" spans="1:29" ht="15.75" thickBot="1">
      <c r="A6" s="510"/>
      <c r="B6" s="511"/>
      <c r="C6" s="3521" t="s">
        <v>2900</v>
      </c>
      <c r="D6" s="3522"/>
      <c r="E6" s="3542" t="s">
        <v>2900</v>
      </c>
      <c r="F6" s="3543"/>
      <c r="G6" s="3521" t="s">
        <v>2900</v>
      </c>
      <c r="H6" s="3522"/>
      <c r="I6" s="3521" t="s">
        <v>2900</v>
      </c>
      <c r="J6" s="3522"/>
      <c r="K6" s="507" t="s">
        <v>521</v>
      </c>
      <c r="L6" s="2013"/>
      <c r="M6" s="2014"/>
      <c r="N6" s="2014"/>
      <c r="O6" s="2014"/>
      <c r="P6" s="3518"/>
      <c r="Q6" s="3519"/>
      <c r="R6" s="3502"/>
      <c r="S6" s="3503"/>
      <c r="T6" s="3504"/>
      <c r="U6" s="3505"/>
      <c r="V6" s="3520"/>
      <c r="W6" s="3520"/>
      <c r="X6" s="1499"/>
      <c r="Y6" s="3504"/>
      <c r="Z6" s="3505"/>
      <c r="AA6" s="3497"/>
      <c r="AB6" s="3520"/>
      <c r="AC6" s="3497"/>
    </row>
    <row r="7" spans="1:29" s="1202" customFormat="1" ht="15.75" thickBot="1">
      <c r="A7" s="2627"/>
      <c r="B7" s="2634" t="s">
        <v>522</v>
      </c>
      <c r="C7" s="512">
        <f>'数据-取费表'!B2</f>
        <v>44254</v>
      </c>
      <c r="D7" s="513">
        <v>100</v>
      </c>
      <c r="E7" s="514"/>
      <c r="F7" s="515">
        <f>SUMIF(58:58,YEAR(E7)&amp;"-"&amp;MONTH(E7),59:59)</f>
        <v>0</v>
      </c>
      <c r="G7" s="514"/>
      <c r="H7" s="513">
        <f>SUMIF(58:58,YEAR(G7)&amp;"-"&amp;MONTH(G7),59:59)</f>
        <v>0</v>
      </c>
      <c r="I7" s="514"/>
      <c r="J7" s="513">
        <f>SUMIF(58:58,YEAR(I7)&amp;"-"&amp;MONTH(I7),59:59)</f>
        <v>0</v>
      </c>
      <c r="K7" s="517"/>
      <c r="L7" s="2015"/>
      <c r="M7" s="2016"/>
      <c r="N7" s="2016"/>
      <c r="O7" s="2016"/>
      <c r="P7" s="3498" t="s">
        <v>523</v>
      </c>
      <c r="Q7" s="3507"/>
      <c r="R7" s="1500" t="s">
        <v>8</v>
      </c>
      <c r="S7" s="1501">
        <f t="shared" ref="S7:S15" si="0">F7</f>
        <v>0</v>
      </c>
      <c r="T7" s="1500" t="s">
        <v>8</v>
      </c>
      <c r="U7" s="1501">
        <f t="shared" ref="U7:U15" si="1">H7</f>
        <v>0</v>
      </c>
      <c r="V7" s="1500" t="s">
        <v>8</v>
      </c>
      <c r="W7" s="1501">
        <f t="shared" ref="W7:W15" si="2">J7</f>
        <v>0</v>
      </c>
      <c r="X7" s="1502"/>
      <c r="Y7" s="3498" t="s">
        <v>523</v>
      </c>
      <c r="Z7" s="3499"/>
      <c r="AA7" s="1503" t="e">
        <f>D7/F7</f>
        <v>#DIV/0!</v>
      </c>
      <c r="AB7" s="1503" t="e">
        <f>D7/H7</f>
        <v>#DIV/0!</v>
      </c>
      <c r="AC7" s="1503" t="e">
        <f>D7/J7</f>
        <v>#DIV/0!</v>
      </c>
    </row>
    <row r="8" spans="1:29" s="1202" customFormat="1" ht="15.75" thickBot="1">
      <c r="A8" s="2628"/>
      <c r="B8" s="2635" t="s">
        <v>524</v>
      </c>
      <c r="C8" s="518" t="s">
        <v>569</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498" t="s">
        <v>526</v>
      </c>
      <c r="Q8" s="3499"/>
      <c r="R8" s="1500" t="s">
        <v>8</v>
      </c>
      <c r="S8" s="1501">
        <f t="shared" si="0"/>
        <v>0</v>
      </c>
      <c r="T8" s="1500" t="s">
        <v>8</v>
      </c>
      <c r="U8" s="1501">
        <f t="shared" si="1"/>
        <v>0</v>
      </c>
      <c r="V8" s="1500" t="s">
        <v>8</v>
      </c>
      <c r="W8" s="1501">
        <f t="shared" si="2"/>
        <v>0</v>
      </c>
      <c r="X8" s="1502"/>
      <c r="Y8" s="3498" t="s">
        <v>526</v>
      </c>
      <c r="Z8" s="3499"/>
      <c r="AA8" s="1503" t="e">
        <f t="shared" ref="AA8:AA46" si="3">D8/F8</f>
        <v>#DIV/0!</v>
      </c>
      <c r="AB8" s="1503" t="e">
        <f t="shared" ref="AB8:AB46" si="4">D8/H8</f>
        <v>#DIV/0!</v>
      </c>
      <c r="AC8" s="1503" t="e">
        <f t="shared" ref="AC8:AC46" si="5">D8/J8</f>
        <v>#DIV/0!</v>
      </c>
    </row>
    <row r="9" spans="1:29" s="1202" customFormat="1" ht="15">
      <c r="A9" s="2629"/>
      <c r="B9" s="2636" t="s">
        <v>2736</v>
      </c>
      <c r="C9" s="845"/>
      <c r="D9" s="251">
        <v>100</v>
      </c>
      <c r="E9" s="848"/>
      <c r="F9" s="251">
        <f>SUMIF(63:63,E9,64:64)-SUMIF(63:63,C9,64:64)+100</f>
        <v>100</v>
      </c>
      <c r="G9" s="846"/>
      <c r="H9" s="251">
        <f>SUMIF(63:63,G9,64:64)-SUMIF(63:63,C9,64:64)+100</f>
        <v>100</v>
      </c>
      <c r="I9" s="846"/>
      <c r="J9" s="251">
        <f>SUMIF(63:63,I9,64:64)-SUMIF(63:63,C9,64:64)+100</f>
        <v>100</v>
      </c>
      <c r="K9" s="517"/>
      <c r="L9" s="2015"/>
      <c r="M9" s="2016"/>
      <c r="N9" s="2016"/>
      <c r="O9" s="2017"/>
      <c r="P9" s="3506" t="s">
        <v>528</v>
      </c>
      <c r="Q9" s="1133" t="str">
        <f t="shared" ref="Q9:Q15" si="6">B9</f>
        <v>用途</v>
      </c>
      <c r="R9" s="1500" t="s">
        <v>8</v>
      </c>
      <c r="S9" s="1501">
        <f t="shared" si="0"/>
        <v>100</v>
      </c>
      <c r="T9" s="1500" t="s">
        <v>8</v>
      </c>
      <c r="U9" s="1501">
        <f t="shared" si="1"/>
        <v>100</v>
      </c>
      <c r="V9" s="1500" t="s">
        <v>8</v>
      </c>
      <c r="W9" s="1501">
        <f t="shared" si="2"/>
        <v>100</v>
      </c>
      <c r="X9" s="1502"/>
      <c r="Y9" s="3457" t="s">
        <v>529</v>
      </c>
      <c r="Z9" s="1132" t="str">
        <f t="shared" ref="Z9:Z15" si="7">Q9</f>
        <v>用途</v>
      </c>
      <c r="AA9" s="1503">
        <f t="shared" si="3"/>
        <v>1</v>
      </c>
      <c r="AB9" s="1503">
        <f t="shared" si="4"/>
        <v>1</v>
      </c>
      <c r="AC9" s="1503">
        <f t="shared" si="5"/>
        <v>1</v>
      </c>
    </row>
    <row r="10" spans="1:29" s="1291" customFormat="1" ht="27">
      <c r="A10" s="2630"/>
      <c r="B10" s="2635" t="s">
        <v>2737</v>
      </c>
      <c r="C10" s="849"/>
      <c r="D10" s="252">
        <v>100</v>
      </c>
      <c r="E10" s="849"/>
      <c r="F10" s="252">
        <f>SUMIF(65:65,E10,66:66)-SUMIF(65:65,C10,66:66)+100</f>
        <v>100</v>
      </c>
      <c r="G10" s="850"/>
      <c r="H10" s="252">
        <f>SUMIF(65:65,G10,66:66)-SUMIF(65:65,C10,66:66)+100</f>
        <v>100</v>
      </c>
      <c r="I10" s="849"/>
      <c r="J10" s="252">
        <f>SUMIF(65:65,I10,66:66)-SUMIF(65:65,C10,66:66)+100</f>
        <v>100</v>
      </c>
      <c r="K10" s="577"/>
      <c r="L10" s="2018"/>
      <c r="M10" s="2057"/>
      <c r="N10" s="2057"/>
      <c r="O10" s="2019"/>
      <c r="P10" s="3506"/>
      <c r="Q10" s="1133" t="str">
        <f t="shared" si="6"/>
        <v>土地使用年限（年）</v>
      </c>
      <c r="R10" s="1500" t="s">
        <v>8</v>
      </c>
      <c r="S10" s="1501">
        <f t="shared" si="0"/>
        <v>100</v>
      </c>
      <c r="T10" s="1500" t="s">
        <v>8</v>
      </c>
      <c r="U10" s="1501">
        <f t="shared" si="1"/>
        <v>100</v>
      </c>
      <c r="V10" s="1500" t="s">
        <v>8</v>
      </c>
      <c r="W10" s="1501">
        <f t="shared" si="2"/>
        <v>100</v>
      </c>
      <c r="X10" s="1502"/>
      <c r="Y10" s="3457"/>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0"/>
      <c r="M11" s="2014"/>
      <c r="N11" s="2014"/>
      <c r="O11" s="2021"/>
      <c r="P11" s="3506"/>
      <c r="Q11" s="1133" t="str">
        <f t="shared" si="6"/>
        <v>容积率</v>
      </c>
      <c r="R11" s="1500" t="s">
        <v>8</v>
      </c>
      <c r="S11" s="1501" t="e">
        <f t="shared" si="0"/>
        <v>#N/A</v>
      </c>
      <c r="T11" s="1500" t="s">
        <v>8</v>
      </c>
      <c r="U11" s="1501" t="e">
        <f t="shared" si="1"/>
        <v>#N/A</v>
      </c>
      <c r="V11" s="1500" t="s">
        <v>8</v>
      </c>
      <c r="W11" s="1501" t="e">
        <f t="shared" si="2"/>
        <v>#N/A</v>
      </c>
      <c r="X11" s="1502"/>
      <c r="Y11" s="3457"/>
      <c r="Z11" s="1132" t="str">
        <f t="shared" si="7"/>
        <v>容积率</v>
      </c>
      <c r="AA11" s="1503" t="e">
        <f t="shared" si="3"/>
        <v>#N/A</v>
      </c>
      <c r="AB11" s="1503" t="e">
        <f t="shared" si="4"/>
        <v>#N/A</v>
      </c>
      <c r="AC11" s="1503" t="e">
        <f t="shared" si="5"/>
        <v>#N/A</v>
      </c>
    </row>
    <row r="12" spans="1:29" s="1202" customFormat="1" ht="15">
      <c r="A12" s="2632"/>
      <c r="B12" s="2638">
        <v>111</v>
      </c>
      <c r="C12" s="521"/>
      <c r="D12" s="531">
        <v>100</v>
      </c>
      <c r="E12" s="532"/>
      <c r="F12" s="252">
        <f>SUMIF(70:70,E12,71:71)-SUMIF(70:70,C12,71:71)+100</f>
        <v>100</v>
      </c>
      <c r="G12" s="900"/>
      <c r="H12" s="252">
        <f>SUMIF(70:70,G12,71:71)-SUMIF(70:70,C12,71:71)+100</f>
        <v>100</v>
      </c>
      <c r="I12" s="532"/>
      <c r="J12" s="252">
        <f>SUMIF(70:70,I12,71:71)-SUMIF(70:70,C12,71:71)+100</f>
        <v>100</v>
      </c>
      <c r="K12" s="574"/>
      <c r="L12" s="2015"/>
      <c r="M12" s="2016"/>
      <c r="N12" s="2016"/>
      <c r="O12" s="2017"/>
      <c r="P12" s="3506"/>
      <c r="Q12" s="1133">
        <f t="shared" si="6"/>
        <v>111</v>
      </c>
      <c r="R12" s="1500" t="s">
        <v>8</v>
      </c>
      <c r="S12" s="1501">
        <f t="shared" si="0"/>
        <v>100</v>
      </c>
      <c r="T12" s="1500" t="s">
        <v>8</v>
      </c>
      <c r="U12" s="1501">
        <f t="shared" si="1"/>
        <v>100</v>
      </c>
      <c r="V12" s="1500" t="s">
        <v>8</v>
      </c>
      <c r="W12" s="1501">
        <f t="shared" si="2"/>
        <v>100</v>
      </c>
      <c r="X12" s="1502"/>
      <c r="Y12" s="3457"/>
      <c r="Z12" s="1132">
        <f t="shared" si="7"/>
        <v>111</v>
      </c>
      <c r="AA12" s="1503">
        <f>D12/F12</f>
        <v>1</v>
      </c>
      <c r="AB12" s="1503">
        <f>D12/H12</f>
        <v>1</v>
      </c>
      <c r="AC12" s="1503">
        <f>D12/J12</f>
        <v>1</v>
      </c>
    </row>
    <row r="13" spans="1:29" ht="15">
      <c r="A13" s="2632"/>
      <c r="B13" s="2638">
        <v>111</v>
      </c>
      <c r="C13" s="532"/>
      <c r="D13" s="533">
        <v>100</v>
      </c>
      <c r="E13" s="532"/>
      <c r="F13" s="252">
        <f>SUMIF(72:72,E13,73:73)-SUMIF(72:72,C13,73:73)+100</f>
        <v>100</v>
      </c>
      <c r="G13" s="900"/>
      <c r="H13" s="533">
        <f>SUMIF(72:72,G13,73:73)-SUMIF(72:72,C13,73:73)+100</f>
        <v>100</v>
      </c>
      <c r="I13" s="532"/>
      <c r="J13" s="533">
        <f>SUMIF(72:72,I13,73:73)-SUMIF(72:72,C13,73:73)+100</f>
        <v>100</v>
      </c>
      <c r="K13" s="574"/>
      <c r="L13" s="2022"/>
      <c r="M13" s="2014"/>
      <c r="N13" s="2014"/>
      <c r="O13" s="2021"/>
      <c r="P13" s="3506"/>
      <c r="Q13" s="1133">
        <f t="shared" si="6"/>
        <v>111</v>
      </c>
      <c r="R13" s="1500" t="s">
        <v>8</v>
      </c>
      <c r="S13" s="1501">
        <f t="shared" si="0"/>
        <v>100</v>
      </c>
      <c r="T13" s="1500" t="s">
        <v>8</v>
      </c>
      <c r="U13" s="1501">
        <f t="shared" si="1"/>
        <v>100</v>
      </c>
      <c r="V13" s="1500" t="s">
        <v>8</v>
      </c>
      <c r="W13" s="1501">
        <f t="shared" si="2"/>
        <v>100</v>
      </c>
      <c r="X13" s="1502"/>
      <c r="Y13" s="3457"/>
      <c r="Z13" s="1132">
        <f t="shared" si="7"/>
        <v>111</v>
      </c>
      <c r="AA13" s="1503">
        <f t="shared" si="3"/>
        <v>1</v>
      </c>
      <c r="AB13" s="1503">
        <f t="shared" si="4"/>
        <v>1</v>
      </c>
      <c r="AC13" s="1503">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506"/>
      <c r="Q14" s="1133">
        <f t="shared" si="6"/>
        <v>111</v>
      </c>
      <c r="R14" s="1500" t="s">
        <v>8</v>
      </c>
      <c r="S14" s="1501">
        <f t="shared" si="0"/>
        <v>100</v>
      </c>
      <c r="T14" s="1500" t="s">
        <v>8</v>
      </c>
      <c r="U14" s="1501">
        <f t="shared" si="1"/>
        <v>100</v>
      </c>
      <c r="V14" s="1500" t="s">
        <v>8</v>
      </c>
      <c r="W14" s="1501">
        <f t="shared" si="2"/>
        <v>100</v>
      </c>
      <c r="X14" s="1502"/>
      <c r="Y14" s="3457"/>
      <c r="Z14" s="1132">
        <f t="shared" si="7"/>
        <v>111</v>
      </c>
      <c r="AA14" s="1503">
        <f t="shared" si="3"/>
        <v>1</v>
      </c>
      <c r="AB14" s="1503">
        <f t="shared" si="4"/>
        <v>1</v>
      </c>
      <c r="AC14" s="1503">
        <f t="shared" si="5"/>
        <v>1</v>
      </c>
    </row>
    <row r="15" spans="1:29" ht="71.25">
      <c r="A15" s="2625" t="s">
        <v>2734</v>
      </c>
      <c r="B15" s="164" t="s">
        <v>534</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508" t="s">
        <v>533</v>
      </c>
      <c r="Q15" s="1504" t="str">
        <f t="shared" si="6"/>
        <v>商业繁华度</v>
      </c>
      <c r="R15" s="1505" t="s">
        <v>8</v>
      </c>
      <c r="S15" s="1506">
        <f t="shared" si="0"/>
        <v>100</v>
      </c>
      <c r="T15" s="1505" t="s">
        <v>8</v>
      </c>
      <c r="U15" s="1506">
        <f t="shared" si="1"/>
        <v>100</v>
      </c>
      <c r="V15" s="1505" t="s">
        <v>8</v>
      </c>
      <c r="W15" s="1506">
        <f t="shared" si="2"/>
        <v>100</v>
      </c>
      <c r="X15" s="1499"/>
      <c r="Y15" s="3508" t="s">
        <v>533</v>
      </c>
      <c r="Z15" s="1507" t="str">
        <f t="shared" si="7"/>
        <v>商业繁华度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509"/>
      <c r="Q16" s="1504"/>
      <c r="R16" s="1505"/>
      <c r="S16" s="1506"/>
      <c r="T16" s="1505"/>
      <c r="U16" s="1506"/>
      <c r="V16" s="1505"/>
      <c r="W16" s="1506"/>
      <c r="X16" s="1499"/>
      <c r="Y16" s="3509"/>
      <c r="Z16" s="1507"/>
      <c r="AA16" s="1508">
        <v>1</v>
      </c>
      <c r="AB16" s="1508">
        <v>1</v>
      </c>
      <c r="AC16" s="1508">
        <v>1</v>
      </c>
    </row>
    <row r="17" spans="1:29" ht="85.5">
      <c r="A17" s="525"/>
      <c r="B17" s="859" t="s">
        <v>295</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2"/>
      <c r="M17" s="2014"/>
      <c r="N17" s="2014"/>
      <c r="O17" s="2021"/>
      <c r="P17" s="3509"/>
      <c r="Q17" s="1504" t="str">
        <f>B17</f>
        <v>交通便捷度</v>
      </c>
      <c r="R17" s="1505" t="s">
        <v>8</v>
      </c>
      <c r="S17" s="1506">
        <f>F17</f>
        <v>100</v>
      </c>
      <c r="T17" s="1505" t="s">
        <v>8</v>
      </c>
      <c r="U17" s="1506">
        <f>H17</f>
        <v>100</v>
      </c>
      <c r="V17" s="1505" t="s">
        <v>8</v>
      </c>
      <c r="W17" s="1506">
        <f>J17</f>
        <v>100</v>
      </c>
      <c r="X17" s="1499"/>
      <c r="Y17" s="3509"/>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509"/>
      <c r="Q18" s="1504"/>
      <c r="R18" s="1505"/>
      <c r="S18" s="1506"/>
      <c r="T18" s="1505"/>
      <c r="U18" s="1506"/>
      <c r="V18" s="1505"/>
      <c r="W18" s="1506"/>
      <c r="X18" s="1499"/>
      <c r="Y18" s="3509"/>
      <c r="Z18" s="1507"/>
      <c r="AA18" s="1508">
        <v>1</v>
      </c>
      <c r="AB18" s="1508">
        <v>1</v>
      </c>
      <c r="AC18" s="1508">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2"/>
      <c r="M19" s="2014"/>
      <c r="N19" s="2014"/>
      <c r="O19" s="2021"/>
      <c r="P19" s="3509"/>
      <c r="Q19" s="1504" t="str">
        <f>B19</f>
        <v>公共配套设施</v>
      </c>
      <c r="R19" s="1505" t="s">
        <v>8</v>
      </c>
      <c r="S19" s="1506">
        <f>F19</f>
        <v>100</v>
      </c>
      <c r="T19" s="1505" t="s">
        <v>8</v>
      </c>
      <c r="U19" s="1506">
        <f>H19</f>
        <v>100</v>
      </c>
      <c r="V19" s="1505" t="s">
        <v>8</v>
      </c>
      <c r="W19" s="1506">
        <f>J19</f>
        <v>100</v>
      </c>
      <c r="X19" s="1499"/>
      <c r="Y19" s="3509"/>
      <c r="Z19" s="1507" t="str">
        <f>Q19</f>
        <v>公共配套设施</v>
      </c>
      <c r="AA19" s="1508">
        <f t="shared" si="3"/>
        <v>1</v>
      </c>
      <c r="AB19" s="1508">
        <f t="shared" si="4"/>
        <v>1</v>
      </c>
      <c r="AC19" s="1508">
        <f t="shared" si="5"/>
        <v>1</v>
      </c>
    </row>
    <row r="20" spans="1:29" ht="15">
      <c r="A20" s="525"/>
      <c r="B20" s="588"/>
      <c r="C20" s="569"/>
      <c r="D20" s="548"/>
      <c r="E20" s="549"/>
      <c r="F20" s="550"/>
      <c r="G20" s="551"/>
      <c r="H20" s="548"/>
      <c r="I20" s="549"/>
      <c r="J20" s="548"/>
      <c r="K20" s="887"/>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2"/>
      <c r="M21" s="2014"/>
      <c r="N21" s="2014"/>
      <c r="O21" s="2021"/>
      <c r="P21" s="3509"/>
      <c r="Q21" s="2427" t="str">
        <f>B21</f>
        <v>基础设施水平</v>
      </c>
      <c r="R21" s="1505" t="s">
        <v>8</v>
      </c>
      <c r="S21" s="1506">
        <f>F21</f>
        <v>100</v>
      </c>
      <c r="T21" s="1505" t="s">
        <v>8</v>
      </c>
      <c r="U21" s="1506">
        <f>H21</f>
        <v>100</v>
      </c>
      <c r="V21" s="1505" t="s">
        <v>8</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910"/>
      <c r="C22" s="861"/>
      <c r="D22" s="548"/>
      <c r="E22" s="569"/>
      <c r="F22" s="550"/>
      <c r="G22" s="569"/>
      <c r="H22" s="548"/>
      <c r="I22" s="569"/>
      <c r="J22" s="548"/>
      <c r="K22" s="2444"/>
      <c r="L22" s="2022"/>
      <c r="M22" s="2014"/>
      <c r="N22" s="2014"/>
      <c r="O22" s="2021"/>
      <c r="P22" s="3509"/>
      <c r="Q22" s="2427"/>
      <c r="R22" s="1505"/>
      <c r="S22" s="1506"/>
      <c r="T22" s="1505"/>
      <c r="U22" s="1506"/>
      <c r="V22" s="1505"/>
      <c r="W22" s="1506"/>
      <c r="X22" s="2429"/>
      <c r="Y22" s="3509"/>
      <c r="Z22" s="2428"/>
      <c r="AA22" s="1508">
        <v>1</v>
      </c>
      <c r="AB22" s="1508">
        <v>1</v>
      </c>
      <c r="AC22" s="1508">
        <v>1</v>
      </c>
    </row>
    <row r="23" spans="1:29" ht="57">
      <c r="A23" s="525"/>
      <c r="B23" s="859" t="s">
        <v>296</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2"/>
      <c r="M23" s="2014"/>
      <c r="N23" s="2014"/>
      <c r="O23" s="2021"/>
      <c r="P23" s="3509"/>
      <c r="Q23" s="1504" t="str">
        <f>B23</f>
        <v>自然及人文环境</v>
      </c>
      <c r="R23" s="1505" t="s">
        <v>8</v>
      </c>
      <c r="S23" s="1506">
        <f>F23</f>
        <v>100</v>
      </c>
      <c r="T23" s="1505" t="s">
        <v>8</v>
      </c>
      <c r="U23" s="1506">
        <f>H23</f>
        <v>100</v>
      </c>
      <c r="V23" s="1505" t="s">
        <v>8</v>
      </c>
      <c r="W23" s="1506">
        <f>J23</f>
        <v>100</v>
      </c>
      <c r="X23" s="1499"/>
      <c r="Y23" s="3509"/>
      <c r="Z23" s="1507" t="str">
        <f>Q23</f>
        <v>自然及人文环境</v>
      </c>
      <c r="AA23" s="1508">
        <f t="shared" si="3"/>
        <v>1</v>
      </c>
      <c r="AB23" s="1508">
        <f t="shared" si="4"/>
        <v>1</v>
      </c>
      <c r="AC23" s="1508">
        <f t="shared" si="5"/>
        <v>1</v>
      </c>
    </row>
    <row r="24" spans="1:29" ht="15">
      <c r="A24" s="525"/>
      <c r="B24" s="588"/>
      <c r="C24" s="569"/>
      <c r="D24" s="548"/>
      <c r="E24" s="549"/>
      <c r="F24" s="550"/>
      <c r="G24" s="551"/>
      <c r="H24" s="548"/>
      <c r="I24" s="549"/>
      <c r="J24" s="548"/>
      <c r="K24" s="887"/>
      <c r="L24" s="2022"/>
      <c r="M24" s="2014"/>
      <c r="N24" s="2014"/>
      <c r="O24" s="2021"/>
      <c r="P24" s="3509"/>
      <c r="Q24" s="1504"/>
      <c r="R24" s="1505"/>
      <c r="S24" s="1506"/>
      <c r="T24" s="1505"/>
      <c r="U24" s="1506"/>
      <c r="V24" s="1505"/>
      <c r="W24" s="1506"/>
      <c r="X24" s="1499"/>
      <c r="Y24" s="3509"/>
      <c r="Z24" s="1507"/>
      <c r="AA24" s="1508">
        <v>1</v>
      </c>
      <c r="AB24" s="1508">
        <v>1</v>
      </c>
      <c r="AC24" s="1508">
        <v>1</v>
      </c>
    </row>
    <row r="25" spans="1:29" ht="15">
      <c r="A25" s="525"/>
      <c r="B25" s="520" t="s">
        <v>540</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509"/>
      <c r="Q25" s="1504" t="str">
        <f t="shared" ref="Q25:Q46" si="11">B25</f>
        <v>临街状况</v>
      </c>
      <c r="R25" s="1505" t="s">
        <v>8</v>
      </c>
      <c r="S25" s="1506">
        <f>F25</f>
        <v>100</v>
      </c>
      <c r="T25" s="1505" t="s">
        <v>8</v>
      </c>
      <c r="U25" s="1506">
        <f>H25</f>
        <v>100</v>
      </c>
      <c r="V25" s="1505" t="s">
        <v>8</v>
      </c>
      <c r="W25" s="1506">
        <f>J25</f>
        <v>100</v>
      </c>
      <c r="X25" s="1499"/>
      <c r="Y25" s="3509"/>
      <c r="Z25" s="1507" t="str">
        <f>Q25</f>
        <v>临街状况</v>
      </c>
      <c r="AA25" s="1508">
        <f t="shared" si="3"/>
        <v>1</v>
      </c>
      <c r="AB25" s="1508">
        <f t="shared" si="4"/>
        <v>1</v>
      </c>
      <c r="AC25" s="1508">
        <f t="shared" si="5"/>
        <v>1</v>
      </c>
    </row>
    <row r="26" spans="1:29" ht="15">
      <c r="A26" s="525"/>
      <c r="B26" s="865" t="s">
        <v>751</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509"/>
      <c r="Q26" s="1504" t="str">
        <f t="shared" si="11"/>
        <v>平面位置/可视性</v>
      </c>
      <c r="R26" s="1505" t="s">
        <v>8</v>
      </c>
      <c r="S26" s="1506">
        <f>F26</f>
        <v>100</v>
      </c>
      <c r="T26" s="1505" t="s">
        <v>8</v>
      </c>
      <c r="U26" s="1506">
        <f>H26</f>
        <v>100</v>
      </c>
      <c r="V26" s="1505" t="s">
        <v>8</v>
      </c>
      <c r="W26" s="1506">
        <f>J26</f>
        <v>100</v>
      </c>
      <c r="X26" s="1499"/>
      <c r="Y26" s="3509"/>
      <c r="Z26" s="1507" t="str">
        <f>Q26</f>
        <v>平面位置/可视性</v>
      </c>
      <c r="AA26" s="1508">
        <f t="shared" si="3"/>
        <v>1</v>
      </c>
      <c r="AB26" s="1508">
        <f t="shared" si="4"/>
        <v>1</v>
      </c>
      <c r="AC26" s="1508">
        <f t="shared" si="5"/>
        <v>1</v>
      </c>
    </row>
    <row r="27" spans="1:29" s="1202" customFormat="1" ht="15">
      <c r="A27" s="529"/>
      <c r="B27" s="859" t="s">
        <v>752</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509"/>
      <c r="Q27" s="1133" t="str">
        <f t="shared" si="11"/>
        <v>人流量</v>
      </c>
      <c r="R27" s="1500" t="s">
        <v>8</v>
      </c>
      <c r="S27" s="1501">
        <f>F27</f>
        <v>100</v>
      </c>
      <c r="T27" s="1500" t="s">
        <v>8</v>
      </c>
      <c r="U27" s="1501">
        <f>H27</f>
        <v>100</v>
      </c>
      <c r="V27" s="1500" t="s">
        <v>8</v>
      </c>
      <c r="W27" s="1501">
        <f>J27</f>
        <v>100</v>
      </c>
      <c r="X27" s="1502"/>
      <c r="Y27" s="3509"/>
      <c r="Z27" s="1132" t="str">
        <f>Q27</f>
        <v>人流量</v>
      </c>
      <c r="AA27" s="1508">
        <f>D27/F27</f>
        <v>1</v>
      </c>
      <c r="AB27" s="1508">
        <f>D27/H27</f>
        <v>1</v>
      </c>
      <c r="AC27" s="1508">
        <f>D27/J27</f>
        <v>1</v>
      </c>
    </row>
    <row r="28" spans="1:29" ht="15">
      <c r="A28" s="525"/>
      <c r="B28" s="520" t="s">
        <v>754</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509"/>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09"/>
      <c r="Z28" s="1507" t="str">
        <f t="shared" ref="Z28:Z46" si="15">Q28</f>
        <v>楼层</v>
      </c>
      <c r="AA28" s="1508">
        <f t="shared" si="3"/>
        <v>1</v>
      </c>
      <c r="AB28" s="1508">
        <f t="shared" si="4"/>
        <v>1</v>
      </c>
      <c r="AC28" s="1508">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509"/>
      <c r="Q29" s="1504">
        <f t="shared" si="11"/>
        <v>111</v>
      </c>
      <c r="R29" s="1505" t="s">
        <v>8</v>
      </c>
      <c r="S29" s="1506">
        <f t="shared" si="12"/>
        <v>100</v>
      </c>
      <c r="T29" s="1505" t="s">
        <v>8</v>
      </c>
      <c r="U29" s="1506">
        <f t="shared" si="13"/>
        <v>100</v>
      </c>
      <c r="V29" s="1505" t="s">
        <v>8</v>
      </c>
      <c r="W29" s="1506">
        <f t="shared" si="14"/>
        <v>100</v>
      </c>
      <c r="X29" s="1499"/>
      <c r="Y29" s="3509"/>
      <c r="Z29" s="1507">
        <f t="shared" si="15"/>
        <v>111</v>
      </c>
      <c r="AA29" s="1508">
        <f t="shared" si="3"/>
        <v>1</v>
      </c>
      <c r="AB29" s="1508">
        <f t="shared" si="4"/>
        <v>1</v>
      </c>
      <c r="AC29" s="1508">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509"/>
      <c r="Q30" s="1504">
        <f t="shared" si="11"/>
        <v>111</v>
      </c>
      <c r="R30" s="1505" t="s">
        <v>8</v>
      </c>
      <c r="S30" s="1506">
        <f t="shared" si="12"/>
        <v>100</v>
      </c>
      <c r="T30" s="1505" t="s">
        <v>8</v>
      </c>
      <c r="U30" s="1506">
        <f t="shared" si="13"/>
        <v>100</v>
      </c>
      <c r="V30" s="1505" t="s">
        <v>8</v>
      </c>
      <c r="W30" s="1506">
        <f t="shared" si="14"/>
        <v>100</v>
      </c>
      <c r="X30" s="1499"/>
      <c r="Y30" s="3509"/>
      <c r="Z30" s="1507">
        <f t="shared" si="15"/>
        <v>111</v>
      </c>
      <c r="AA30" s="1508">
        <f t="shared" si="3"/>
        <v>1</v>
      </c>
      <c r="AB30" s="1508">
        <f t="shared" si="4"/>
        <v>1</v>
      </c>
      <c r="AC30" s="1508">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509"/>
      <c r="Q31" s="1504">
        <f t="shared" si="11"/>
        <v>111</v>
      </c>
      <c r="R31" s="1505" t="s">
        <v>8</v>
      </c>
      <c r="S31" s="1506">
        <f t="shared" si="12"/>
        <v>100</v>
      </c>
      <c r="T31" s="1505" t="s">
        <v>8</v>
      </c>
      <c r="U31" s="1506">
        <f t="shared" si="13"/>
        <v>100</v>
      </c>
      <c r="V31" s="1505" t="s">
        <v>8</v>
      </c>
      <c r="W31" s="1506">
        <f t="shared" si="14"/>
        <v>100</v>
      </c>
      <c r="X31" s="1499"/>
      <c r="Y31" s="3509"/>
      <c r="Z31" s="1507">
        <f t="shared" si="15"/>
        <v>111</v>
      </c>
      <c r="AA31" s="1508">
        <f t="shared" si="3"/>
        <v>1</v>
      </c>
      <c r="AB31" s="1508">
        <f t="shared" si="4"/>
        <v>1</v>
      </c>
      <c r="AC31" s="1508">
        <f t="shared" si="5"/>
        <v>1</v>
      </c>
    </row>
    <row r="32" spans="1:29" ht="15">
      <c r="A32" s="2622" t="s">
        <v>2735</v>
      </c>
      <c r="B32" s="170" t="s">
        <v>755</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510" t="s">
        <v>543</v>
      </c>
      <c r="Q32" s="1504" t="str">
        <f t="shared" si="11"/>
        <v>商业类型</v>
      </c>
      <c r="R32" s="1505" t="s">
        <v>8</v>
      </c>
      <c r="S32" s="1506">
        <f t="shared" si="12"/>
        <v>100</v>
      </c>
      <c r="T32" s="1505" t="s">
        <v>8</v>
      </c>
      <c r="U32" s="1506">
        <f t="shared" si="13"/>
        <v>100</v>
      </c>
      <c r="V32" s="1505" t="s">
        <v>8</v>
      </c>
      <c r="W32" s="1506">
        <f t="shared" si="14"/>
        <v>100</v>
      </c>
      <c r="X32" s="1499"/>
      <c r="Y32" s="3511" t="s">
        <v>543</v>
      </c>
      <c r="Z32" s="1507" t="str">
        <f t="shared" si="15"/>
        <v>商业类型</v>
      </c>
      <c r="AA32" s="1508">
        <f t="shared" si="3"/>
        <v>1</v>
      </c>
      <c r="AB32" s="1508">
        <f t="shared" si="4"/>
        <v>1</v>
      </c>
      <c r="AC32" s="1508">
        <f t="shared" si="5"/>
        <v>1</v>
      </c>
    </row>
    <row r="33" spans="1:29" s="1292" customFormat="1" ht="15">
      <c r="A33" s="596"/>
      <c r="B33" s="520" t="s">
        <v>719</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0"/>
      <c r="M33" s="2050"/>
      <c r="N33" s="2050"/>
      <c r="O33" s="2023"/>
      <c r="P33" s="3511"/>
      <c r="Q33" s="1533" t="str">
        <f t="shared" si="11"/>
        <v>项目建筑规模</v>
      </c>
      <c r="R33" s="1509" t="s">
        <v>8</v>
      </c>
      <c r="S33" s="1510" t="e">
        <f t="shared" si="12"/>
        <v>#N/A</v>
      </c>
      <c r="T33" s="1509" t="s">
        <v>8</v>
      </c>
      <c r="U33" s="1510" t="e">
        <f t="shared" si="13"/>
        <v>#N/A</v>
      </c>
      <c r="V33" s="1509" t="s">
        <v>8</v>
      </c>
      <c r="W33" s="1510" t="e">
        <f t="shared" si="14"/>
        <v>#N/A</v>
      </c>
      <c r="X33" s="1511"/>
      <c r="Y33" s="3511"/>
      <c r="Z33" s="1512" t="str">
        <f t="shared" si="15"/>
        <v>项目建筑规模</v>
      </c>
      <c r="AA33" s="1508" t="e">
        <f t="shared" si="3"/>
        <v>#N/A</v>
      </c>
      <c r="AB33" s="1508" t="e">
        <f t="shared" si="4"/>
        <v>#N/A</v>
      </c>
      <c r="AC33" s="1508" t="e">
        <f t="shared" si="5"/>
        <v>#N/A</v>
      </c>
    </row>
    <row r="34" spans="1:29" ht="15">
      <c r="A34" s="587"/>
      <c r="B34" s="520" t="s">
        <v>720</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2"/>
      <c r="M34" s="2014"/>
      <c r="N34" s="2014"/>
      <c r="O34" s="2021"/>
      <c r="P34" s="3511"/>
      <c r="Q34" s="1504" t="str">
        <f t="shared" si="11"/>
        <v>建筑结构</v>
      </c>
      <c r="R34" s="1505" t="s">
        <v>8</v>
      </c>
      <c r="S34" s="1506">
        <f t="shared" si="12"/>
        <v>100</v>
      </c>
      <c r="T34" s="1505" t="s">
        <v>8</v>
      </c>
      <c r="U34" s="1506">
        <f t="shared" si="13"/>
        <v>100</v>
      </c>
      <c r="V34" s="1505" t="s">
        <v>8</v>
      </c>
      <c r="W34" s="1506">
        <f t="shared" si="14"/>
        <v>100</v>
      </c>
      <c r="X34" s="1499"/>
      <c r="Y34" s="3511"/>
      <c r="Z34" s="1507" t="str">
        <f t="shared" si="15"/>
        <v>建筑结构</v>
      </c>
      <c r="AA34" s="1508">
        <f t="shared" si="3"/>
        <v>1</v>
      </c>
      <c r="AB34" s="1508">
        <f t="shared" si="4"/>
        <v>1</v>
      </c>
      <c r="AC34" s="1508">
        <f t="shared" si="5"/>
        <v>1</v>
      </c>
    </row>
    <row r="35" spans="1:29" ht="15">
      <c r="A35" s="587"/>
      <c r="B35" s="520" t="s">
        <v>756</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511"/>
      <c r="Q35" s="1504" t="str">
        <f t="shared" si="11"/>
        <v>公共部分装修</v>
      </c>
      <c r="R35" s="1505" t="s">
        <v>8</v>
      </c>
      <c r="S35" s="1506">
        <f t="shared" si="12"/>
        <v>100</v>
      </c>
      <c r="T35" s="1505" t="s">
        <v>8</v>
      </c>
      <c r="U35" s="1506">
        <f t="shared" si="13"/>
        <v>100</v>
      </c>
      <c r="V35" s="1505" t="s">
        <v>8</v>
      </c>
      <c r="W35" s="1506">
        <f t="shared" si="14"/>
        <v>100</v>
      </c>
      <c r="X35" s="1499"/>
      <c r="Y35" s="3511"/>
      <c r="Z35" s="1507" t="str">
        <f t="shared" si="15"/>
        <v>公共部分装修</v>
      </c>
      <c r="AA35" s="1508">
        <f t="shared" si="3"/>
        <v>1</v>
      </c>
      <c r="AB35" s="1508">
        <f t="shared" si="4"/>
        <v>1</v>
      </c>
      <c r="AC35" s="1508">
        <f t="shared" si="5"/>
        <v>1</v>
      </c>
    </row>
    <row r="36" spans="1:29" ht="15">
      <c r="A36" s="587"/>
      <c r="B36" s="520" t="s">
        <v>757</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2"/>
      <c r="M36" s="2014"/>
      <c r="N36" s="2014"/>
      <c r="O36" s="2021"/>
      <c r="P36" s="3511"/>
      <c r="Q36" s="1504" t="str">
        <f t="shared" si="11"/>
        <v>成新度</v>
      </c>
      <c r="R36" s="1505" t="s">
        <v>8</v>
      </c>
      <c r="S36" s="1506" t="e">
        <f t="shared" si="12"/>
        <v>#N/A</v>
      </c>
      <c r="T36" s="1505" t="s">
        <v>8</v>
      </c>
      <c r="U36" s="1506" t="e">
        <f t="shared" si="13"/>
        <v>#N/A</v>
      </c>
      <c r="V36" s="1505" t="s">
        <v>8</v>
      </c>
      <c r="W36" s="1506" t="e">
        <f t="shared" si="14"/>
        <v>#N/A</v>
      </c>
      <c r="X36" s="1499"/>
      <c r="Y36" s="3511"/>
      <c r="Z36" s="1507" t="str">
        <f t="shared" si="15"/>
        <v>成新度</v>
      </c>
      <c r="AA36" s="1508" t="e">
        <f t="shared" si="3"/>
        <v>#N/A</v>
      </c>
      <c r="AB36" s="1508" t="e">
        <f t="shared" si="4"/>
        <v>#N/A</v>
      </c>
      <c r="AC36" s="1508" t="e">
        <f t="shared" si="5"/>
        <v>#N/A</v>
      </c>
    </row>
    <row r="37" spans="1:29" s="1202" customFormat="1" ht="15">
      <c r="A37" s="593"/>
      <c r="B37" s="1807"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511"/>
      <c r="Q37" s="1133" t="str">
        <f t="shared" si="11"/>
        <v>市政基础设施</v>
      </c>
      <c r="R37" s="1500" t="s">
        <v>8</v>
      </c>
      <c r="S37" s="1501">
        <f t="shared" si="12"/>
        <v>100</v>
      </c>
      <c r="T37" s="1500" t="s">
        <v>8</v>
      </c>
      <c r="U37" s="1501">
        <f t="shared" si="13"/>
        <v>100</v>
      </c>
      <c r="V37" s="1500" t="s">
        <v>8</v>
      </c>
      <c r="W37" s="1501">
        <f t="shared" si="14"/>
        <v>100</v>
      </c>
      <c r="X37" s="1502"/>
      <c r="Y37" s="3511"/>
      <c r="Z37" s="1132" t="str">
        <f t="shared" si="15"/>
        <v>市政基础设施</v>
      </c>
      <c r="AA37" s="1503">
        <f t="shared" si="3"/>
        <v>1</v>
      </c>
      <c r="AB37" s="1503">
        <f t="shared" si="4"/>
        <v>1</v>
      </c>
      <c r="AC37" s="1503">
        <f t="shared" si="5"/>
        <v>1</v>
      </c>
    </row>
    <row r="38" spans="1:29" ht="15">
      <c r="A38" s="587"/>
      <c r="B38" s="520" t="s">
        <v>758</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511" t="s">
        <v>759</v>
      </c>
      <c r="Q38" s="1504" t="str">
        <f t="shared" si="11"/>
        <v>业态</v>
      </c>
      <c r="R38" s="1505" t="s">
        <v>8</v>
      </c>
      <c r="S38" s="1506">
        <f t="shared" si="12"/>
        <v>100</v>
      </c>
      <c r="T38" s="1505" t="s">
        <v>8</v>
      </c>
      <c r="U38" s="1506">
        <f t="shared" si="13"/>
        <v>100</v>
      </c>
      <c r="V38" s="1505" t="s">
        <v>8</v>
      </c>
      <c r="W38" s="1506">
        <f t="shared" si="14"/>
        <v>100</v>
      </c>
      <c r="X38" s="1499"/>
      <c r="Y38" s="3511" t="s">
        <v>759</v>
      </c>
      <c r="Z38" s="1507" t="str">
        <f t="shared" si="15"/>
        <v>业态</v>
      </c>
      <c r="AA38" s="1508">
        <f t="shared" si="3"/>
        <v>1</v>
      </c>
      <c r="AB38" s="1508">
        <f t="shared" si="4"/>
        <v>1</v>
      </c>
      <c r="AC38" s="1508">
        <f t="shared" si="5"/>
        <v>1</v>
      </c>
    </row>
    <row r="39" spans="1:29" ht="15">
      <c r="A39" s="587"/>
      <c r="B39" s="520" t="s">
        <v>760</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11"/>
      <c r="Q39" s="1504" t="str">
        <f t="shared" si="11"/>
        <v>层高</v>
      </c>
      <c r="R39" s="1505" t="s">
        <v>8</v>
      </c>
      <c r="S39" s="1506">
        <f t="shared" si="12"/>
        <v>100</v>
      </c>
      <c r="T39" s="1505" t="s">
        <v>8</v>
      </c>
      <c r="U39" s="1506">
        <f t="shared" si="13"/>
        <v>100</v>
      </c>
      <c r="V39" s="1505" t="s">
        <v>8</v>
      </c>
      <c r="W39" s="1506">
        <f t="shared" si="14"/>
        <v>100</v>
      </c>
      <c r="X39" s="1499"/>
      <c r="Y39" s="3511"/>
      <c r="Z39" s="1507" t="str">
        <f t="shared" si="15"/>
        <v>层高</v>
      </c>
      <c r="AA39" s="1508">
        <f t="shared" si="3"/>
        <v>1</v>
      </c>
      <c r="AB39" s="1508">
        <f t="shared" si="4"/>
        <v>1</v>
      </c>
      <c r="AC39" s="1508">
        <f t="shared" si="5"/>
        <v>1</v>
      </c>
    </row>
    <row r="40" spans="1:29" ht="15">
      <c r="A40" s="587"/>
      <c r="B40" s="520" t="s">
        <v>761</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511"/>
      <c r="Q40" s="1504" t="str">
        <f t="shared" si="11"/>
        <v>单套建筑面积</v>
      </c>
      <c r="R40" s="1505" t="s">
        <v>8</v>
      </c>
      <c r="S40" s="1506">
        <f t="shared" si="12"/>
        <v>100</v>
      </c>
      <c r="T40" s="1505" t="s">
        <v>8</v>
      </c>
      <c r="U40" s="1506">
        <f t="shared" si="13"/>
        <v>100</v>
      </c>
      <c r="V40" s="1505" t="s">
        <v>8</v>
      </c>
      <c r="W40" s="1506">
        <f t="shared" si="14"/>
        <v>100</v>
      </c>
      <c r="X40" s="1499"/>
      <c r="Y40" s="3511"/>
      <c r="Z40" s="1507" t="str">
        <f t="shared" si="15"/>
        <v>单套建筑面积</v>
      </c>
      <c r="AA40" s="1508">
        <f t="shared" si="3"/>
        <v>1</v>
      </c>
      <c r="AB40" s="1508">
        <f t="shared" si="4"/>
        <v>1</v>
      </c>
      <c r="AC40" s="1508">
        <f t="shared" si="5"/>
        <v>1</v>
      </c>
    </row>
    <row r="41" spans="1:29" s="1292" customFormat="1" ht="15">
      <c r="A41" s="596"/>
      <c r="B41" s="892" t="s">
        <v>762</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511"/>
      <c r="Q41" s="1533" t="str">
        <f t="shared" si="11"/>
        <v>进深比</v>
      </c>
      <c r="R41" s="1509" t="s">
        <v>8</v>
      </c>
      <c r="S41" s="1510">
        <f t="shared" si="12"/>
        <v>100</v>
      </c>
      <c r="T41" s="1509" t="s">
        <v>8</v>
      </c>
      <c r="U41" s="1510">
        <f t="shared" si="13"/>
        <v>100</v>
      </c>
      <c r="V41" s="1509" t="s">
        <v>8</v>
      </c>
      <c r="W41" s="1510">
        <f t="shared" si="14"/>
        <v>100</v>
      </c>
      <c r="X41" s="1511"/>
      <c r="Y41" s="3511"/>
      <c r="Z41" s="1512" t="str">
        <f t="shared" si="15"/>
        <v>进深比</v>
      </c>
      <c r="AA41" s="1508">
        <f t="shared" si="3"/>
        <v>1</v>
      </c>
      <c r="AB41" s="1508">
        <f t="shared" si="4"/>
        <v>1</v>
      </c>
      <c r="AC41" s="1508">
        <f t="shared" si="5"/>
        <v>1</v>
      </c>
    </row>
    <row r="42" spans="1:29" ht="15">
      <c r="A42" s="587"/>
      <c r="B42" s="520" t="s">
        <v>763</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511"/>
      <c r="Q42" s="1504" t="str">
        <f t="shared" si="11"/>
        <v>内部装修</v>
      </c>
      <c r="R42" s="1505" t="s">
        <v>8</v>
      </c>
      <c r="S42" s="1506">
        <f t="shared" si="12"/>
        <v>100</v>
      </c>
      <c r="T42" s="1505" t="s">
        <v>8</v>
      </c>
      <c r="U42" s="1506">
        <f t="shared" si="13"/>
        <v>100</v>
      </c>
      <c r="V42" s="1505" t="s">
        <v>8</v>
      </c>
      <c r="W42" s="1506">
        <f t="shared" si="14"/>
        <v>100</v>
      </c>
      <c r="X42" s="1499"/>
      <c r="Y42" s="3511"/>
      <c r="Z42" s="1507" t="str">
        <f t="shared" si="15"/>
        <v>内部装修</v>
      </c>
      <c r="AA42" s="1508">
        <f t="shared" si="3"/>
        <v>1</v>
      </c>
      <c r="AB42" s="1508">
        <f t="shared" si="4"/>
        <v>1</v>
      </c>
      <c r="AC42" s="1508">
        <f t="shared" si="5"/>
        <v>1</v>
      </c>
    </row>
    <row r="43" spans="1:29" ht="27">
      <c r="A43" s="587"/>
      <c r="B43" s="520" t="s">
        <v>728</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511"/>
      <c r="Q43" s="1504" t="str">
        <f t="shared" si="11"/>
        <v>内部装修维护情况</v>
      </c>
      <c r="R43" s="1505" t="s">
        <v>8</v>
      </c>
      <c r="S43" s="1506">
        <f t="shared" si="12"/>
        <v>100</v>
      </c>
      <c r="T43" s="1505" t="s">
        <v>8</v>
      </c>
      <c r="U43" s="1506">
        <f t="shared" si="13"/>
        <v>100</v>
      </c>
      <c r="V43" s="1505" t="s">
        <v>8</v>
      </c>
      <c r="W43" s="1506">
        <f t="shared" si="14"/>
        <v>100</v>
      </c>
      <c r="X43" s="1499"/>
      <c r="Y43" s="3511"/>
      <c r="Z43" s="1507" t="str">
        <f t="shared" si="15"/>
        <v>内部装修维护情况</v>
      </c>
      <c r="AA43" s="1508">
        <f t="shared" si="3"/>
        <v>1</v>
      </c>
      <c r="AB43" s="1508">
        <f t="shared" si="4"/>
        <v>1</v>
      </c>
      <c r="AC43" s="1508">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5"/>
      <c r="M44" s="2016"/>
      <c r="N44" s="2016"/>
      <c r="O44" s="2017"/>
      <c r="P44" s="3511"/>
      <c r="Q44" s="1133">
        <f t="shared" si="11"/>
        <v>111</v>
      </c>
      <c r="R44" s="1500" t="s">
        <v>8</v>
      </c>
      <c r="S44" s="1501">
        <f t="shared" si="12"/>
        <v>100</v>
      </c>
      <c r="T44" s="1500" t="s">
        <v>8</v>
      </c>
      <c r="U44" s="1501">
        <f t="shared" si="13"/>
        <v>100</v>
      </c>
      <c r="V44" s="1500" t="s">
        <v>8</v>
      </c>
      <c r="W44" s="1501">
        <f t="shared" si="14"/>
        <v>100</v>
      </c>
      <c r="X44" s="1502"/>
      <c r="Y44" s="3511"/>
      <c r="Z44" s="1132">
        <f t="shared" si="15"/>
        <v>111</v>
      </c>
      <c r="AA44" s="1503">
        <f t="shared" si="3"/>
        <v>1</v>
      </c>
      <c r="AB44" s="1503">
        <f t="shared" si="4"/>
        <v>1</v>
      </c>
      <c r="AC44" s="1503">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511"/>
      <c r="Q45" s="1504">
        <f t="shared" si="11"/>
        <v>111</v>
      </c>
      <c r="R45" s="1505" t="s">
        <v>8</v>
      </c>
      <c r="S45" s="1506">
        <f t="shared" si="12"/>
        <v>100</v>
      </c>
      <c r="T45" s="1505" t="s">
        <v>8</v>
      </c>
      <c r="U45" s="1506">
        <f t="shared" si="13"/>
        <v>100</v>
      </c>
      <c r="V45" s="1505" t="s">
        <v>8</v>
      </c>
      <c r="W45" s="1506">
        <f t="shared" si="14"/>
        <v>100</v>
      </c>
      <c r="X45" s="1499"/>
      <c r="Y45" s="3511"/>
      <c r="Z45" s="1507">
        <f t="shared" si="15"/>
        <v>111</v>
      </c>
      <c r="AA45" s="1508">
        <f t="shared" si="3"/>
        <v>1</v>
      </c>
      <c r="AB45" s="1508">
        <f t="shared" si="4"/>
        <v>1</v>
      </c>
      <c r="AC45" s="1508">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612"/>
      <c r="Q46" s="1504">
        <f t="shared" si="11"/>
        <v>111</v>
      </c>
      <c r="R46" s="1505" t="s">
        <v>8</v>
      </c>
      <c r="S46" s="1506">
        <f t="shared" si="12"/>
        <v>100</v>
      </c>
      <c r="T46" s="1505" t="s">
        <v>8</v>
      </c>
      <c r="U46" s="1506">
        <f t="shared" si="13"/>
        <v>100</v>
      </c>
      <c r="V46" s="1505" t="s">
        <v>8</v>
      </c>
      <c r="W46" s="1506">
        <f t="shared" si="14"/>
        <v>100</v>
      </c>
      <c r="X46" s="1499"/>
      <c r="Y46" s="3612"/>
      <c r="Z46" s="1507">
        <f t="shared" si="15"/>
        <v>111</v>
      </c>
      <c r="AA46" s="1508">
        <f t="shared" si="3"/>
        <v>1</v>
      </c>
      <c r="AB46" s="1508">
        <f t="shared" si="4"/>
        <v>1</v>
      </c>
      <c r="AC46" s="1508">
        <f t="shared" si="5"/>
        <v>1</v>
      </c>
    </row>
    <row r="47" spans="1:29" ht="15">
      <c r="A47" s="600" t="s">
        <v>729</v>
      </c>
      <c r="B47" s="875"/>
      <c r="C47" s="2468" t="s">
        <v>1</v>
      </c>
      <c r="D47" s="2469"/>
      <c r="E47" s="2470"/>
      <c r="F47" s="2471"/>
      <c r="G47" s="2472"/>
      <c r="H47" s="2473"/>
      <c r="I47" s="2470"/>
      <c r="J47" s="2473"/>
      <c r="K47" s="1538"/>
      <c r="L47" s="2024"/>
      <c r="M47" s="2025"/>
      <c r="N47" s="2014"/>
      <c r="O47" s="2025"/>
      <c r="P47" s="3506" t="str">
        <f>A47</f>
        <v>成交单价（元/平方米）</v>
      </c>
      <c r="Q47" s="3506"/>
      <c r="R47" s="3613">
        <f>E47</f>
        <v>0</v>
      </c>
      <c r="S47" s="3613"/>
      <c r="T47" s="3613">
        <f>G47</f>
        <v>0</v>
      </c>
      <c r="U47" s="3613"/>
      <c r="V47" s="3613">
        <f>I47</f>
        <v>0</v>
      </c>
      <c r="W47" s="3613"/>
      <c r="X47" s="1494"/>
      <c r="Y47" s="1513"/>
      <c r="Z47" s="1494"/>
      <c r="AA47" s="1494"/>
      <c r="AB47" s="1494"/>
      <c r="AC47" s="1494"/>
    </row>
    <row r="48" spans="1:29" ht="15.75" thickBot="1">
      <c r="A48" s="608" t="s">
        <v>2740</v>
      </c>
      <c r="B48" s="876"/>
      <c r="C48" s="2474" t="e">
        <f>R49</f>
        <v>#DIV/0!</v>
      </c>
      <c r="D48" s="3008" t="s">
        <v>2970</v>
      </c>
      <c r="E48" s="2475" t="e">
        <f>R48</f>
        <v>#DIV/0!</v>
      </c>
      <c r="F48" s="3009"/>
      <c r="G48" s="2474" t="e">
        <f>T48</f>
        <v>#DIV/0!</v>
      </c>
      <c r="H48" s="3009"/>
      <c r="I48" s="2475" t="e">
        <f>V48</f>
        <v>#DIV/0!</v>
      </c>
      <c r="J48" s="3009"/>
      <c r="K48" s="3017">
        <f>F48+H48+J48</f>
        <v>0</v>
      </c>
      <c r="L48" s="2024"/>
      <c r="M48" s="2025"/>
      <c r="N48" s="2014"/>
      <c r="O48" s="2025"/>
      <c r="P48" s="3506" t="str">
        <f>A48</f>
        <v>比较价格（元/平方米）</v>
      </c>
      <c r="Q48" s="3506"/>
      <c r="R48" s="3613" t="e">
        <f>IF(F1="售价",ROUND(PRODUCT(R47,AA7:AA46),0),ROUND(PRODUCT(R47,AA7:AA46),1))</f>
        <v>#DIV/0!</v>
      </c>
      <c r="S48" s="3613"/>
      <c r="T48" s="3613" t="e">
        <f>IF(F1="售价",ROUND(PRODUCT(T47,AB7:AB46),0),ROUND(PRODUCT(T47,AB7:AB46),1))</f>
        <v>#DIV/0!</v>
      </c>
      <c r="U48" s="3613"/>
      <c r="V48" s="3613" t="e">
        <f>IF(F1="售价",ROUND(PRODUCT(V47,AC7:AC46),0),ROUND(PRODUCT(V47,AC7:AC46),1))</f>
        <v>#DIV/0!</v>
      </c>
      <c r="W48" s="3613"/>
      <c r="X48" s="1494"/>
      <c r="Y48" s="1494"/>
      <c r="Z48" s="1494"/>
      <c r="AA48" s="1494"/>
      <c r="AB48" s="1494"/>
      <c r="AC48" s="1494"/>
    </row>
    <row r="49" spans="1:29" ht="15.75" thickBot="1">
      <c r="A49" s="612" t="s">
        <v>2902</v>
      </c>
      <c r="B49" s="613"/>
      <c r="C49" s="2476" t="e">
        <f>R49</f>
        <v>#DIV/0!</v>
      </c>
      <c r="D49" s="2476"/>
      <c r="E49" s="2476"/>
      <c r="F49" s="2476"/>
      <c r="G49" s="2476"/>
      <c r="H49" s="2476"/>
      <c r="I49" s="2476"/>
      <c r="J49" s="2476"/>
      <c r="K49" s="1539"/>
      <c r="L49" s="2024"/>
      <c r="M49" s="2025"/>
      <c r="N49" s="2014"/>
      <c r="O49" s="2025"/>
      <c r="P49" s="3528" t="str">
        <f>A49</f>
        <v>估价对象XX用房的比较价格（楼面单价，元/平方米）</v>
      </c>
      <c r="Q49" s="3529"/>
      <c r="R49" s="3614" t="e">
        <f>IF(F1="售价",ROUND(IF(D48="简单平均",AVERAGE(R48:V48),R48*F48+T48*H48+V48*J48),0),ROUND(IF(D48="简单平均",AVERAGE(R48:V48),R48*F48+T48*H48+V48*J48),1))</f>
        <v>#DIV/0!</v>
      </c>
      <c r="S49" s="3614"/>
      <c r="T49" s="3614"/>
      <c r="U49" s="3614"/>
      <c r="V49" s="3614"/>
      <c r="W49" s="3614"/>
      <c r="X49" s="1494"/>
      <c r="Y49" s="1494"/>
      <c r="Z49" s="1494"/>
      <c r="AA49" s="1494"/>
      <c r="AB49" s="1494"/>
      <c r="AC49" s="1494"/>
    </row>
    <row r="50" spans="1:29">
      <c r="A50" s="3208"/>
      <c r="B50" s="3208"/>
      <c r="C50" s="3208"/>
      <c r="D50" s="3208"/>
      <c r="E50" s="3208"/>
      <c r="F50" s="3208"/>
      <c r="G50" s="3210"/>
      <c r="H50" s="3208"/>
      <c r="I50" s="3208"/>
      <c r="J50" s="3208"/>
      <c r="K50" s="3211"/>
      <c r="L50" s="2029"/>
      <c r="M50" s="2025"/>
      <c r="N50" s="2025"/>
      <c r="O50" s="2025"/>
      <c r="P50" s="2025"/>
      <c r="Q50" s="2025"/>
      <c r="R50" s="2025"/>
      <c r="S50" s="2025"/>
      <c r="T50" s="2025"/>
      <c r="U50" s="2025"/>
      <c r="V50" s="2025"/>
      <c r="W50" s="2025"/>
      <c r="X50" s="2025"/>
      <c r="Y50" s="2025"/>
      <c r="Z50" s="2025"/>
      <c r="AA50" s="2025"/>
      <c r="AB50" s="2025"/>
      <c r="AC50" s="2025"/>
    </row>
    <row r="51" spans="1:29">
      <c r="A51" s="3208"/>
      <c r="B51" s="3208"/>
      <c r="C51" s="3208"/>
      <c r="D51" s="3208"/>
      <c r="E51" s="3208"/>
      <c r="F51" s="3208"/>
      <c r="G51" s="3208"/>
      <c r="H51" s="3208"/>
      <c r="I51" s="3208"/>
      <c r="J51" s="3208"/>
      <c r="K51" s="3211"/>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8"/>
      <c r="B52" s="3208"/>
      <c r="C52" s="615" t="s">
        <v>550</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1"/>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8"/>
      <c r="B53" s="3208"/>
      <c r="C53" s="615" t="s">
        <v>551</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1"/>
      <c r="L53" s="2029"/>
      <c r="M53" s="2025"/>
      <c r="N53" s="2025"/>
      <c r="O53" s="2025"/>
      <c r="P53" s="2025"/>
      <c r="Q53" s="2025"/>
      <c r="R53" s="2025"/>
      <c r="S53" s="2025"/>
      <c r="T53" s="2025"/>
      <c r="U53" s="2025"/>
      <c r="V53" s="2025"/>
      <c r="W53" s="2025"/>
      <c r="X53" s="2025"/>
      <c r="Y53" s="2025"/>
      <c r="Z53" s="2025"/>
      <c r="AA53" s="2025"/>
      <c r="AB53" s="2025"/>
      <c r="AC53" s="2025"/>
    </row>
    <row r="54" spans="1:29" s="1297" customFormat="1" ht="13.5" customHeight="1">
      <c r="A54" s="3209"/>
      <c r="B54" s="3209"/>
      <c r="C54" s="615" t="s">
        <v>552</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2"/>
      <c r="L54" s="2032"/>
      <c r="M54" s="2026"/>
      <c r="N54" s="2026"/>
      <c r="O54" s="2026"/>
      <c r="P54" s="2026"/>
      <c r="Q54" s="2026"/>
      <c r="R54" s="2026"/>
      <c r="S54" s="2026"/>
      <c r="T54" s="2026"/>
      <c r="U54" s="2026"/>
      <c r="V54" s="2026"/>
      <c r="W54" s="2026"/>
      <c r="X54" s="2026"/>
      <c r="Y54" s="2026"/>
      <c r="Z54" s="2026"/>
      <c r="AA54" s="2026"/>
      <c r="AB54" s="2026"/>
      <c r="AC54" s="2026"/>
    </row>
    <row r="55" spans="1:29" s="1297"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567</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9" customFormat="1" ht="15">
      <c r="A58" s="636" t="s">
        <v>522</v>
      </c>
      <c r="B58" s="637"/>
      <c r="C58" s="2517" t="str">
        <f>YEAR(C7)&amp;"-"&amp;MONTH(C7)</f>
        <v>2021-2</v>
      </c>
      <c r="D58" s="2519">
        <f>EDATE(C58,-1)</f>
        <v>44197</v>
      </c>
      <c r="E58" s="2519">
        <f t="shared" ref="E58:O58" si="16">EDATE(D58,-1)</f>
        <v>44166</v>
      </c>
      <c r="F58" s="2519">
        <f t="shared" si="16"/>
        <v>44136</v>
      </c>
      <c r="G58" s="2519">
        <f t="shared" si="16"/>
        <v>44105</v>
      </c>
      <c r="H58" s="2519">
        <f t="shared" si="16"/>
        <v>44075</v>
      </c>
      <c r="I58" s="2519">
        <f t="shared" si="16"/>
        <v>44044</v>
      </c>
      <c r="J58" s="2519">
        <f t="shared" si="16"/>
        <v>44013</v>
      </c>
      <c r="K58" s="2519">
        <f t="shared" si="16"/>
        <v>43983</v>
      </c>
      <c r="L58" s="2519">
        <f t="shared" si="16"/>
        <v>43952</v>
      </c>
      <c r="M58" s="2519">
        <f t="shared" si="16"/>
        <v>43922</v>
      </c>
      <c r="N58" s="2519">
        <f t="shared" si="16"/>
        <v>43891</v>
      </c>
      <c r="O58" s="2519">
        <f t="shared" si="16"/>
        <v>43862</v>
      </c>
      <c r="P58" s="2039"/>
      <c r="Q58" s="2040"/>
      <c r="R58" s="2040"/>
      <c r="S58" s="2040"/>
      <c r="T58" s="2040"/>
      <c r="U58" s="2040"/>
      <c r="V58" s="2040"/>
      <c r="W58" s="2040"/>
      <c r="X58" s="2040"/>
      <c r="Y58" s="2040"/>
      <c r="Z58" s="2040"/>
      <c r="AA58" s="2040"/>
      <c r="AB58" s="2040"/>
      <c r="AC58" s="2040"/>
    </row>
    <row r="59" spans="1:29" s="1202"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2" customFormat="1" ht="15.75" thickBot="1">
      <c r="A60" s="644" t="s">
        <v>568</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2" customFormat="1" ht="15">
      <c r="A61" s="650" t="s">
        <v>524</v>
      </c>
      <c r="B61" s="639"/>
      <c r="C61" s="651" t="s">
        <v>569</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2"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7"/>
    </row>
    <row r="63" spans="1:29">
      <c r="A63" s="655" t="s">
        <v>570</v>
      </c>
      <c r="B63" s="656" t="s">
        <v>527</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530</v>
      </c>
      <c r="C65" s="665" t="s">
        <v>730</v>
      </c>
      <c r="D65" s="665" t="s">
        <v>731</v>
      </c>
      <c r="E65" s="665" t="s">
        <v>732</v>
      </c>
      <c r="F65" s="665" t="s">
        <v>733</v>
      </c>
      <c r="G65" s="665" t="s">
        <v>734</v>
      </c>
      <c r="H65" s="665" t="s">
        <v>735</v>
      </c>
      <c r="I65" s="665" t="s">
        <v>736</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531</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2"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2"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2"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2"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2"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2"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532</v>
      </c>
      <c r="B76" s="656" t="s">
        <v>571</v>
      </c>
      <c r="C76" s="694" t="s">
        <v>572</v>
      </c>
      <c r="D76" s="694" t="s">
        <v>573</v>
      </c>
      <c r="E76" s="694" t="s">
        <v>574</v>
      </c>
      <c r="F76" s="694" t="s">
        <v>575</v>
      </c>
      <c r="G76" s="694" t="s">
        <v>576</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579</v>
      </c>
      <c r="C78" s="699" t="s">
        <v>572</v>
      </c>
      <c r="D78" s="699" t="s">
        <v>573</v>
      </c>
      <c r="E78" s="699" t="s">
        <v>574</v>
      </c>
      <c r="F78" s="699" t="s">
        <v>575</v>
      </c>
      <c r="G78" s="699" t="s">
        <v>576</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572</v>
      </c>
      <c r="D80" s="699" t="s">
        <v>573</v>
      </c>
      <c r="E80" s="699" t="s">
        <v>574</v>
      </c>
      <c r="F80" s="699" t="s">
        <v>575</v>
      </c>
      <c r="G80" s="699" t="s">
        <v>576</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737</v>
      </c>
      <c r="C84" s="699" t="s">
        <v>572</v>
      </c>
      <c r="D84" s="699" t="s">
        <v>573</v>
      </c>
      <c r="E84" s="699" t="s">
        <v>574</v>
      </c>
      <c r="F84" s="699" t="s">
        <v>575</v>
      </c>
      <c r="G84" s="699" t="s">
        <v>576</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2" customFormat="1" ht="15.75" thickTop="1">
      <c r="A86" s="700"/>
      <c r="B86" s="664" t="s">
        <v>764</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2"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2"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2"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544</v>
      </c>
      <c r="B100" s="656" t="s">
        <v>765</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741</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2"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742</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2" customFormat="1" ht="15" thickTop="1">
      <c r="A112" s="719"/>
      <c r="B112" s="1808" t="s">
        <v>2537</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766</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767</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768</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2" customFormat="1" ht="15" thickTop="1">
      <c r="A120" s="719"/>
      <c r="B120" s="664" t="s">
        <v>769</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748</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749</v>
      </c>
      <c r="C124" s="699" t="s">
        <v>572</v>
      </c>
      <c r="D124" s="699" t="s">
        <v>573</v>
      </c>
      <c r="E124" s="699" t="s">
        <v>574</v>
      </c>
      <c r="F124" s="699" t="s">
        <v>575</v>
      </c>
      <c r="G124" s="699" t="s">
        <v>576</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2"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2"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099"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496" t="s">
        <v>770</v>
      </c>
      <c r="C1" s="497" t="s">
        <v>713</v>
      </c>
      <c r="D1" s="837"/>
      <c r="E1" s="499"/>
      <c r="F1" s="2522"/>
      <c r="G1" s="1529" t="s">
        <v>714</v>
      </c>
      <c r="H1" s="499"/>
      <c r="I1" s="499"/>
      <c r="J1" s="499"/>
      <c r="K1" s="500"/>
      <c r="L1" s="3204"/>
      <c r="M1" s="3205"/>
      <c r="N1" s="3205"/>
      <c r="O1" s="3205"/>
      <c r="P1" s="3268"/>
      <c r="Q1" s="2012"/>
      <c r="R1" s="2012"/>
      <c r="S1" s="2012"/>
      <c r="T1" s="2012"/>
      <c r="U1" s="2012"/>
      <c r="V1" s="2012"/>
      <c r="W1" s="2012"/>
      <c r="X1" s="2012"/>
      <c r="Y1" s="2012"/>
      <c r="Z1" s="2012"/>
      <c r="AA1" s="2012"/>
      <c r="AB1" s="2012"/>
      <c r="AC1" s="3206"/>
    </row>
    <row r="2" spans="1:29" s="1289" customFormat="1" ht="28.5" customHeight="1">
      <c r="A2" s="416" t="s">
        <v>460</v>
      </c>
      <c r="B2" s="838" t="e">
        <f>ROUND(B3*D3/10000,0)</f>
        <v>#DIV/0!</v>
      </c>
      <c r="C2" s="2007"/>
      <c r="D2" s="2007"/>
      <c r="E2" s="1942"/>
      <c r="F2" s="2009"/>
      <c r="G2" s="2008"/>
      <c r="H2" s="2008"/>
      <c r="I2" s="2008"/>
      <c r="J2" s="2008"/>
      <c r="K2" s="2008"/>
      <c r="L2" s="2011"/>
      <c r="M2" s="2012"/>
      <c r="N2" s="2012"/>
      <c r="O2" s="2012"/>
      <c r="P2" s="3268"/>
      <c r="Q2" s="2012"/>
      <c r="R2" s="2012"/>
      <c r="S2" s="2012"/>
      <c r="T2" s="2012"/>
      <c r="U2" s="2012"/>
      <c r="V2" s="2012"/>
      <c r="W2" s="2012"/>
      <c r="X2" s="2012"/>
      <c r="Y2" s="2012"/>
      <c r="Z2" s="2012"/>
      <c r="AA2" s="2012"/>
      <c r="AB2" s="2012"/>
      <c r="AC2" s="3206"/>
    </row>
    <row r="3" spans="1:29" s="1289" customFormat="1" ht="28.5" customHeight="1" thickBot="1">
      <c r="A3" s="502" t="s">
        <v>512</v>
      </c>
      <c r="B3" s="503" t="e">
        <f>C50</f>
        <v>#DIV/0!</v>
      </c>
      <c r="C3" s="840" t="s">
        <v>715</v>
      </c>
      <c r="D3" s="839">
        <f>SUMIF('数据-汇总表'!$C19:$C33,D1,'数据-汇总表'!$E19:$E33)</f>
        <v>0</v>
      </c>
      <c r="E3" s="1942"/>
      <c r="F3" s="2009"/>
      <c r="G3" s="2008"/>
      <c r="H3" s="2008"/>
      <c r="I3" s="2008"/>
      <c r="J3" s="2008"/>
      <c r="K3" s="2010"/>
      <c r="L3" s="2011"/>
      <c r="M3" s="2012"/>
      <c r="N3" s="2012"/>
      <c r="O3" s="2012"/>
      <c r="P3" s="3268"/>
      <c r="Q3" s="2012"/>
      <c r="R3" s="2012"/>
      <c r="S3" s="2012"/>
      <c r="T3" s="2012"/>
      <c r="U3" s="2012"/>
      <c r="V3" s="2012"/>
      <c r="W3" s="2012"/>
      <c r="X3" s="2012"/>
      <c r="Y3" s="2012"/>
      <c r="Z3" s="2012"/>
      <c r="AA3" s="2012"/>
      <c r="AB3" s="2012"/>
      <c r="AC3" s="3206"/>
    </row>
    <row r="4" spans="1:29" ht="15">
      <c r="A4" s="505" t="s">
        <v>514</v>
      </c>
      <c r="B4" s="506"/>
      <c r="C4" s="3512" t="s">
        <v>515</v>
      </c>
      <c r="D4" s="3513"/>
      <c r="E4" s="3538" t="s">
        <v>516</v>
      </c>
      <c r="F4" s="3539"/>
      <c r="G4" s="3512" t="s">
        <v>517</v>
      </c>
      <c r="H4" s="3513"/>
      <c r="I4" s="3512" t="s">
        <v>518</v>
      </c>
      <c r="J4" s="3513"/>
      <c r="K4" s="507" t="s">
        <v>519</v>
      </c>
      <c r="L4" s="2013"/>
      <c r="M4" s="2014"/>
      <c r="N4" s="2014"/>
      <c r="O4" s="2014"/>
      <c r="P4" s="3615" t="s">
        <v>520</v>
      </c>
      <c r="Q4" s="3515"/>
      <c r="R4" s="3500" t="s">
        <v>516</v>
      </c>
      <c r="S4" s="3501"/>
      <c r="T4" s="3500" t="s">
        <v>517</v>
      </c>
      <c r="U4" s="3501"/>
      <c r="V4" s="3520" t="s">
        <v>518</v>
      </c>
      <c r="W4" s="3520"/>
      <c r="X4" s="1499"/>
      <c r="Y4" s="3500" t="s">
        <v>520</v>
      </c>
      <c r="Z4" s="3501"/>
      <c r="AA4" s="3495" t="s">
        <v>516</v>
      </c>
      <c r="AB4" s="3495" t="s">
        <v>517</v>
      </c>
      <c r="AC4" s="3495" t="s">
        <v>518</v>
      </c>
    </row>
    <row r="5" spans="1:29" ht="15">
      <c r="A5" s="508"/>
      <c r="B5" s="509"/>
      <c r="C5" s="3523" t="s">
        <v>2896</v>
      </c>
      <c r="D5" s="3524"/>
      <c r="E5" s="3540" t="s">
        <v>2897</v>
      </c>
      <c r="F5" s="3541"/>
      <c r="G5" s="3523" t="s">
        <v>2898</v>
      </c>
      <c r="H5" s="3524"/>
      <c r="I5" s="3523" t="s">
        <v>2899</v>
      </c>
      <c r="J5" s="3524"/>
      <c r="K5" s="507"/>
      <c r="L5" s="2013"/>
      <c r="M5" s="2014"/>
      <c r="N5" s="2014"/>
      <c r="O5" s="2014"/>
      <c r="P5" s="3616"/>
      <c r="Q5" s="3517"/>
      <c r="R5" s="3502"/>
      <c r="S5" s="3503"/>
      <c r="T5" s="3502"/>
      <c r="U5" s="3503"/>
      <c r="V5" s="3520"/>
      <c r="W5" s="3520"/>
      <c r="X5" s="1499"/>
      <c r="Y5" s="3502"/>
      <c r="Z5" s="3503"/>
      <c r="AA5" s="3496"/>
      <c r="AB5" s="3496"/>
      <c r="AC5" s="3496"/>
    </row>
    <row r="6" spans="1:29" ht="15.75" thickBot="1">
      <c r="A6" s="510"/>
      <c r="B6" s="511"/>
      <c r="C6" s="3521" t="s">
        <v>2900</v>
      </c>
      <c r="D6" s="3522"/>
      <c r="E6" s="3542" t="s">
        <v>2900</v>
      </c>
      <c r="F6" s="3543"/>
      <c r="G6" s="3521" t="s">
        <v>2900</v>
      </c>
      <c r="H6" s="3522"/>
      <c r="I6" s="3521" t="s">
        <v>2900</v>
      </c>
      <c r="J6" s="3522"/>
      <c r="K6" s="507" t="s">
        <v>521</v>
      </c>
      <c r="L6" s="2013"/>
      <c r="M6" s="2014"/>
      <c r="N6" s="2014"/>
      <c r="O6" s="2014"/>
      <c r="P6" s="3617"/>
      <c r="Q6" s="3519"/>
      <c r="R6" s="3502"/>
      <c r="S6" s="3503"/>
      <c r="T6" s="3504"/>
      <c r="U6" s="3505"/>
      <c r="V6" s="3520"/>
      <c r="W6" s="3520"/>
      <c r="X6" s="1499"/>
      <c r="Y6" s="3504"/>
      <c r="Z6" s="3505"/>
      <c r="AA6" s="3497"/>
      <c r="AB6" s="3497"/>
      <c r="AC6" s="3497"/>
    </row>
    <row r="7" spans="1:29" s="1202" customFormat="1" ht="15.75" thickBot="1">
      <c r="A7" s="2627"/>
      <c r="B7" s="2634" t="s">
        <v>522</v>
      </c>
      <c r="C7" s="512">
        <f>'数据-取费表'!B2</f>
        <v>44254</v>
      </c>
      <c r="D7" s="513">
        <v>100</v>
      </c>
      <c r="E7" s="514"/>
      <c r="F7" s="515">
        <f>SUMIF(59:59,YEAR(E7)&amp;"-"&amp;MONTH(E7),60:60)</f>
        <v>0</v>
      </c>
      <c r="G7" s="514"/>
      <c r="H7" s="513">
        <f>SUMIF(59:59,YEAR(G7)&amp;"-"&amp;MONTH(G7),60:60)</f>
        <v>0</v>
      </c>
      <c r="I7" s="514"/>
      <c r="J7" s="513">
        <f>SUMIF(59:59,YEAR(I7)&amp;"-"&amp;MONTH(I7),60:60)</f>
        <v>0</v>
      </c>
      <c r="K7" s="517"/>
      <c r="L7" s="2015"/>
      <c r="M7" s="2016"/>
      <c r="N7" s="2016"/>
      <c r="O7" s="2016"/>
      <c r="P7" s="3507" t="s">
        <v>523</v>
      </c>
      <c r="Q7" s="3507"/>
      <c r="R7" s="1500" t="s">
        <v>8</v>
      </c>
      <c r="S7" s="1501">
        <f t="shared" ref="S7:S15" si="0">F7</f>
        <v>0</v>
      </c>
      <c r="T7" s="1500" t="s">
        <v>8</v>
      </c>
      <c r="U7" s="1501">
        <f t="shared" ref="U7:U15" si="1">H7</f>
        <v>0</v>
      </c>
      <c r="V7" s="1500" t="s">
        <v>8</v>
      </c>
      <c r="W7" s="1501">
        <f t="shared" ref="W7:W15" si="2">J7</f>
        <v>0</v>
      </c>
      <c r="X7" s="1502"/>
      <c r="Y7" s="3498" t="s">
        <v>523</v>
      </c>
      <c r="Z7" s="3499"/>
      <c r="AA7" s="1503" t="e">
        <f>D7/F7</f>
        <v>#DIV/0!</v>
      </c>
      <c r="AB7" s="1503" t="e">
        <f>D7/H7</f>
        <v>#DIV/0!</v>
      </c>
      <c r="AC7" s="1503" t="e">
        <f>D7/J7</f>
        <v>#DIV/0!</v>
      </c>
    </row>
    <row r="8" spans="1:29" s="1202" customFormat="1" ht="15.75" thickBot="1">
      <c r="A8" s="2628"/>
      <c r="B8" s="2635" t="s">
        <v>524</v>
      </c>
      <c r="C8" s="518" t="s">
        <v>569</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507" t="s">
        <v>526</v>
      </c>
      <c r="Q8" s="3499"/>
      <c r="R8" s="1500" t="s">
        <v>8</v>
      </c>
      <c r="S8" s="1501">
        <f t="shared" si="0"/>
        <v>0</v>
      </c>
      <c r="T8" s="1500" t="s">
        <v>8</v>
      </c>
      <c r="U8" s="1501">
        <f t="shared" si="1"/>
        <v>0</v>
      </c>
      <c r="V8" s="1500" t="s">
        <v>8</v>
      </c>
      <c r="W8" s="1501">
        <f t="shared" si="2"/>
        <v>0</v>
      </c>
      <c r="X8" s="1502"/>
      <c r="Y8" s="3498" t="s">
        <v>526</v>
      </c>
      <c r="Z8" s="3499"/>
      <c r="AA8" s="1503" t="e">
        <f t="shared" ref="AA8:AA47" si="3">D8/F8</f>
        <v>#DIV/0!</v>
      </c>
      <c r="AB8" s="1503" t="e">
        <f t="shared" ref="AB8:AB47" si="4">D8/H8</f>
        <v>#DIV/0!</v>
      </c>
      <c r="AC8" s="1503" t="e">
        <f t="shared" ref="AC8:AC47" si="5">D8/J8</f>
        <v>#DIV/0!</v>
      </c>
    </row>
    <row r="9" spans="1:29" s="1202" customFormat="1" ht="15">
      <c r="A9" s="2629"/>
      <c r="B9" s="2636" t="s">
        <v>2736</v>
      </c>
      <c r="C9" s="845"/>
      <c r="D9" s="251">
        <v>100</v>
      </c>
      <c r="E9" s="848"/>
      <c r="F9" s="251">
        <f>SUMIF(64:64,E9,65:65)-SUMIF(64:64,C9,65:65)+100</f>
        <v>100</v>
      </c>
      <c r="G9" s="846"/>
      <c r="H9" s="251">
        <f>SUMIF(64:64,G9,65:65)-SUMIF(64:64,C9,65:65)+100</f>
        <v>100</v>
      </c>
      <c r="I9" s="846"/>
      <c r="J9" s="251">
        <f>SUMIF(64:64,I9,65:65)-SUMIF(64:64,C9,65:65)+100</f>
        <v>100</v>
      </c>
      <c r="K9" s="517"/>
      <c r="L9" s="2015"/>
      <c r="M9" s="2016"/>
      <c r="N9" s="2016"/>
      <c r="O9" s="2016"/>
      <c r="P9" s="3506" t="s">
        <v>528</v>
      </c>
      <c r="Q9" s="1133" t="str">
        <f t="shared" ref="Q9:Q15" si="6">B9</f>
        <v>用途</v>
      </c>
      <c r="R9" s="1500" t="s">
        <v>8</v>
      </c>
      <c r="S9" s="1501">
        <f t="shared" si="0"/>
        <v>100</v>
      </c>
      <c r="T9" s="1500" t="s">
        <v>8</v>
      </c>
      <c r="U9" s="1501">
        <f t="shared" si="1"/>
        <v>100</v>
      </c>
      <c r="V9" s="1500" t="s">
        <v>8</v>
      </c>
      <c r="W9" s="1501">
        <f t="shared" si="2"/>
        <v>100</v>
      </c>
      <c r="X9" s="1502"/>
      <c r="Y9" s="3457" t="s">
        <v>529</v>
      </c>
      <c r="Z9" s="1132" t="str">
        <f t="shared" ref="Z9:Z15" si="7">Q9</f>
        <v>用途</v>
      </c>
      <c r="AA9" s="1503">
        <f t="shared" si="3"/>
        <v>1</v>
      </c>
      <c r="AB9" s="1503">
        <f t="shared" si="4"/>
        <v>1</v>
      </c>
      <c r="AC9" s="1503">
        <f t="shared" si="5"/>
        <v>1</v>
      </c>
    </row>
    <row r="10" spans="1:29" s="1291" customFormat="1" ht="27">
      <c r="A10" s="2630"/>
      <c r="B10" s="2635" t="s">
        <v>2737</v>
      </c>
      <c r="C10" s="849"/>
      <c r="D10" s="252">
        <v>100</v>
      </c>
      <c r="E10" s="849"/>
      <c r="F10" s="252">
        <f>SUMIF(66:66,E10,67:67)-SUMIF(66:66,C10,67:67)+100</f>
        <v>100</v>
      </c>
      <c r="G10" s="850"/>
      <c r="H10" s="252">
        <f>SUMIF(66:66,G10,67:67)-SUMIF(66:66,C10,67:67)+100</f>
        <v>100</v>
      </c>
      <c r="I10" s="849"/>
      <c r="J10" s="252">
        <f>SUMIF(66:66,I10,67:67)-SUMIF(66:66,C10,67:67)+100</f>
        <v>100</v>
      </c>
      <c r="K10" s="577"/>
      <c r="L10" s="2018"/>
      <c r="M10" s="2057"/>
      <c r="N10" s="2057"/>
      <c r="O10" s="2057"/>
      <c r="P10" s="3506"/>
      <c r="Q10" s="1133" t="str">
        <f t="shared" si="6"/>
        <v>土地使用年限（年）</v>
      </c>
      <c r="R10" s="1500" t="s">
        <v>8</v>
      </c>
      <c r="S10" s="1501">
        <f t="shared" si="0"/>
        <v>100</v>
      </c>
      <c r="T10" s="1500" t="s">
        <v>8</v>
      </c>
      <c r="U10" s="1501">
        <f t="shared" si="1"/>
        <v>100</v>
      </c>
      <c r="V10" s="1500" t="s">
        <v>8</v>
      </c>
      <c r="W10" s="1501">
        <f t="shared" si="2"/>
        <v>100</v>
      </c>
      <c r="X10" s="1502"/>
      <c r="Y10" s="3457"/>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0"/>
      <c r="M11" s="2014"/>
      <c r="N11" s="2014"/>
      <c r="O11" s="2014"/>
      <c r="P11" s="3506"/>
      <c r="Q11" s="1133" t="str">
        <f t="shared" si="6"/>
        <v>容积率</v>
      </c>
      <c r="R11" s="1500" t="s">
        <v>8</v>
      </c>
      <c r="S11" s="1501" t="e">
        <f t="shared" si="0"/>
        <v>#N/A</v>
      </c>
      <c r="T11" s="1500" t="s">
        <v>8</v>
      </c>
      <c r="U11" s="1501" t="e">
        <f t="shared" si="1"/>
        <v>#N/A</v>
      </c>
      <c r="V11" s="1500" t="s">
        <v>8</v>
      </c>
      <c r="W11" s="1501" t="e">
        <f t="shared" si="2"/>
        <v>#N/A</v>
      </c>
      <c r="X11" s="1502"/>
      <c r="Y11" s="3457"/>
      <c r="Z11" s="1132" t="str">
        <f t="shared" si="7"/>
        <v>容积率</v>
      </c>
      <c r="AA11" s="1503" t="e">
        <f t="shared" si="3"/>
        <v>#N/A</v>
      </c>
      <c r="AB11" s="1503" t="e">
        <f t="shared" si="4"/>
        <v>#N/A</v>
      </c>
      <c r="AC11" s="1503" t="e">
        <f t="shared" si="5"/>
        <v>#N/A</v>
      </c>
    </row>
    <row r="12" spans="1:29" s="1202" customFormat="1" ht="15">
      <c r="A12" s="2632"/>
      <c r="B12" s="2638">
        <v>111</v>
      </c>
      <c r="C12" s="521"/>
      <c r="D12" s="531">
        <v>100</v>
      </c>
      <c r="E12" s="521"/>
      <c r="F12" s="252">
        <f>SUMIF(71:71,E12,72:72)-SUMIF(71:71,C12,72:72)+100</f>
        <v>100</v>
      </c>
      <c r="G12" s="898"/>
      <c r="H12" s="252">
        <f>SUMIF(71:71,G12,72:72)-SUMIF(71:71,C12,72:72)+100</f>
        <v>100</v>
      </c>
      <c r="I12" s="521"/>
      <c r="J12" s="252">
        <f>SUMIF(71:71,I12,72:72)-SUMIF(71:71,C12,72:72)+100</f>
        <v>100</v>
      </c>
      <c r="K12" s="574"/>
      <c r="L12" s="2015"/>
      <c r="M12" s="2016"/>
      <c r="N12" s="2016"/>
      <c r="O12" s="2016"/>
      <c r="P12" s="3506"/>
      <c r="Q12" s="1133">
        <f t="shared" si="6"/>
        <v>111</v>
      </c>
      <c r="R12" s="1500" t="s">
        <v>8</v>
      </c>
      <c r="S12" s="1501">
        <f t="shared" si="0"/>
        <v>100</v>
      </c>
      <c r="T12" s="1500" t="s">
        <v>8</v>
      </c>
      <c r="U12" s="1501">
        <f t="shared" si="1"/>
        <v>100</v>
      </c>
      <c r="V12" s="1500" t="s">
        <v>8</v>
      </c>
      <c r="W12" s="1501">
        <f t="shared" si="2"/>
        <v>100</v>
      </c>
      <c r="X12" s="1502"/>
      <c r="Y12" s="3457"/>
      <c r="Z12" s="1132">
        <f t="shared" si="7"/>
        <v>111</v>
      </c>
      <c r="AA12" s="1503">
        <f>D12/F12</f>
        <v>1</v>
      </c>
      <c r="AB12" s="1503">
        <f>D12/H12</f>
        <v>1</v>
      </c>
      <c r="AC12" s="1503">
        <f>D12/J12</f>
        <v>1</v>
      </c>
    </row>
    <row r="13" spans="1:29" ht="15">
      <c r="A13" s="2632"/>
      <c r="B13" s="2638">
        <v>111</v>
      </c>
      <c r="C13" s="532"/>
      <c r="D13" s="533">
        <v>100</v>
      </c>
      <c r="E13" s="521"/>
      <c r="F13" s="252">
        <f>SUMIF(73:73,E13,74:74)-SUMIF(73:73,C13,74:74)+100</f>
        <v>100</v>
      </c>
      <c r="G13" s="898"/>
      <c r="H13" s="533">
        <f>SUMIF(73:73,G13,74:74)-SUMIF(73:73,C13,74:74)+100</f>
        <v>100</v>
      </c>
      <c r="I13" s="521"/>
      <c r="J13" s="533">
        <f>SUMIF(73:73,I13,74:74)-SUMIF(73:73,C13,74:74)+100</f>
        <v>100</v>
      </c>
      <c r="K13" s="574"/>
      <c r="L13" s="2022"/>
      <c r="M13" s="2014"/>
      <c r="N13" s="2014"/>
      <c r="O13" s="2014"/>
      <c r="P13" s="3506"/>
      <c r="Q13" s="1133">
        <f t="shared" si="6"/>
        <v>111</v>
      </c>
      <c r="R13" s="1500" t="s">
        <v>8</v>
      </c>
      <c r="S13" s="1501">
        <f t="shared" si="0"/>
        <v>100</v>
      </c>
      <c r="T13" s="1500" t="s">
        <v>8</v>
      </c>
      <c r="U13" s="1501">
        <f t="shared" si="1"/>
        <v>100</v>
      </c>
      <c r="V13" s="1500" t="s">
        <v>8</v>
      </c>
      <c r="W13" s="1501">
        <f t="shared" si="2"/>
        <v>100</v>
      </c>
      <c r="X13" s="1502"/>
      <c r="Y13" s="3457"/>
      <c r="Z13" s="1132">
        <f t="shared" si="7"/>
        <v>111</v>
      </c>
      <c r="AA13" s="1503">
        <f t="shared" si="3"/>
        <v>1</v>
      </c>
      <c r="AB13" s="1503">
        <f t="shared" si="4"/>
        <v>1</v>
      </c>
      <c r="AC13" s="1503">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506"/>
      <c r="Q14" s="1133">
        <f t="shared" si="6"/>
        <v>111</v>
      </c>
      <c r="R14" s="1500" t="s">
        <v>8</v>
      </c>
      <c r="S14" s="1501">
        <f t="shared" si="0"/>
        <v>100</v>
      </c>
      <c r="T14" s="1500" t="s">
        <v>8</v>
      </c>
      <c r="U14" s="1501">
        <f t="shared" si="1"/>
        <v>100</v>
      </c>
      <c r="V14" s="1500" t="s">
        <v>8</v>
      </c>
      <c r="W14" s="1501">
        <f t="shared" si="2"/>
        <v>100</v>
      </c>
      <c r="X14" s="1502"/>
      <c r="Y14" s="3457"/>
      <c r="Z14" s="1132">
        <f t="shared" si="7"/>
        <v>111</v>
      </c>
      <c r="AA14" s="1503">
        <f t="shared" si="3"/>
        <v>1</v>
      </c>
      <c r="AB14" s="1503">
        <f t="shared" si="4"/>
        <v>1</v>
      </c>
      <c r="AC14" s="1503">
        <f t="shared" si="5"/>
        <v>1</v>
      </c>
    </row>
    <row r="15" spans="1:29" ht="71.25">
      <c r="A15" s="2625" t="s">
        <v>2734</v>
      </c>
      <c r="B15" s="540" t="s">
        <v>535</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2"/>
      <c r="M15" s="2014"/>
      <c r="N15" s="2014"/>
      <c r="O15" s="2014"/>
      <c r="P15" s="3508" t="s">
        <v>533</v>
      </c>
      <c r="Q15" s="1504" t="str">
        <f t="shared" si="6"/>
        <v>办公集聚程度</v>
      </c>
      <c r="R15" s="1505" t="s">
        <v>8</v>
      </c>
      <c r="S15" s="1506">
        <f t="shared" si="0"/>
        <v>100</v>
      </c>
      <c r="T15" s="1505" t="s">
        <v>8</v>
      </c>
      <c r="U15" s="1506">
        <f t="shared" si="1"/>
        <v>100</v>
      </c>
      <c r="V15" s="1505" t="s">
        <v>8</v>
      </c>
      <c r="W15" s="1506">
        <f t="shared" si="2"/>
        <v>100</v>
      </c>
      <c r="X15" s="1499"/>
      <c r="Y15" s="3508" t="s">
        <v>533</v>
      </c>
      <c r="Z15" s="1507" t="str">
        <f t="shared" si="7"/>
        <v>办公集聚程度</v>
      </c>
      <c r="AA15" s="1508">
        <f t="shared" si="3"/>
        <v>1</v>
      </c>
      <c r="AB15" s="1508">
        <f t="shared" si="4"/>
        <v>1</v>
      </c>
      <c r="AC15" s="1508">
        <f t="shared" si="5"/>
        <v>1</v>
      </c>
    </row>
    <row r="16" spans="1:29" ht="15">
      <c r="A16" s="525"/>
      <c r="B16" s="546"/>
      <c r="C16" s="547"/>
      <c r="D16" s="548"/>
      <c r="E16" s="569"/>
      <c r="F16" s="548"/>
      <c r="G16" s="547"/>
      <c r="H16" s="552"/>
      <c r="I16" s="569"/>
      <c r="J16" s="548"/>
      <c r="K16" s="887"/>
      <c r="L16" s="2022"/>
      <c r="M16" s="2014"/>
      <c r="N16" s="2014"/>
      <c r="O16" s="2014"/>
      <c r="P16" s="3509"/>
      <c r="Q16" s="1504"/>
      <c r="R16" s="1505"/>
      <c r="S16" s="1506"/>
      <c r="T16" s="1505"/>
      <c r="U16" s="1506"/>
      <c r="V16" s="1505"/>
      <c r="W16" s="1506"/>
      <c r="X16" s="1499"/>
      <c r="Y16" s="3509"/>
      <c r="Z16" s="1507"/>
      <c r="AA16" s="1508">
        <v>1</v>
      </c>
      <c r="AB16" s="1508">
        <v>1</v>
      </c>
      <c r="AC16" s="1508">
        <v>1</v>
      </c>
    </row>
    <row r="17" spans="1:29" ht="85.5">
      <c r="A17" s="525"/>
      <c r="B17" s="553" t="s">
        <v>295</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2"/>
      <c r="M17" s="2014"/>
      <c r="N17" s="2014"/>
      <c r="O17" s="2014"/>
      <c r="P17" s="3509"/>
      <c r="Q17" s="1504" t="str">
        <f>B17</f>
        <v>交通便捷度</v>
      </c>
      <c r="R17" s="1505" t="s">
        <v>8</v>
      </c>
      <c r="S17" s="1506">
        <f>F17</f>
        <v>100</v>
      </c>
      <c r="T17" s="1505" t="s">
        <v>8</v>
      </c>
      <c r="U17" s="1506">
        <f>H17</f>
        <v>100</v>
      </c>
      <c r="V17" s="1505" t="s">
        <v>8</v>
      </c>
      <c r="W17" s="1506">
        <f>J17</f>
        <v>100</v>
      </c>
      <c r="X17" s="1499"/>
      <c r="Y17" s="3509"/>
      <c r="Z17" s="1507" t="str">
        <f>Q17</f>
        <v>交通便捷度</v>
      </c>
      <c r="AA17" s="1508">
        <f t="shared" si="3"/>
        <v>1</v>
      </c>
      <c r="AB17" s="1508">
        <f t="shared" si="4"/>
        <v>1</v>
      </c>
      <c r="AC17" s="1508">
        <f t="shared" si="5"/>
        <v>1</v>
      </c>
    </row>
    <row r="18" spans="1:29" ht="15">
      <c r="A18" s="525"/>
      <c r="B18" s="559"/>
      <c r="C18" s="560"/>
      <c r="D18" s="552"/>
      <c r="E18" s="562"/>
      <c r="F18" s="552"/>
      <c r="G18" s="561"/>
      <c r="H18" s="548"/>
      <c r="I18" s="561"/>
      <c r="J18" s="548"/>
      <c r="K18" s="887"/>
      <c r="L18" s="2022"/>
      <c r="M18" s="2014"/>
      <c r="N18" s="2014"/>
      <c r="O18" s="2014"/>
      <c r="P18" s="3509"/>
      <c r="Q18" s="1504"/>
      <c r="R18" s="1505"/>
      <c r="S18" s="1506"/>
      <c r="T18" s="1505"/>
      <c r="U18" s="1506"/>
      <c r="V18" s="1505"/>
      <c r="W18" s="1506"/>
      <c r="X18" s="1499"/>
      <c r="Y18" s="3509"/>
      <c r="Z18" s="1507"/>
      <c r="AA18" s="1508">
        <v>1</v>
      </c>
      <c r="AB18" s="1508">
        <v>1</v>
      </c>
      <c r="AC18" s="1508">
        <v>1</v>
      </c>
    </row>
    <row r="19" spans="1:29" ht="42.75">
      <c r="A19" s="525"/>
      <c r="B19" s="2445"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2"/>
      <c r="M19" s="2014"/>
      <c r="N19" s="2014"/>
      <c r="O19" s="2014"/>
      <c r="P19" s="3509"/>
      <c r="Q19" s="1504" t="str">
        <f>B19</f>
        <v>公共配套设施</v>
      </c>
      <c r="R19" s="1505" t="s">
        <v>8</v>
      </c>
      <c r="S19" s="1506">
        <f>F19</f>
        <v>100</v>
      </c>
      <c r="T19" s="1505" t="s">
        <v>8</v>
      </c>
      <c r="U19" s="1506">
        <f>H19</f>
        <v>100</v>
      </c>
      <c r="V19" s="1505" t="s">
        <v>8</v>
      </c>
      <c r="W19" s="1506">
        <f>J19</f>
        <v>100</v>
      </c>
      <c r="X19" s="1499"/>
      <c r="Y19" s="3509"/>
      <c r="Z19" s="1507" t="str">
        <f>Q19</f>
        <v>公共配套设施</v>
      </c>
      <c r="AA19" s="1508">
        <f t="shared" si="3"/>
        <v>1</v>
      </c>
      <c r="AB19" s="1508">
        <f t="shared" si="4"/>
        <v>1</v>
      </c>
      <c r="AC19" s="1508">
        <f t="shared" si="5"/>
        <v>1</v>
      </c>
    </row>
    <row r="20" spans="1:29" ht="15">
      <c r="A20" s="525"/>
      <c r="B20" s="559"/>
      <c r="C20" s="547"/>
      <c r="D20" s="548"/>
      <c r="E20" s="551"/>
      <c r="F20" s="548"/>
      <c r="G20" s="549"/>
      <c r="H20" s="548"/>
      <c r="I20" s="549"/>
      <c r="J20" s="548"/>
      <c r="K20" s="887"/>
      <c r="L20" s="2022"/>
      <c r="M20" s="2014"/>
      <c r="N20" s="2014"/>
      <c r="O20" s="2014"/>
      <c r="P20" s="3509"/>
      <c r="Q20" s="1504"/>
      <c r="R20" s="1505"/>
      <c r="S20" s="1506"/>
      <c r="T20" s="1505"/>
      <c r="U20" s="1506"/>
      <c r="V20" s="1505"/>
      <c r="W20" s="1506"/>
      <c r="X20" s="1499"/>
      <c r="Y20" s="3509"/>
      <c r="Z20" s="1507"/>
      <c r="AA20" s="1508">
        <v>1</v>
      </c>
      <c r="AB20" s="1508">
        <v>1</v>
      </c>
      <c r="AC20" s="1508">
        <v>1</v>
      </c>
    </row>
    <row r="21" spans="1:29" ht="28.5">
      <c r="A21" s="525"/>
      <c r="B21" s="2433"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509"/>
      <c r="Q21" s="2427" t="str">
        <f>B21</f>
        <v>基础设施水平</v>
      </c>
      <c r="R21" s="1505" t="s">
        <v>8</v>
      </c>
      <c r="S21" s="1506">
        <f>F21</f>
        <v>100</v>
      </c>
      <c r="T21" s="1505" t="s">
        <v>8</v>
      </c>
      <c r="U21" s="1506">
        <f>H21</f>
        <v>100</v>
      </c>
      <c r="V21" s="1505" t="s">
        <v>8</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571"/>
      <c r="C22" s="560"/>
      <c r="D22" s="548"/>
      <c r="E22" s="569"/>
      <c r="F22" s="548"/>
      <c r="G22" s="547"/>
      <c r="H22" s="548"/>
      <c r="I22" s="547"/>
      <c r="J22" s="548"/>
      <c r="K22" s="2444"/>
      <c r="L22" s="2022"/>
      <c r="M22" s="2014"/>
      <c r="N22" s="2014"/>
      <c r="O22" s="2014"/>
      <c r="P22" s="3509"/>
      <c r="Q22" s="2427"/>
      <c r="R22" s="1505"/>
      <c r="S22" s="1506"/>
      <c r="T22" s="1505"/>
      <c r="U22" s="1506"/>
      <c r="V22" s="1505"/>
      <c r="W22" s="1506"/>
      <c r="X22" s="2429"/>
      <c r="Y22" s="3509"/>
      <c r="Z22" s="2428"/>
      <c r="AA22" s="1508">
        <v>1</v>
      </c>
      <c r="AB22" s="1508">
        <v>1</v>
      </c>
      <c r="AC22" s="1508">
        <v>1</v>
      </c>
    </row>
    <row r="23" spans="1:29" ht="57">
      <c r="A23" s="525"/>
      <c r="B23" s="553" t="s">
        <v>771</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2"/>
      <c r="M23" s="2014"/>
      <c r="N23" s="2014"/>
      <c r="O23" s="2014"/>
      <c r="P23" s="3509"/>
      <c r="Q23" s="1504" t="str">
        <f>B23</f>
        <v>环境质量</v>
      </c>
      <c r="R23" s="1505" t="s">
        <v>8</v>
      </c>
      <c r="S23" s="1506">
        <f>F23</f>
        <v>100</v>
      </c>
      <c r="T23" s="1505" t="s">
        <v>8</v>
      </c>
      <c r="U23" s="1506">
        <f>H23</f>
        <v>100</v>
      </c>
      <c r="V23" s="1505" t="s">
        <v>8</v>
      </c>
      <c r="W23" s="1506">
        <f>J23</f>
        <v>100</v>
      </c>
      <c r="X23" s="1499"/>
      <c r="Y23" s="3509"/>
      <c r="Z23" s="1507" t="str">
        <f>Q23</f>
        <v>环境质量</v>
      </c>
      <c r="AA23" s="1508">
        <f t="shared" si="3"/>
        <v>1</v>
      </c>
      <c r="AB23" s="1508">
        <f t="shared" si="4"/>
        <v>1</v>
      </c>
      <c r="AC23" s="1508">
        <f t="shared" si="5"/>
        <v>1</v>
      </c>
    </row>
    <row r="24" spans="1:29" ht="15">
      <c r="A24" s="525"/>
      <c r="B24" s="571"/>
      <c r="C24" s="547"/>
      <c r="D24" s="548"/>
      <c r="E24" s="551"/>
      <c r="F24" s="548"/>
      <c r="G24" s="549"/>
      <c r="H24" s="548"/>
      <c r="I24" s="549"/>
      <c r="J24" s="548"/>
      <c r="K24" s="887"/>
      <c r="L24" s="2022"/>
      <c r="M24" s="2014"/>
      <c r="N24" s="2014"/>
      <c r="O24" s="2014"/>
      <c r="P24" s="3509"/>
      <c r="Q24" s="1504"/>
      <c r="R24" s="1505"/>
      <c r="S24" s="1506"/>
      <c r="T24" s="1505"/>
      <c r="U24" s="1506"/>
      <c r="V24" s="1505"/>
      <c r="W24" s="1506"/>
      <c r="X24" s="1499"/>
      <c r="Y24" s="3509"/>
      <c r="Z24" s="1507"/>
      <c r="AA24" s="1508">
        <v>1</v>
      </c>
      <c r="AB24" s="1508">
        <v>1</v>
      </c>
      <c r="AC24" s="1508">
        <v>1</v>
      </c>
    </row>
    <row r="25" spans="1:29" ht="27">
      <c r="A25" s="508"/>
      <c r="B25" s="553" t="s">
        <v>541</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509"/>
      <c r="Q25" s="1504" t="str">
        <f>B25</f>
        <v>毗邻道路的类型与等级</v>
      </c>
      <c r="R25" s="1505" t="s">
        <v>8</v>
      </c>
      <c r="S25" s="1506">
        <f>F25</f>
        <v>100</v>
      </c>
      <c r="T25" s="1505" t="s">
        <v>8</v>
      </c>
      <c r="U25" s="1506">
        <f>H25</f>
        <v>100</v>
      </c>
      <c r="V25" s="1505" t="s">
        <v>8</v>
      </c>
      <c r="W25" s="1506">
        <f>J25</f>
        <v>100</v>
      </c>
      <c r="X25" s="1499"/>
      <c r="Y25" s="3509"/>
      <c r="Z25" s="1507" t="str">
        <f>Q25</f>
        <v>毗邻道路的类型与等级</v>
      </c>
      <c r="AA25" s="1508">
        <f t="shared" si="3"/>
        <v>1</v>
      </c>
      <c r="AB25" s="1508">
        <f t="shared" si="4"/>
        <v>1</v>
      </c>
      <c r="AC25" s="1508">
        <f t="shared" si="5"/>
        <v>1</v>
      </c>
    </row>
    <row r="26" spans="1:29" ht="15">
      <c r="A26" s="508"/>
      <c r="B26" s="559"/>
      <c r="C26" s="573"/>
      <c r="D26" s="533"/>
      <c r="E26" s="576"/>
      <c r="F26" s="533"/>
      <c r="G26" s="573"/>
      <c r="H26" s="533"/>
      <c r="I26" s="576"/>
      <c r="J26" s="533"/>
      <c r="K26" s="887"/>
      <c r="L26" s="2022"/>
      <c r="M26" s="2014"/>
      <c r="N26" s="2014"/>
      <c r="O26" s="2014"/>
      <c r="P26" s="3509"/>
      <c r="Q26" s="1504"/>
      <c r="R26" s="1505"/>
      <c r="S26" s="1506"/>
      <c r="T26" s="1505"/>
      <c r="U26" s="1506"/>
      <c r="V26" s="1505"/>
      <c r="W26" s="1506"/>
      <c r="X26" s="1499"/>
      <c r="Y26" s="3509"/>
      <c r="Z26" s="1507"/>
      <c r="AA26" s="1508">
        <v>1</v>
      </c>
      <c r="AB26" s="1508">
        <v>1</v>
      </c>
      <c r="AC26" s="1508">
        <v>1</v>
      </c>
    </row>
    <row r="27" spans="1:29" ht="15">
      <c r="A27" s="525"/>
      <c r="B27" s="559" t="s">
        <v>754</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509"/>
      <c r="Q27" s="1504" t="str">
        <f t="shared" ref="Q27:Q47" si="11">B27</f>
        <v>楼层</v>
      </c>
      <c r="R27" s="1505" t="s">
        <v>8</v>
      </c>
      <c r="S27" s="1506">
        <f>F27</f>
        <v>100</v>
      </c>
      <c r="T27" s="1505" t="s">
        <v>8</v>
      </c>
      <c r="U27" s="1506">
        <f>H27</f>
        <v>100</v>
      </c>
      <c r="V27" s="1505" t="s">
        <v>8</v>
      </c>
      <c r="W27" s="1506">
        <f>J27</f>
        <v>100</v>
      </c>
      <c r="X27" s="1499"/>
      <c r="Y27" s="3509"/>
      <c r="Z27" s="1507" t="str">
        <f>Q27</f>
        <v>楼层</v>
      </c>
      <c r="AA27" s="1508">
        <f t="shared" si="3"/>
        <v>1</v>
      </c>
      <c r="AB27" s="1508">
        <f t="shared" si="4"/>
        <v>1</v>
      </c>
      <c r="AC27" s="1508">
        <f t="shared" si="5"/>
        <v>1</v>
      </c>
    </row>
    <row r="28" spans="1:29" s="1202" customFormat="1" ht="15">
      <c r="A28" s="529"/>
      <c r="B28" s="553" t="s">
        <v>772</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509"/>
      <c r="Q28" s="1133" t="str">
        <f t="shared" si="11"/>
        <v>朝向</v>
      </c>
      <c r="R28" s="1500" t="s">
        <v>8</v>
      </c>
      <c r="S28" s="1501">
        <f>F28</f>
        <v>100</v>
      </c>
      <c r="T28" s="1500" t="s">
        <v>8</v>
      </c>
      <c r="U28" s="1501">
        <f>H28</f>
        <v>100</v>
      </c>
      <c r="V28" s="1500" t="s">
        <v>8</v>
      </c>
      <c r="W28" s="1501">
        <f>J28</f>
        <v>100</v>
      </c>
      <c r="X28" s="1502"/>
      <c r="Y28" s="3509"/>
      <c r="Z28" s="1132" t="str">
        <f>Q28</f>
        <v>朝向</v>
      </c>
      <c r="AA28" s="1508">
        <f>D28/F28</f>
        <v>1</v>
      </c>
      <c r="AB28" s="1508">
        <f>D28/H28</f>
        <v>1</v>
      </c>
      <c r="AC28" s="1508">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509"/>
      <c r="Q29" s="1504">
        <f t="shared" si="11"/>
        <v>111</v>
      </c>
      <c r="R29" s="1505" t="s">
        <v>8</v>
      </c>
      <c r="S29" s="1506">
        <f t="shared" ref="S29:S47" si="12">F29</f>
        <v>100</v>
      </c>
      <c r="T29" s="1505" t="s">
        <v>8</v>
      </c>
      <c r="U29" s="1506">
        <f t="shared" ref="U29:U47" si="13">H29</f>
        <v>100</v>
      </c>
      <c r="V29" s="1505" t="s">
        <v>8</v>
      </c>
      <c r="W29" s="1506">
        <f t="shared" ref="W29:W47" si="14">J29</f>
        <v>100</v>
      </c>
      <c r="X29" s="1499"/>
      <c r="Y29" s="3509"/>
      <c r="Z29" s="1507">
        <f t="shared" ref="Z29:Z47" si="15">Q29</f>
        <v>111</v>
      </c>
      <c r="AA29" s="1508">
        <f t="shared" si="3"/>
        <v>1</v>
      </c>
      <c r="AB29" s="1508">
        <f t="shared" si="4"/>
        <v>1</v>
      </c>
      <c r="AC29" s="1508">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509"/>
      <c r="Q30" s="1504">
        <f t="shared" si="11"/>
        <v>111</v>
      </c>
      <c r="R30" s="1505" t="s">
        <v>8</v>
      </c>
      <c r="S30" s="1506">
        <f t="shared" si="12"/>
        <v>100</v>
      </c>
      <c r="T30" s="1505" t="s">
        <v>8</v>
      </c>
      <c r="U30" s="1506">
        <f t="shared" si="13"/>
        <v>100</v>
      </c>
      <c r="V30" s="1505" t="s">
        <v>8</v>
      </c>
      <c r="W30" s="1506">
        <f t="shared" si="14"/>
        <v>100</v>
      </c>
      <c r="X30" s="1499"/>
      <c r="Y30" s="3509"/>
      <c r="Z30" s="1507">
        <f t="shared" si="15"/>
        <v>111</v>
      </c>
      <c r="AA30" s="1508">
        <f t="shared" si="3"/>
        <v>1</v>
      </c>
      <c r="AB30" s="1508">
        <f t="shared" si="4"/>
        <v>1</v>
      </c>
      <c r="AC30" s="1508">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509"/>
      <c r="Q31" s="1504">
        <f t="shared" si="11"/>
        <v>111</v>
      </c>
      <c r="R31" s="1505" t="s">
        <v>8</v>
      </c>
      <c r="S31" s="1506">
        <f t="shared" si="12"/>
        <v>100</v>
      </c>
      <c r="T31" s="1505" t="s">
        <v>8</v>
      </c>
      <c r="U31" s="1506">
        <f t="shared" si="13"/>
        <v>100</v>
      </c>
      <c r="V31" s="1505" t="s">
        <v>8</v>
      </c>
      <c r="W31" s="1506">
        <f t="shared" si="14"/>
        <v>100</v>
      </c>
      <c r="X31" s="1499"/>
      <c r="Y31" s="3509"/>
      <c r="Z31" s="1507">
        <f t="shared" si="15"/>
        <v>111</v>
      </c>
      <c r="AA31" s="1508">
        <f t="shared" si="3"/>
        <v>1</v>
      </c>
      <c r="AB31" s="1508">
        <f t="shared" si="4"/>
        <v>1</v>
      </c>
      <c r="AC31" s="1508">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509"/>
      <c r="Q32" s="1504">
        <f t="shared" si="11"/>
        <v>111</v>
      </c>
      <c r="R32" s="1505" t="s">
        <v>8</v>
      </c>
      <c r="S32" s="1506">
        <f t="shared" si="12"/>
        <v>100</v>
      </c>
      <c r="T32" s="1505" t="s">
        <v>8</v>
      </c>
      <c r="U32" s="1506">
        <f t="shared" si="13"/>
        <v>100</v>
      </c>
      <c r="V32" s="1505" t="s">
        <v>8</v>
      </c>
      <c r="W32" s="1506">
        <f t="shared" si="14"/>
        <v>100</v>
      </c>
      <c r="X32" s="1499"/>
      <c r="Y32" s="3509"/>
      <c r="Z32" s="1507">
        <f t="shared" si="15"/>
        <v>111</v>
      </c>
      <c r="AA32" s="1508">
        <f t="shared" si="3"/>
        <v>1</v>
      </c>
      <c r="AB32" s="1508">
        <f t="shared" si="4"/>
        <v>1</v>
      </c>
      <c r="AC32" s="1508">
        <f t="shared" si="5"/>
        <v>1</v>
      </c>
    </row>
    <row r="33" spans="1:29" ht="15">
      <c r="A33" s="2622" t="s">
        <v>2735</v>
      </c>
      <c r="B33" s="170" t="s">
        <v>773</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2"/>
      <c r="M33" s="2014"/>
      <c r="N33" s="2014"/>
      <c r="O33" s="2014"/>
      <c r="P33" s="3510" t="s">
        <v>543</v>
      </c>
      <c r="Q33" s="1504" t="str">
        <f t="shared" si="11"/>
        <v>建筑类型</v>
      </c>
      <c r="R33" s="1505" t="s">
        <v>8</v>
      </c>
      <c r="S33" s="1506">
        <f t="shared" si="12"/>
        <v>100</v>
      </c>
      <c r="T33" s="1505" t="s">
        <v>8</v>
      </c>
      <c r="U33" s="1506">
        <f t="shared" si="13"/>
        <v>100</v>
      </c>
      <c r="V33" s="1505" t="s">
        <v>8</v>
      </c>
      <c r="W33" s="1506">
        <f t="shared" si="14"/>
        <v>100</v>
      </c>
      <c r="X33" s="1499"/>
      <c r="Y33" s="3511" t="s">
        <v>543</v>
      </c>
      <c r="Z33" s="1507" t="str">
        <f t="shared" si="15"/>
        <v>建筑类型</v>
      </c>
      <c r="AA33" s="1508">
        <f t="shared" si="3"/>
        <v>1</v>
      </c>
      <c r="AB33" s="1508">
        <f t="shared" si="4"/>
        <v>1</v>
      </c>
      <c r="AC33" s="1508">
        <f t="shared" si="5"/>
        <v>1</v>
      </c>
    </row>
    <row r="34" spans="1:29" s="1292" customFormat="1" ht="15">
      <c r="A34" s="596"/>
      <c r="B34" s="520" t="s">
        <v>719</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0"/>
      <c r="M34" s="2050"/>
      <c r="N34" s="2050"/>
      <c r="O34" s="2050"/>
      <c r="P34" s="3511"/>
      <c r="Q34" s="1533" t="str">
        <f t="shared" si="11"/>
        <v>项目建筑规模</v>
      </c>
      <c r="R34" s="1509" t="s">
        <v>8</v>
      </c>
      <c r="S34" s="1510" t="e">
        <f t="shared" si="12"/>
        <v>#N/A</v>
      </c>
      <c r="T34" s="1509" t="s">
        <v>8</v>
      </c>
      <c r="U34" s="1510" t="e">
        <f t="shared" si="13"/>
        <v>#N/A</v>
      </c>
      <c r="V34" s="1509" t="s">
        <v>8</v>
      </c>
      <c r="W34" s="1510" t="e">
        <f t="shared" si="14"/>
        <v>#N/A</v>
      </c>
      <c r="X34" s="1511"/>
      <c r="Y34" s="3511"/>
      <c r="Z34" s="1512" t="str">
        <f t="shared" si="15"/>
        <v>项目建筑规模</v>
      </c>
      <c r="AA34" s="1508" t="e">
        <f t="shared" si="3"/>
        <v>#N/A</v>
      </c>
      <c r="AB34" s="1508" t="e">
        <f t="shared" si="4"/>
        <v>#N/A</v>
      </c>
      <c r="AC34" s="1508" t="e">
        <f t="shared" si="5"/>
        <v>#N/A</v>
      </c>
    </row>
    <row r="35" spans="1:29" ht="15">
      <c r="A35" s="587"/>
      <c r="B35" s="520" t="s">
        <v>720</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511"/>
      <c r="Q35" s="1504" t="str">
        <f t="shared" si="11"/>
        <v>建筑结构</v>
      </c>
      <c r="R35" s="1505" t="s">
        <v>8</v>
      </c>
      <c r="S35" s="1506">
        <f t="shared" si="12"/>
        <v>100</v>
      </c>
      <c r="T35" s="1505" t="s">
        <v>8</v>
      </c>
      <c r="U35" s="1506">
        <f t="shared" si="13"/>
        <v>100</v>
      </c>
      <c r="V35" s="1505" t="s">
        <v>8</v>
      </c>
      <c r="W35" s="1506">
        <f t="shared" si="14"/>
        <v>100</v>
      </c>
      <c r="X35" s="1499"/>
      <c r="Y35" s="3511"/>
      <c r="Z35" s="1507" t="str">
        <f t="shared" si="15"/>
        <v>建筑结构</v>
      </c>
      <c r="AA35" s="1508">
        <f t="shared" si="3"/>
        <v>1</v>
      </c>
      <c r="AB35" s="1508">
        <f t="shared" si="4"/>
        <v>1</v>
      </c>
      <c r="AC35" s="1508">
        <f t="shared" si="5"/>
        <v>1</v>
      </c>
    </row>
    <row r="36" spans="1:29" ht="15">
      <c r="A36" s="587"/>
      <c r="B36" s="520" t="s">
        <v>756</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511"/>
      <c r="Q36" s="1504" t="str">
        <f t="shared" si="11"/>
        <v>公共部分装修</v>
      </c>
      <c r="R36" s="1505" t="s">
        <v>8</v>
      </c>
      <c r="S36" s="1506">
        <f t="shared" si="12"/>
        <v>100</v>
      </c>
      <c r="T36" s="1505" t="s">
        <v>8</v>
      </c>
      <c r="U36" s="1506">
        <f t="shared" si="13"/>
        <v>100</v>
      </c>
      <c r="V36" s="1505" t="s">
        <v>8</v>
      </c>
      <c r="W36" s="1506">
        <f t="shared" si="14"/>
        <v>100</v>
      </c>
      <c r="X36" s="1499"/>
      <c r="Y36" s="3511"/>
      <c r="Z36" s="1507" t="str">
        <f t="shared" si="15"/>
        <v>公共部分装修</v>
      </c>
      <c r="AA36" s="1508">
        <f t="shared" si="3"/>
        <v>1</v>
      </c>
      <c r="AB36" s="1508">
        <f t="shared" si="4"/>
        <v>1</v>
      </c>
      <c r="AC36" s="1508">
        <f t="shared" si="5"/>
        <v>1</v>
      </c>
    </row>
    <row r="37" spans="1:29" ht="15">
      <c r="A37" s="587"/>
      <c r="B37" s="520" t="s">
        <v>757</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2"/>
      <c r="M37" s="2014"/>
      <c r="N37" s="2014"/>
      <c r="O37" s="2014"/>
      <c r="P37" s="3511"/>
      <c r="Q37" s="1504" t="str">
        <f t="shared" si="11"/>
        <v>成新度</v>
      </c>
      <c r="R37" s="1505" t="s">
        <v>8</v>
      </c>
      <c r="S37" s="1506" t="e">
        <f t="shared" si="12"/>
        <v>#N/A</v>
      </c>
      <c r="T37" s="1505" t="s">
        <v>8</v>
      </c>
      <c r="U37" s="1506" t="e">
        <f t="shared" si="13"/>
        <v>#N/A</v>
      </c>
      <c r="V37" s="1505" t="s">
        <v>8</v>
      </c>
      <c r="W37" s="1506" t="e">
        <f t="shared" si="14"/>
        <v>#N/A</v>
      </c>
      <c r="X37" s="1499"/>
      <c r="Y37" s="3511"/>
      <c r="Z37" s="1507" t="str">
        <f t="shared" si="15"/>
        <v>成新度</v>
      </c>
      <c r="AA37" s="1508" t="e">
        <f t="shared" si="3"/>
        <v>#N/A</v>
      </c>
      <c r="AB37" s="1508" t="e">
        <f t="shared" si="4"/>
        <v>#N/A</v>
      </c>
      <c r="AC37" s="1508" t="e">
        <f t="shared" si="5"/>
        <v>#N/A</v>
      </c>
    </row>
    <row r="38" spans="1:29" s="1202" customFormat="1" ht="15">
      <c r="A38" s="593"/>
      <c r="B38" s="520" t="s">
        <v>774</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511"/>
      <c r="Q38" s="1133" t="str">
        <f t="shared" si="11"/>
        <v>写字楼等级</v>
      </c>
      <c r="R38" s="1500" t="s">
        <v>8</v>
      </c>
      <c r="S38" s="1501">
        <f t="shared" si="12"/>
        <v>100</v>
      </c>
      <c r="T38" s="1500" t="s">
        <v>8</v>
      </c>
      <c r="U38" s="1501">
        <f t="shared" si="13"/>
        <v>100</v>
      </c>
      <c r="V38" s="1500" t="s">
        <v>8</v>
      </c>
      <c r="W38" s="1501">
        <f t="shared" si="14"/>
        <v>100</v>
      </c>
      <c r="X38" s="1502"/>
      <c r="Y38" s="3511"/>
      <c r="Z38" s="1132" t="str">
        <f t="shared" si="15"/>
        <v>写字楼等级</v>
      </c>
      <c r="AA38" s="1503">
        <f t="shared" si="3"/>
        <v>1</v>
      </c>
      <c r="AB38" s="1503">
        <f t="shared" si="4"/>
        <v>1</v>
      </c>
      <c r="AC38" s="1503">
        <f t="shared" si="5"/>
        <v>1</v>
      </c>
    </row>
    <row r="39" spans="1:29" ht="15">
      <c r="A39" s="587"/>
      <c r="B39" s="520" t="s">
        <v>775</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511" t="s">
        <v>543</v>
      </c>
      <c r="Q39" s="1504" t="str">
        <f t="shared" si="11"/>
        <v>物业管理</v>
      </c>
      <c r="R39" s="1505" t="s">
        <v>8</v>
      </c>
      <c r="S39" s="1506">
        <f t="shared" si="12"/>
        <v>100</v>
      </c>
      <c r="T39" s="1505" t="s">
        <v>8</v>
      </c>
      <c r="U39" s="1506">
        <f t="shared" si="13"/>
        <v>100</v>
      </c>
      <c r="V39" s="1505" t="s">
        <v>8</v>
      </c>
      <c r="W39" s="1506">
        <f t="shared" si="14"/>
        <v>100</v>
      </c>
      <c r="X39" s="1499"/>
      <c r="Y39" s="3511" t="s">
        <v>543</v>
      </c>
      <c r="Z39" s="1507" t="str">
        <f t="shared" si="15"/>
        <v>物业管理</v>
      </c>
      <c r="AA39" s="1508">
        <f t="shared" si="3"/>
        <v>1</v>
      </c>
      <c r="AB39" s="1508">
        <f t="shared" si="4"/>
        <v>1</v>
      </c>
      <c r="AC39" s="1508">
        <f t="shared" si="5"/>
        <v>1</v>
      </c>
    </row>
    <row r="40" spans="1:29" ht="15">
      <c r="A40" s="587"/>
      <c r="B40" s="1807"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511"/>
      <c r="Q40" s="1504" t="str">
        <f t="shared" si="11"/>
        <v>市政基础设施</v>
      </c>
      <c r="R40" s="1505" t="s">
        <v>8</v>
      </c>
      <c r="S40" s="1506">
        <f t="shared" si="12"/>
        <v>100</v>
      </c>
      <c r="T40" s="1505" t="s">
        <v>8</v>
      </c>
      <c r="U40" s="1506">
        <f t="shared" si="13"/>
        <v>100</v>
      </c>
      <c r="V40" s="1505" t="s">
        <v>8</v>
      </c>
      <c r="W40" s="1506">
        <f t="shared" si="14"/>
        <v>100</v>
      </c>
      <c r="X40" s="1499"/>
      <c r="Y40" s="3511"/>
      <c r="Z40" s="1507" t="str">
        <f t="shared" si="15"/>
        <v>市政基础设施</v>
      </c>
      <c r="AA40" s="1508">
        <f t="shared" si="3"/>
        <v>1</v>
      </c>
      <c r="AB40" s="1508">
        <f t="shared" si="4"/>
        <v>1</v>
      </c>
      <c r="AC40" s="1508">
        <f t="shared" si="5"/>
        <v>1</v>
      </c>
    </row>
    <row r="41" spans="1:29" ht="15">
      <c r="A41" s="587"/>
      <c r="B41" s="520" t="s">
        <v>760</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511"/>
      <c r="Q41" s="1504" t="str">
        <f t="shared" si="11"/>
        <v>层高</v>
      </c>
      <c r="R41" s="1505" t="s">
        <v>8</v>
      </c>
      <c r="S41" s="1506">
        <f t="shared" si="12"/>
        <v>100</v>
      </c>
      <c r="T41" s="1505" t="s">
        <v>8</v>
      </c>
      <c r="U41" s="1506">
        <f t="shared" si="13"/>
        <v>100</v>
      </c>
      <c r="V41" s="1505" t="s">
        <v>8</v>
      </c>
      <c r="W41" s="1506">
        <f t="shared" si="14"/>
        <v>100</v>
      </c>
      <c r="X41" s="1499"/>
      <c r="Y41" s="3511"/>
      <c r="Z41" s="1507" t="str">
        <f t="shared" si="15"/>
        <v>层高</v>
      </c>
      <c r="AA41" s="1508">
        <f t="shared" si="3"/>
        <v>1</v>
      </c>
      <c r="AB41" s="1508">
        <f t="shared" si="4"/>
        <v>1</v>
      </c>
      <c r="AC41" s="1508">
        <f t="shared" si="5"/>
        <v>1</v>
      </c>
    </row>
    <row r="42" spans="1:29" s="1292" customFormat="1" ht="15">
      <c r="A42" s="596"/>
      <c r="B42" s="892" t="s">
        <v>776</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511"/>
      <c r="Q42" s="1533" t="str">
        <f t="shared" si="11"/>
        <v>单套建筑面积</v>
      </c>
      <c r="R42" s="1509" t="s">
        <v>8</v>
      </c>
      <c r="S42" s="1510">
        <f t="shared" si="12"/>
        <v>100</v>
      </c>
      <c r="T42" s="1509" t="s">
        <v>8</v>
      </c>
      <c r="U42" s="1510">
        <f t="shared" si="13"/>
        <v>100</v>
      </c>
      <c r="V42" s="1509" t="s">
        <v>8</v>
      </c>
      <c r="W42" s="1510">
        <f t="shared" si="14"/>
        <v>100</v>
      </c>
      <c r="X42" s="1511"/>
      <c r="Y42" s="3511"/>
      <c r="Z42" s="1512" t="str">
        <f t="shared" si="15"/>
        <v>单套建筑面积</v>
      </c>
      <c r="AA42" s="1508">
        <f t="shared" si="3"/>
        <v>1</v>
      </c>
      <c r="AB42" s="1508">
        <f t="shared" si="4"/>
        <v>1</v>
      </c>
      <c r="AC42" s="1508">
        <f t="shared" si="5"/>
        <v>1</v>
      </c>
    </row>
    <row r="43" spans="1:29" ht="15">
      <c r="A43" s="587"/>
      <c r="B43" s="520" t="s">
        <v>763</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511"/>
      <c r="Q43" s="1504" t="str">
        <f t="shared" si="11"/>
        <v>内部装修</v>
      </c>
      <c r="R43" s="1505" t="s">
        <v>8</v>
      </c>
      <c r="S43" s="1506">
        <f t="shared" si="12"/>
        <v>100</v>
      </c>
      <c r="T43" s="1505" t="s">
        <v>8</v>
      </c>
      <c r="U43" s="1506">
        <f t="shared" si="13"/>
        <v>100</v>
      </c>
      <c r="V43" s="1505" t="s">
        <v>8</v>
      </c>
      <c r="W43" s="1506">
        <f t="shared" si="14"/>
        <v>100</v>
      </c>
      <c r="X43" s="1499"/>
      <c r="Y43" s="3511"/>
      <c r="Z43" s="1507" t="str">
        <f t="shared" si="15"/>
        <v>内部装修</v>
      </c>
      <c r="AA43" s="1508">
        <f t="shared" si="3"/>
        <v>1</v>
      </c>
      <c r="AB43" s="1508">
        <f t="shared" si="4"/>
        <v>1</v>
      </c>
      <c r="AC43" s="1508">
        <f t="shared" si="5"/>
        <v>1</v>
      </c>
    </row>
    <row r="44" spans="1:29" ht="27">
      <c r="A44" s="587"/>
      <c r="B44" s="520" t="s">
        <v>728</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511"/>
      <c r="Q44" s="1504" t="str">
        <f t="shared" si="11"/>
        <v>内部装修维护情况</v>
      </c>
      <c r="R44" s="1505" t="s">
        <v>8</v>
      </c>
      <c r="S44" s="1506">
        <f t="shared" si="12"/>
        <v>100</v>
      </c>
      <c r="T44" s="1505" t="s">
        <v>8</v>
      </c>
      <c r="U44" s="1506">
        <f t="shared" si="13"/>
        <v>100</v>
      </c>
      <c r="V44" s="1505" t="s">
        <v>8</v>
      </c>
      <c r="W44" s="1506">
        <f t="shared" si="14"/>
        <v>100</v>
      </c>
      <c r="X44" s="1499"/>
      <c r="Y44" s="3511"/>
      <c r="Z44" s="1507" t="str">
        <f t="shared" si="15"/>
        <v>内部装修维护情况</v>
      </c>
      <c r="AA44" s="1508">
        <f t="shared" si="3"/>
        <v>1</v>
      </c>
      <c r="AB44" s="1508">
        <f t="shared" si="4"/>
        <v>1</v>
      </c>
      <c r="AC44" s="1508">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5"/>
      <c r="M45" s="2016"/>
      <c r="N45" s="2016"/>
      <c r="O45" s="2016"/>
      <c r="P45" s="3511"/>
      <c r="Q45" s="1133">
        <f t="shared" si="11"/>
        <v>111</v>
      </c>
      <c r="R45" s="1500" t="s">
        <v>8</v>
      </c>
      <c r="S45" s="1501">
        <f t="shared" si="12"/>
        <v>100</v>
      </c>
      <c r="T45" s="1500" t="s">
        <v>8</v>
      </c>
      <c r="U45" s="1501">
        <f t="shared" si="13"/>
        <v>100</v>
      </c>
      <c r="V45" s="1500" t="s">
        <v>8</v>
      </c>
      <c r="W45" s="1501">
        <f t="shared" si="14"/>
        <v>100</v>
      </c>
      <c r="X45" s="1502"/>
      <c r="Y45" s="3511"/>
      <c r="Z45" s="1132">
        <f t="shared" si="15"/>
        <v>111</v>
      </c>
      <c r="AA45" s="1503">
        <f t="shared" si="3"/>
        <v>1</v>
      </c>
      <c r="AB45" s="1503">
        <f t="shared" si="4"/>
        <v>1</v>
      </c>
      <c r="AC45" s="1503">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511"/>
      <c r="Q46" s="1504">
        <f t="shared" si="11"/>
        <v>111</v>
      </c>
      <c r="R46" s="1505" t="s">
        <v>8</v>
      </c>
      <c r="S46" s="1506">
        <f t="shared" si="12"/>
        <v>100</v>
      </c>
      <c r="T46" s="1505" t="s">
        <v>8</v>
      </c>
      <c r="U46" s="1506">
        <f t="shared" si="13"/>
        <v>100</v>
      </c>
      <c r="V46" s="1505" t="s">
        <v>8</v>
      </c>
      <c r="W46" s="1506">
        <f t="shared" si="14"/>
        <v>100</v>
      </c>
      <c r="X46" s="1499"/>
      <c r="Y46" s="3511"/>
      <c r="Z46" s="1507">
        <f t="shared" si="15"/>
        <v>111</v>
      </c>
      <c r="AA46" s="1508">
        <f t="shared" si="3"/>
        <v>1</v>
      </c>
      <c r="AB46" s="1508">
        <f t="shared" si="4"/>
        <v>1</v>
      </c>
      <c r="AC46" s="1508">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612"/>
      <c r="Q47" s="1504">
        <f t="shared" si="11"/>
        <v>111</v>
      </c>
      <c r="R47" s="1505" t="s">
        <v>8</v>
      </c>
      <c r="S47" s="1506">
        <f t="shared" si="12"/>
        <v>100</v>
      </c>
      <c r="T47" s="1505" t="s">
        <v>8</v>
      </c>
      <c r="U47" s="1506">
        <f t="shared" si="13"/>
        <v>100</v>
      </c>
      <c r="V47" s="1505" t="s">
        <v>8</v>
      </c>
      <c r="W47" s="1506">
        <f t="shared" si="14"/>
        <v>100</v>
      </c>
      <c r="X47" s="1499"/>
      <c r="Y47" s="3612"/>
      <c r="Z47" s="1507">
        <f t="shared" si="15"/>
        <v>111</v>
      </c>
      <c r="AA47" s="1508">
        <f t="shared" si="3"/>
        <v>1</v>
      </c>
      <c r="AB47" s="1508">
        <f t="shared" si="4"/>
        <v>1</v>
      </c>
      <c r="AC47" s="1508">
        <f t="shared" si="5"/>
        <v>1</v>
      </c>
    </row>
    <row r="48" spans="1:29" ht="15">
      <c r="A48" s="600" t="s">
        <v>729</v>
      </c>
      <c r="B48" s="875"/>
      <c r="C48" s="2468" t="s">
        <v>1</v>
      </c>
      <c r="D48" s="2469"/>
      <c r="E48" s="2470"/>
      <c r="F48" s="2471"/>
      <c r="G48" s="2472"/>
      <c r="H48" s="2473"/>
      <c r="I48" s="2470"/>
      <c r="J48" s="2473"/>
      <c r="K48" s="1538"/>
      <c r="L48" s="2024"/>
      <c r="M48" s="2014"/>
      <c r="N48" s="2014"/>
      <c r="O48" s="2014"/>
      <c r="P48" s="3529" t="str">
        <f>A48</f>
        <v>成交单价（元/平方米）</v>
      </c>
      <c r="Q48" s="3506"/>
      <c r="R48" s="3613">
        <f>E48</f>
        <v>0</v>
      </c>
      <c r="S48" s="3613"/>
      <c r="T48" s="3613">
        <f>G48</f>
        <v>0</v>
      </c>
      <c r="U48" s="3613"/>
      <c r="V48" s="3613">
        <f>I48</f>
        <v>0</v>
      </c>
      <c r="W48" s="3613"/>
      <c r="X48" s="1494"/>
      <c r="Y48" s="1513"/>
      <c r="Z48" s="1494"/>
      <c r="AA48" s="1494"/>
      <c r="AB48" s="1494"/>
      <c r="AC48" s="1494"/>
    </row>
    <row r="49" spans="1:29" ht="15.75" thickBot="1">
      <c r="A49" s="608" t="s">
        <v>2740</v>
      </c>
      <c r="B49" s="876"/>
      <c r="C49" s="2474" t="e">
        <f>R50</f>
        <v>#DIV/0!</v>
      </c>
      <c r="D49" s="3008" t="s">
        <v>2970</v>
      </c>
      <c r="E49" s="2475" t="e">
        <f>R49</f>
        <v>#DIV/0!</v>
      </c>
      <c r="F49" s="3009"/>
      <c r="G49" s="2474" t="e">
        <f>T49</f>
        <v>#DIV/0!</v>
      </c>
      <c r="H49" s="3009"/>
      <c r="I49" s="2475" t="e">
        <f>V49</f>
        <v>#DIV/0!</v>
      </c>
      <c r="J49" s="3009"/>
      <c r="K49" s="3017">
        <f>F49+H49+J49</f>
        <v>0</v>
      </c>
      <c r="L49" s="2024"/>
      <c r="M49" s="2014"/>
      <c r="N49" s="2014"/>
      <c r="O49" s="2014"/>
      <c r="P49" s="3529" t="str">
        <f>A49</f>
        <v>比较价格（元/平方米）</v>
      </c>
      <c r="Q49" s="3506"/>
      <c r="R49" s="3613" t="e">
        <f>IF(F1="售价",ROUND(PRODUCT(R48,AA7:AA47),0),ROUND(PRODUCT(R48,AA7:AA47),1))</f>
        <v>#DIV/0!</v>
      </c>
      <c r="S49" s="3613"/>
      <c r="T49" s="3613" t="e">
        <f>IF(F1="售价",ROUND(PRODUCT(T48,AB7:AB47),0),ROUND(PRODUCT(T48,AB7:AB47),1))</f>
        <v>#DIV/0!</v>
      </c>
      <c r="U49" s="3613"/>
      <c r="V49" s="3613" t="e">
        <f>IF(F1="售价",ROUND(PRODUCT(V48,AC7:AC47),0),ROUND(PRODUCT(V48,AC7:AC47),1))</f>
        <v>#DIV/0!</v>
      </c>
      <c r="W49" s="3613"/>
      <c r="X49" s="1494"/>
      <c r="Y49" s="1494"/>
      <c r="Z49" s="1494"/>
      <c r="AA49" s="1494"/>
      <c r="AB49" s="1494"/>
      <c r="AC49" s="1494"/>
    </row>
    <row r="50" spans="1:29" ht="15.75" thickBot="1">
      <c r="A50" s="612" t="s">
        <v>2902</v>
      </c>
      <c r="B50" s="613"/>
      <c r="C50" s="2476" t="e">
        <f>R50</f>
        <v>#DIV/0!</v>
      </c>
      <c r="D50" s="2476"/>
      <c r="E50" s="2476"/>
      <c r="F50" s="2476"/>
      <c r="G50" s="2476"/>
      <c r="H50" s="2476"/>
      <c r="I50" s="2476"/>
      <c r="J50" s="2476"/>
      <c r="K50" s="1539"/>
      <c r="L50" s="2024"/>
      <c r="M50" s="2014"/>
      <c r="N50" s="2014"/>
      <c r="O50" s="2014"/>
      <c r="P50" s="3618" t="str">
        <f>A50</f>
        <v>估价对象XX用房的比较价格（楼面单价，元/平方米）</v>
      </c>
      <c r="Q50" s="3529"/>
      <c r="R50" s="3614" t="e">
        <f>IF(F1="售价",ROUND(IF(D49="简单平均",AVERAGE(R49:V49),R49*F49+T49*H49+V49*J49),0),ROUND(IF(D49="简单平均",AVERAGE(R49:V49),R49*F49+T49*H49+V49*J49),1))</f>
        <v>#DIV/0!</v>
      </c>
      <c r="S50" s="3614"/>
      <c r="T50" s="3614"/>
      <c r="U50" s="3614"/>
      <c r="V50" s="3614"/>
      <c r="W50" s="3614"/>
      <c r="X50" s="1494"/>
      <c r="Y50" s="1494"/>
      <c r="Z50" s="1494"/>
      <c r="AA50" s="1494"/>
      <c r="AB50" s="1494"/>
      <c r="AC50" s="1494"/>
    </row>
    <row r="51" spans="1:29">
      <c r="A51" s="3208"/>
      <c r="B51" s="3208"/>
      <c r="C51" s="3208"/>
      <c r="D51" s="3208"/>
      <c r="E51" s="3208"/>
      <c r="F51" s="3208"/>
      <c r="G51" s="3210"/>
      <c r="H51" s="3208"/>
      <c r="I51" s="3208"/>
      <c r="J51" s="3208"/>
      <c r="K51" s="3211"/>
      <c r="L51" s="2029"/>
      <c r="M51" s="2025"/>
      <c r="N51" s="2025"/>
      <c r="O51" s="2025"/>
      <c r="P51" s="2086"/>
      <c r="Q51" s="2025"/>
      <c r="R51" s="2025"/>
      <c r="S51" s="2025"/>
      <c r="T51" s="2025"/>
      <c r="U51" s="2025"/>
      <c r="V51" s="2025"/>
      <c r="W51" s="2025"/>
      <c r="X51" s="2025"/>
      <c r="Y51" s="2025"/>
      <c r="Z51" s="2025"/>
      <c r="AA51" s="2025"/>
      <c r="AB51" s="2025"/>
      <c r="AC51" s="2025"/>
    </row>
    <row r="52" spans="1:29">
      <c r="A52" s="3208"/>
      <c r="B52" s="3208"/>
      <c r="C52" s="3208"/>
      <c r="D52" s="3208"/>
      <c r="E52" s="3208"/>
      <c r="F52" s="3208"/>
      <c r="G52" s="3208"/>
      <c r="H52" s="3208"/>
      <c r="I52" s="3208"/>
      <c r="J52" s="3208"/>
      <c r="K52" s="3211"/>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8"/>
      <c r="B53" s="3208"/>
      <c r="C53" s="615" t="s">
        <v>550</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1"/>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8"/>
      <c r="B54" s="3208"/>
      <c r="C54" s="615" t="s">
        <v>551</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1"/>
      <c r="L54" s="2029"/>
      <c r="M54" s="2025"/>
      <c r="N54" s="2025"/>
      <c r="O54" s="2025"/>
      <c r="P54" s="2086"/>
      <c r="Q54" s="2025"/>
      <c r="R54" s="2025"/>
      <c r="S54" s="2025"/>
      <c r="T54" s="2025"/>
      <c r="U54" s="2025"/>
      <c r="V54" s="2025"/>
      <c r="W54" s="2025"/>
      <c r="X54" s="2025"/>
      <c r="Y54" s="2025"/>
      <c r="Z54" s="2025"/>
      <c r="AA54" s="2025"/>
      <c r="AB54" s="2025"/>
      <c r="AC54" s="2025"/>
    </row>
    <row r="55" spans="1:29" s="1297" customFormat="1" ht="13.5" customHeight="1">
      <c r="A55" s="3209"/>
      <c r="B55" s="3209"/>
      <c r="C55" s="615" t="s">
        <v>552</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2"/>
      <c r="L55" s="2032"/>
      <c r="M55" s="2026"/>
      <c r="N55" s="2026"/>
      <c r="O55" s="2026"/>
      <c r="P55" s="2087"/>
      <c r="Q55" s="2026"/>
      <c r="R55" s="2026"/>
      <c r="S55" s="2026"/>
      <c r="T55" s="2026"/>
      <c r="U55" s="2026"/>
      <c r="V55" s="2026"/>
      <c r="W55" s="2026"/>
      <c r="X55" s="2026"/>
      <c r="Y55" s="2026"/>
      <c r="Z55" s="2026"/>
      <c r="AA55" s="2026"/>
      <c r="AB55" s="2026"/>
      <c r="AC55" s="2026"/>
    </row>
    <row r="56" spans="1:29" s="1297"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567</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9" customFormat="1" ht="15">
      <c r="A59" s="636" t="s">
        <v>522</v>
      </c>
      <c r="B59" s="637"/>
      <c r="C59" s="2517" t="str">
        <f>YEAR(C7)&amp;"-"&amp;MONTH(C7)</f>
        <v>2021-2</v>
      </c>
      <c r="D59" s="2519">
        <f>EDATE(C59,-1)</f>
        <v>44197</v>
      </c>
      <c r="E59" s="2519">
        <f t="shared" ref="E59:O59" si="16">EDATE(D59,-1)</f>
        <v>44166</v>
      </c>
      <c r="F59" s="2519">
        <f t="shared" si="16"/>
        <v>44136</v>
      </c>
      <c r="G59" s="2519">
        <f t="shared" si="16"/>
        <v>44105</v>
      </c>
      <c r="H59" s="2519">
        <f t="shared" si="16"/>
        <v>44075</v>
      </c>
      <c r="I59" s="2519">
        <f t="shared" si="16"/>
        <v>44044</v>
      </c>
      <c r="J59" s="2519">
        <f t="shared" si="16"/>
        <v>44013</v>
      </c>
      <c r="K59" s="2519">
        <f t="shared" si="16"/>
        <v>43983</v>
      </c>
      <c r="L59" s="2519">
        <f t="shared" si="16"/>
        <v>43952</v>
      </c>
      <c r="M59" s="2519">
        <f t="shared" si="16"/>
        <v>43922</v>
      </c>
      <c r="N59" s="2519">
        <f t="shared" si="16"/>
        <v>43891</v>
      </c>
      <c r="O59" s="2519">
        <f t="shared" si="16"/>
        <v>43862</v>
      </c>
      <c r="P59" s="2089"/>
      <c r="Q59" s="2040"/>
      <c r="R59" s="2040"/>
      <c r="S59" s="2040"/>
      <c r="T59" s="2040"/>
      <c r="U59" s="2040"/>
      <c r="V59" s="2040"/>
      <c r="W59" s="2040"/>
      <c r="X59" s="2040"/>
      <c r="Y59" s="2040"/>
      <c r="Z59" s="2040"/>
      <c r="AA59" s="2040"/>
      <c r="AB59" s="2040"/>
      <c r="AC59" s="2040"/>
    </row>
    <row r="60" spans="1:29" s="1202"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2" customFormat="1" ht="15.75" thickBot="1">
      <c r="A61" s="644" t="s">
        <v>568</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2" customFormat="1" ht="15">
      <c r="A62" s="650" t="s">
        <v>524</v>
      </c>
      <c r="B62" s="639"/>
      <c r="C62" s="651" t="s">
        <v>569</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2"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570</v>
      </c>
      <c r="B64" s="656" t="s">
        <v>527</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530</v>
      </c>
      <c r="C66" s="665" t="s">
        <v>730</v>
      </c>
      <c r="D66" s="665" t="s">
        <v>731</v>
      </c>
      <c r="E66" s="665" t="s">
        <v>732</v>
      </c>
      <c r="F66" s="665" t="s">
        <v>733</v>
      </c>
      <c r="G66" s="665" t="s">
        <v>734</v>
      </c>
      <c r="H66" s="665" t="s">
        <v>735</v>
      </c>
      <c r="I66" s="665" t="s">
        <v>736</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531</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2"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2"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2"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2"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2"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2"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532</v>
      </c>
      <c r="B77" s="656" t="s">
        <v>578</v>
      </c>
      <c r="C77" s="694" t="s">
        <v>572</v>
      </c>
      <c r="D77" s="694" t="s">
        <v>573</v>
      </c>
      <c r="E77" s="694" t="s">
        <v>574</v>
      </c>
      <c r="F77" s="694" t="s">
        <v>575</v>
      </c>
      <c r="G77" s="694" t="s">
        <v>576</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579</v>
      </c>
      <c r="C79" s="699" t="s">
        <v>572</v>
      </c>
      <c r="D79" s="699" t="s">
        <v>573</v>
      </c>
      <c r="E79" s="699" t="s">
        <v>574</v>
      </c>
      <c r="F79" s="699" t="s">
        <v>575</v>
      </c>
      <c r="G79" s="699" t="s">
        <v>576</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2538</v>
      </c>
      <c r="C81" s="699" t="s">
        <v>572</v>
      </c>
      <c r="D81" s="699" t="s">
        <v>573</v>
      </c>
      <c r="E81" s="699" t="s">
        <v>574</v>
      </c>
      <c r="F81" s="699" t="s">
        <v>575</v>
      </c>
      <c r="G81" s="699" t="s">
        <v>576</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2539</v>
      </c>
      <c r="C83" s="2440" t="s">
        <v>2540</v>
      </c>
      <c r="D83" s="2440" t="s">
        <v>2541</v>
      </c>
      <c r="E83" s="2440" t="s">
        <v>2542</v>
      </c>
      <c r="F83" s="2440" t="s">
        <v>2543</v>
      </c>
      <c r="G83" s="2440" t="s">
        <v>2544</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777</v>
      </c>
      <c r="C85" s="699" t="s">
        <v>572</v>
      </c>
      <c r="D85" s="699" t="s">
        <v>573</v>
      </c>
      <c r="E85" s="699" t="s">
        <v>574</v>
      </c>
      <c r="F85" s="699" t="s">
        <v>575</v>
      </c>
      <c r="G85" s="699" t="s">
        <v>576</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2" customFormat="1" ht="27.75" thickTop="1">
      <c r="A87" s="700"/>
      <c r="B87" s="664" t="s">
        <v>778</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2"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2"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544</v>
      </c>
      <c r="B101" s="656" t="s">
        <v>740</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741</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2"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2"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742</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744</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745</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2" customFormat="1" ht="15" thickTop="1">
      <c r="A113" s="719"/>
      <c r="B113" s="664" t="s">
        <v>779</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746</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2537</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780</v>
      </c>
      <c r="C119" s="709"/>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2" customFormat="1" ht="15" thickTop="1">
      <c r="A121" s="719"/>
      <c r="B121" s="664" t="s">
        <v>768</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2"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748</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749</v>
      </c>
      <c r="C125" s="699" t="s">
        <v>572</v>
      </c>
      <c r="D125" s="699" t="s">
        <v>573</v>
      </c>
      <c r="E125" s="699" t="s">
        <v>574</v>
      </c>
      <c r="F125" s="699" t="s">
        <v>575</v>
      </c>
      <c r="G125" s="699" t="s">
        <v>576</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2"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2"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496" t="s">
        <v>781</v>
      </c>
      <c r="C1" s="497" t="s">
        <v>713</v>
      </c>
      <c r="D1" s="837"/>
      <c r="E1" s="499"/>
      <c r="F1" s="2522"/>
      <c r="G1" s="1529" t="s">
        <v>714</v>
      </c>
      <c r="H1" s="499"/>
      <c r="I1" s="499"/>
      <c r="J1" s="499"/>
      <c r="K1" s="500"/>
      <c r="L1" s="3204"/>
      <c r="M1" s="3205"/>
      <c r="N1" s="3205"/>
      <c r="O1" s="3205"/>
      <c r="P1" s="2012"/>
      <c r="Q1" s="2012"/>
      <c r="R1" s="2012"/>
      <c r="S1" s="2012"/>
      <c r="T1" s="2012"/>
      <c r="U1" s="2012"/>
      <c r="V1" s="2012"/>
      <c r="W1" s="2012"/>
      <c r="X1" s="2012"/>
      <c r="Y1" s="2012"/>
      <c r="Z1" s="2012"/>
      <c r="AA1" s="2012"/>
      <c r="AB1" s="2012"/>
      <c r="AC1" s="1942"/>
    </row>
    <row r="2" spans="1:29" s="1289" customFormat="1" ht="28.5" customHeight="1">
      <c r="A2" s="416" t="s">
        <v>460</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9" customFormat="1" ht="28.5" customHeight="1" thickBot="1">
      <c r="A3" s="502" t="s">
        <v>512</v>
      </c>
      <c r="B3" s="503" t="e">
        <f>C43</f>
        <v>#DIV/0!</v>
      </c>
      <c r="C3" s="840" t="s">
        <v>715</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5" t="s">
        <v>514</v>
      </c>
      <c r="B4" s="506"/>
      <c r="C4" s="3512" t="s">
        <v>515</v>
      </c>
      <c r="D4" s="3513"/>
      <c r="E4" s="3538" t="s">
        <v>516</v>
      </c>
      <c r="F4" s="3539"/>
      <c r="G4" s="3512" t="s">
        <v>517</v>
      </c>
      <c r="H4" s="3513"/>
      <c r="I4" s="3512" t="s">
        <v>518</v>
      </c>
      <c r="J4" s="3513"/>
      <c r="K4" s="507" t="s">
        <v>519</v>
      </c>
      <c r="L4" s="2013"/>
      <c r="M4" s="2014"/>
      <c r="N4" s="2014"/>
      <c r="O4" s="2014"/>
      <c r="P4" s="3514" t="s">
        <v>520</v>
      </c>
      <c r="Q4" s="3515"/>
      <c r="R4" s="3500" t="s">
        <v>516</v>
      </c>
      <c r="S4" s="3501"/>
      <c r="T4" s="3500" t="s">
        <v>517</v>
      </c>
      <c r="U4" s="3501"/>
      <c r="V4" s="3520" t="s">
        <v>518</v>
      </c>
      <c r="W4" s="3520"/>
      <c r="X4" s="1499"/>
      <c r="Y4" s="3500" t="s">
        <v>520</v>
      </c>
      <c r="Z4" s="3501"/>
      <c r="AA4" s="3495" t="s">
        <v>516</v>
      </c>
      <c r="AB4" s="3496" t="s">
        <v>517</v>
      </c>
      <c r="AC4" s="3495" t="s">
        <v>518</v>
      </c>
    </row>
    <row r="5" spans="1:29" ht="15">
      <c r="A5" s="508"/>
      <c r="B5" s="509"/>
      <c r="C5" s="3523" t="s">
        <v>2896</v>
      </c>
      <c r="D5" s="3524"/>
      <c r="E5" s="3540" t="s">
        <v>2897</v>
      </c>
      <c r="F5" s="3541"/>
      <c r="G5" s="3523" t="s">
        <v>2898</v>
      </c>
      <c r="H5" s="3524"/>
      <c r="I5" s="3523" t="s">
        <v>2899</v>
      </c>
      <c r="J5" s="3524"/>
      <c r="K5" s="507"/>
      <c r="L5" s="2013"/>
      <c r="M5" s="2014"/>
      <c r="N5" s="2014"/>
      <c r="O5" s="2014"/>
      <c r="P5" s="3516"/>
      <c r="Q5" s="3517"/>
      <c r="R5" s="3502"/>
      <c r="S5" s="3503"/>
      <c r="T5" s="3502"/>
      <c r="U5" s="3503"/>
      <c r="V5" s="3520"/>
      <c r="W5" s="3520"/>
      <c r="X5" s="1499"/>
      <c r="Y5" s="3502"/>
      <c r="Z5" s="3503"/>
      <c r="AA5" s="3496"/>
      <c r="AB5" s="3496"/>
      <c r="AC5" s="3496"/>
    </row>
    <row r="6" spans="1:29" ht="15.75" thickBot="1">
      <c r="A6" s="510"/>
      <c r="B6" s="511"/>
      <c r="C6" s="3521" t="s">
        <v>2900</v>
      </c>
      <c r="D6" s="3522"/>
      <c r="E6" s="3542" t="s">
        <v>2900</v>
      </c>
      <c r="F6" s="3543"/>
      <c r="G6" s="3521" t="s">
        <v>2900</v>
      </c>
      <c r="H6" s="3522"/>
      <c r="I6" s="3521" t="s">
        <v>2900</v>
      </c>
      <c r="J6" s="3522"/>
      <c r="K6" s="507" t="s">
        <v>521</v>
      </c>
      <c r="L6" s="2013"/>
      <c r="M6" s="2014"/>
      <c r="N6" s="2014"/>
      <c r="O6" s="2014"/>
      <c r="P6" s="3518"/>
      <c r="Q6" s="3519"/>
      <c r="R6" s="3502"/>
      <c r="S6" s="3503"/>
      <c r="T6" s="3504"/>
      <c r="U6" s="3505"/>
      <c r="V6" s="3520"/>
      <c r="W6" s="3520"/>
      <c r="X6" s="1499"/>
      <c r="Y6" s="3504"/>
      <c r="Z6" s="3505"/>
      <c r="AA6" s="3497"/>
      <c r="AB6" s="3497"/>
      <c r="AC6" s="3497"/>
    </row>
    <row r="7" spans="1:29" s="1202" customFormat="1" ht="15.75" thickBot="1">
      <c r="A7" s="2627"/>
      <c r="B7" s="2634" t="s">
        <v>522</v>
      </c>
      <c r="C7" s="512">
        <f>'数据-取费表'!B2</f>
        <v>44254</v>
      </c>
      <c r="D7" s="513">
        <v>100</v>
      </c>
      <c r="E7" s="514"/>
      <c r="F7" s="515">
        <f>SUMIF(52:52,YEAR(E7)&amp;"-"&amp;MONTH(E7),53:53)</f>
        <v>0</v>
      </c>
      <c r="G7" s="514"/>
      <c r="H7" s="513">
        <f>SUMIF(52:52,YEAR(G7)&amp;"-"&amp;MONTH(G7),53:53)</f>
        <v>0</v>
      </c>
      <c r="I7" s="514"/>
      <c r="J7" s="513">
        <f>SUMIF(52:52,YEAR(I7)&amp;"-"&amp;MONTH(I7),53:53)</f>
        <v>0</v>
      </c>
      <c r="K7" s="517"/>
      <c r="L7" s="2015"/>
      <c r="M7" s="2016"/>
      <c r="N7" s="2016"/>
      <c r="O7" s="2016"/>
      <c r="P7" s="3498" t="s">
        <v>523</v>
      </c>
      <c r="Q7" s="3507"/>
      <c r="R7" s="1500" t="s">
        <v>8</v>
      </c>
      <c r="S7" s="1501">
        <f t="shared" ref="S7:S15" si="0">F7</f>
        <v>0</v>
      </c>
      <c r="T7" s="1500" t="s">
        <v>8</v>
      </c>
      <c r="U7" s="1501">
        <f t="shared" ref="U7:U15" si="1">H7</f>
        <v>0</v>
      </c>
      <c r="V7" s="1500" t="s">
        <v>8</v>
      </c>
      <c r="W7" s="1501">
        <f t="shared" ref="W7:W15" si="2">J7</f>
        <v>0</v>
      </c>
      <c r="X7" s="1502"/>
      <c r="Y7" s="3498" t="s">
        <v>523</v>
      </c>
      <c r="Z7" s="3499"/>
      <c r="AA7" s="1503" t="e">
        <f>D7/F7</f>
        <v>#DIV/0!</v>
      </c>
      <c r="AB7" s="1503" t="e">
        <f>D7/H7</f>
        <v>#DIV/0!</v>
      </c>
      <c r="AC7" s="1503" t="e">
        <f>D7/J7</f>
        <v>#DIV/0!</v>
      </c>
    </row>
    <row r="8" spans="1:29" s="1202" customFormat="1" ht="15.75" thickBot="1">
      <c r="A8" s="2628"/>
      <c r="B8" s="2635" t="s">
        <v>524</v>
      </c>
      <c r="C8" s="518" t="s">
        <v>569</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498" t="s">
        <v>526</v>
      </c>
      <c r="Q8" s="3499"/>
      <c r="R8" s="1500" t="s">
        <v>8</v>
      </c>
      <c r="S8" s="1501">
        <f t="shared" si="0"/>
        <v>0</v>
      </c>
      <c r="T8" s="1500" t="s">
        <v>8</v>
      </c>
      <c r="U8" s="1501">
        <f t="shared" si="1"/>
        <v>0</v>
      </c>
      <c r="V8" s="1500" t="s">
        <v>8</v>
      </c>
      <c r="W8" s="1501">
        <f t="shared" si="2"/>
        <v>0</v>
      </c>
      <c r="X8" s="1502"/>
      <c r="Y8" s="3498" t="s">
        <v>526</v>
      </c>
      <c r="Z8" s="3499"/>
      <c r="AA8" s="1503" t="e">
        <f t="shared" ref="AA8:AA40" si="3">D8/F8</f>
        <v>#DIV/0!</v>
      </c>
      <c r="AB8" s="1503" t="e">
        <f t="shared" ref="AB8:AB40" si="4">D8/H8</f>
        <v>#DIV/0!</v>
      </c>
      <c r="AC8" s="1503" t="e">
        <f t="shared" ref="AC8:AC40" si="5">D8/J8</f>
        <v>#DIV/0!</v>
      </c>
    </row>
    <row r="9" spans="1:29" s="1202" customFormat="1" ht="15">
      <c r="A9" s="2629"/>
      <c r="B9" s="2636" t="s">
        <v>2736</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506" t="s">
        <v>528</v>
      </c>
      <c r="Q9" s="1133" t="str">
        <f t="shared" ref="Q9:Q15" si="6">B9</f>
        <v>用途</v>
      </c>
      <c r="R9" s="1500" t="s">
        <v>8</v>
      </c>
      <c r="S9" s="1501">
        <f t="shared" si="0"/>
        <v>100</v>
      </c>
      <c r="T9" s="1500" t="s">
        <v>8</v>
      </c>
      <c r="U9" s="1501">
        <f t="shared" si="1"/>
        <v>100</v>
      </c>
      <c r="V9" s="1500" t="s">
        <v>8</v>
      </c>
      <c r="W9" s="1501">
        <f t="shared" si="2"/>
        <v>100</v>
      </c>
      <c r="X9" s="1502"/>
      <c r="Y9" s="3457" t="s">
        <v>529</v>
      </c>
      <c r="Z9" s="1132" t="str">
        <f t="shared" ref="Z9:Z15" si="7">Q9</f>
        <v>用途</v>
      </c>
      <c r="AA9" s="1503">
        <f t="shared" si="3"/>
        <v>1</v>
      </c>
      <c r="AB9" s="1503">
        <f t="shared" si="4"/>
        <v>1</v>
      </c>
      <c r="AC9" s="1503">
        <f t="shared" si="5"/>
        <v>1</v>
      </c>
    </row>
    <row r="10" spans="1:29" s="1291" customFormat="1" ht="27">
      <c r="A10" s="2630"/>
      <c r="B10" s="2635" t="s">
        <v>2737</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506"/>
      <c r="Q10" s="1133" t="str">
        <f t="shared" si="6"/>
        <v>土地使用年限（年）</v>
      </c>
      <c r="R10" s="1500" t="s">
        <v>8</v>
      </c>
      <c r="S10" s="1501">
        <f t="shared" si="0"/>
        <v>100</v>
      </c>
      <c r="T10" s="1500" t="s">
        <v>8</v>
      </c>
      <c r="U10" s="1501">
        <f t="shared" si="1"/>
        <v>100</v>
      </c>
      <c r="V10" s="1500" t="s">
        <v>8</v>
      </c>
      <c r="W10" s="1501">
        <f t="shared" si="2"/>
        <v>100</v>
      </c>
      <c r="X10" s="1502"/>
      <c r="Y10" s="3457"/>
      <c r="Z10" s="1132" t="str">
        <f t="shared" si="7"/>
        <v>土地使用年限（年）</v>
      </c>
      <c r="AA10" s="1503">
        <f t="shared" si="3"/>
        <v>1</v>
      </c>
      <c r="AB10" s="1503">
        <f t="shared" si="4"/>
        <v>1</v>
      </c>
      <c r="AC10" s="1503">
        <f t="shared" si="5"/>
        <v>1</v>
      </c>
    </row>
    <row r="11" spans="1:29" ht="15">
      <c r="A11" s="2631"/>
      <c r="B11" s="2635"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506"/>
      <c r="Q11" s="1133" t="str">
        <f t="shared" si="6"/>
        <v>容积率</v>
      </c>
      <c r="R11" s="1500" t="s">
        <v>8</v>
      </c>
      <c r="S11" s="1501" t="e">
        <f t="shared" si="0"/>
        <v>#N/A</v>
      </c>
      <c r="T11" s="1500" t="s">
        <v>8</v>
      </c>
      <c r="U11" s="1501" t="e">
        <f t="shared" si="1"/>
        <v>#N/A</v>
      </c>
      <c r="V11" s="1500" t="s">
        <v>8</v>
      </c>
      <c r="W11" s="1501" t="e">
        <f t="shared" si="2"/>
        <v>#N/A</v>
      </c>
      <c r="X11" s="1502"/>
      <c r="Y11" s="3457"/>
      <c r="Z11" s="1132" t="str">
        <f t="shared" si="7"/>
        <v>容积率</v>
      </c>
      <c r="AA11" s="1503" t="e">
        <f t="shared" si="3"/>
        <v>#N/A</v>
      </c>
      <c r="AB11" s="1503" t="e">
        <f t="shared" si="4"/>
        <v>#N/A</v>
      </c>
      <c r="AC11" s="1503" t="e">
        <f t="shared" si="5"/>
        <v>#N/A</v>
      </c>
    </row>
    <row r="12" spans="1:29" s="1202" customFormat="1" ht="15">
      <c r="A12" s="2632"/>
      <c r="B12" s="2638">
        <v>111</v>
      </c>
      <c r="C12" s="521"/>
      <c r="D12" s="531">
        <v>100</v>
      </c>
      <c r="E12" s="532"/>
      <c r="F12" s="252">
        <f>SUMIF(64:64,E12,65:65)-SUMIF(64:64,C12,65:65)+100</f>
        <v>100</v>
      </c>
      <c r="G12" s="908"/>
      <c r="H12" s="252">
        <f>SUMIF(64:64,G12,65:65)-SUMIF(64:64,C12,65:65)+100</f>
        <v>100</v>
      </c>
      <c r="I12" s="868"/>
      <c r="J12" s="252">
        <f>SUMIF(64:64,I12,65:65)-SUMIF(64:64,C12,65:65)+100</f>
        <v>100</v>
      </c>
      <c r="K12" s="574"/>
      <c r="L12" s="2015"/>
      <c r="M12" s="2016"/>
      <c r="N12" s="2016"/>
      <c r="O12" s="2017"/>
      <c r="P12" s="3506"/>
      <c r="Q12" s="1133">
        <f t="shared" si="6"/>
        <v>111</v>
      </c>
      <c r="R12" s="1500" t="s">
        <v>8</v>
      </c>
      <c r="S12" s="1501">
        <f t="shared" si="0"/>
        <v>100</v>
      </c>
      <c r="T12" s="1500" t="s">
        <v>8</v>
      </c>
      <c r="U12" s="1501">
        <f t="shared" si="1"/>
        <v>100</v>
      </c>
      <c r="V12" s="1500" t="s">
        <v>8</v>
      </c>
      <c r="W12" s="1501">
        <f t="shared" si="2"/>
        <v>100</v>
      </c>
      <c r="X12" s="1502"/>
      <c r="Y12" s="3457"/>
      <c r="Z12" s="1132">
        <f t="shared" si="7"/>
        <v>111</v>
      </c>
      <c r="AA12" s="1503">
        <f>D12/F12</f>
        <v>1</v>
      </c>
      <c r="AB12" s="1503">
        <f>D12/H12</f>
        <v>1</v>
      </c>
      <c r="AC12" s="1503">
        <f>D12/J12</f>
        <v>1</v>
      </c>
    </row>
    <row r="13" spans="1:29" ht="15">
      <c r="A13" s="2632"/>
      <c r="B13" s="2638">
        <v>111</v>
      </c>
      <c r="C13" s="532"/>
      <c r="D13" s="533">
        <v>100</v>
      </c>
      <c r="E13" s="532"/>
      <c r="F13" s="252">
        <f>SUMIF(66:66,E13,67:67)-SUMIF(66:66,C13,67:67)+100</f>
        <v>100</v>
      </c>
      <c r="G13" s="908"/>
      <c r="H13" s="533">
        <f>SUMIF(66:66,G13,67:67)-SUMIF(66:66,C13,67:67)+100</f>
        <v>100</v>
      </c>
      <c r="I13" s="868"/>
      <c r="J13" s="533">
        <f>SUMIF(66:66,I13,67:67)-SUMIF(66:66,C13,67:67)+100</f>
        <v>100</v>
      </c>
      <c r="K13" s="574"/>
      <c r="L13" s="2022"/>
      <c r="M13" s="2014"/>
      <c r="N13" s="2014"/>
      <c r="O13" s="2021"/>
      <c r="P13" s="3506"/>
      <c r="Q13" s="1133">
        <f t="shared" si="6"/>
        <v>111</v>
      </c>
      <c r="R13" s="1500" t="s">
        <v>8</v>
      </c>
      <c r="S13" s="1501">
        <f t="shared" si="0"/>
        <v>100</v>
      </c>
      <c r="T13" s="1500" t="s">
        <v>8</v>
      </c>
      <c r="U13" s="1501">
        <f t="shared" si="1"/>
        <v>100</v>
      </c>
      <c r="V13" s="1500" t="s">
        <v>8</v>
      </c>
      <c r="W13" s="1501">
        <f t="shared" si="2"/>
        <v>100</v>
      </c>
      <c r="X13" s="1502"/>
      <c r="Y13" s="3457"/>
      <c r="Z13" s="1132">
        <f t="shared" si="7"/>
        <v>111</v>
      </c>
      <c r="AA13" s="1503">
        <f t="shared" si="3"/>
        <v>1</v>
      </c>
      <c r="AB13" s="1503">
        <f t="shared" si="4"/>
        <v>1</v>
      </c>
      <c r="AC13" s="1503">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506"/>
      <c r="Q14" s="1133">
        <f t="shared" si="6"/>
        <v>111</v>
      </c>
      <c r="R14" s="1500" t="s">
        <v>8</v>
      </c>
      <c r="S14" s="1501">
        <f t="shared" si="0"/>
        <v>100</v>
      </c>
      <c r="T14" s="1500" t="s">
        <v>8</v>
      </c>
      <c r="U14" s="1501">
        <f t="shared" si="1"/>
        <v>100</v>
      </c>
      <c r="V14" s="1500" t="s">
        <v>8</v>
      </c>
      <c r="W14" s="1501">
        <f t="shared" si="2"/>
        <v>100</v>
      </c>
      <c r="X14" s="1502"/>
      <c r="Y14" s="3457"/>
      <c r="Z14" s="1132">
        <f t="shared" si="7"/>
        <v>111</v>
      </c>
      <c r="AA14" s="1503">
        <f t="shared" si="3"/>
        <v>1</v>
      </c>
      <c r="AB14" s="1503">
        <f t="shared" si="4"/>
        <v>1</v>
      </c>
      <c r="AC14" s="1503">
        <f t="shared" si="5"/>
        <v>1</v>
      </c>
    </row>
    <row r="15" spans="1:29" ht="57">
      <c r="A15" s="2625" t="s">
        <v>2734</v>
      </c>
      <c r="B15" s="164" t="s">
        <v>782</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508" t="s">
        <v>533</v>
      </c>
      <c r="Q15" s="1504" t="str">
        <f t="shared" si="6"/>
        <v>产业集聚程度</v>
      </c>
      <c r="R15" s="1505" t="s">
        <v>8</v>
      </c>
      <c r="S15" s="1506">
        <f t="shared" si="0"/>
        <v>100</v>
      </c>
      <c r="T15" s="1505" t="s">
        <v>8</v>
      </c>
      <c r="U15" s="1506">
        <f t="shared" si="1"/>
        <v>100</v>
      </c>
      <c r="V15" s="1505" t="s">
        <v>8</v>
      </c>
      <c r="W15" s="1506">
        <f t="shared" si="2"/>
        <v>100</v>
      </c>
      <c r="X15" s="1499"/>
      <c r="Y15" s="3508" t="s">
        <v>533</v>
      </c>
      <c r="Z15" s="1507" t="str">
        <f t="shared" si="7"/>
        <v>产业集聚程度</v>
      </c>
      <c r="AA15" s="1508">
        <f t="shared" si="3"/>
        <v>1</v>
      </c>
      <c r="AB15" s="1508">
        <f t="shared" si="4"/>
        <v>1</v>
      </c>
      <c r="AC15" s="1508">
        <f t="shared" si="5"/>
        <v>1</v>
      </c>
    </row>
    <row r="16" spans="1:29" ht="15">
      <c r="A16" s="525"/>
      <c r="B16" s="857"/>
      <c r="C16" s="569"/>
      <c r="D16" s="548"/>
      <c r="E16" s="569"/>
      <c r="F16" s="550"/>
      <c r="G16" s="569"/>
      <c r="H16" s="552"/>
      <c r="I16" s="569"/>
      <c r="J16" s="548"/>
      <c r="K16" s="887"/>
      <c r="L16" s="2022"/>
      <c r="M16" s="2014"/>
      <c r="N16" s="2014"/>
      <c r="O16" s="2021"/>
      <c r="P16" s="3509"/>
      <c r="Q16" s="1504"/>
      <c r="R16" s="1505"/>
      <c r="S16" s="1506"/>
      <c r="T16" s="1505"/>
      <c r="U16" s="1506"/>
      <c r="V16" s="1505"/>
      <c r="W16" s="1506"/>
      <c r="X16" s="1499"/>
      <c r="Y16" s="3509"/>
      <c r="Z16" s="1507"/>
      <c r="AA16" s="1508">
        <v>1</v>
      </c>
      <c r="AB16" s="1508">
        <v>1</v>
      </c>
      <c r="AC16" s="1508">
        <v>1</v>
      </c>
    </row>
    <row r="17" spans="1:29" ht="85.5">
      <c r="A17" s="525"/>
      <c r="B17" s="859" t="s">
        <v>295</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509"/>
      <c r="Q17" s="1504" t="str">
        <f>B17</f>
        <v>交通便捷度</v>
      </c>
      <c r="R17" s="1505" t="s">
        <v>8</v>
      </c>
      <c r="S17" s="1506">
        <f>F17</f>
        <v>100</v>
      </c>
      <c r="T17" s="1505" t="s">
        <v>8</v>
      </c>
      <c r="U17" s="1506">
        <f>H17</f>
        <v>100</v>
      </c>
      <c r="V17" s="1505" t="s">
        <v>8</v>
      </c>
      <c r="W17" s="1506">
        <f>J17</f>
        <v>100</v>
      </c>
      <c r="X17" s="1499"/>
      <c r="Y17" s="3509"/>
      <c r="Z17" s="1507" t="str">
        <f>Q17</f>
        <v>交通便捷度</v>
      </c>
      <c r="AA17" s="1508">
        <f t="shared" si="3"/>
        <v>1</v>
      </c>
      <c r="AB17" s="1508">
        <f t="shared" si="4"/>
        <v>1</v>
      </c>
      <c r="AC17" s="1508">
        <f t="shared" si="5"/>
        <v>1</v>
      </c>
    </row>
    <row r="18" spans="1:29" ht="15">
      <c r="A18" s="525"/>
      <c r="B18" s="588"/>
      <c r="C18" s="861"/>
      <c r="D18" s="552"/>
      <c r="E18" s="561"/>
      <c r="F18" s="556"/>
      <c r="G18" s="562"/>
      <c r="H18" s="548"/>
      <c r="I18" s="561"/>
      <c r="J18" s="548"/>
      <c r="K18" s="887"/>
      <c r="L18" s="2022"/>
      <c r="M18" s="2014"/>
      <c r="N18" s="2014"/>
      <c r="O18" s="2021"/>
      <c r="P18" s="3509"/>
      <c r="Q18" s="1504"/>
      <c r="R18" s="1505"/>
      <c r="S18" s="1506"/>
      <c r="T18" s="1505"/>
      <c r="U18" s="1506"/>
      <c r="V18" s="1505"/>
      <c r="W18" s="1506"/>
      <c r="X18" s="1499"/>
      <c r="Y18" s="3509"/>
      <c r="Z18" s="1507"/>
      <c r="AA18" s="1508">
        <v>1</v>
      </c>
      <c r="AB18" s="1508">
        <v>1</v>
      </c>
      <c r="AC18" s="1508">
        <v>1</v>
      </c>
    </row>
    <row r="19" spans="1:29" ht="42.75">
      <c r="A19" s="525"/>
      <c r="B19" s="2445"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509"/>
      <c r="Q19" s="1504" t="str">
        <f>B19</f>
        <v>公共配套设施</v>
      </c>
      <c r="R19" s="1505" t="s">
        <v>8</v>
      </c>
      <c r="S19" s="1506">
        <f>F19</f>
        <v>100</v>
      </c>
      <c r="T19" s="1505" t="s">
        <v>8</v>
      </c>
      <c r="U19" s="1506">
        <f>H19</f>
        <v>100</v>
      </c>
      <c r="V19" s="1505" t="s">
        <v>8</v>
      </c>
      <c r="W19" s="1506">
        <f>J19</f>
        <v>100</v>
      </c>
      <c r="X19" s="1499"/>
      <c r="Y19" s="3509"/>
      <c r="Z19" s="1507" t="str">
        <f>Q19</f>
        <v>公共配套设施</v>
      </c>
      <c r="AA19" s="1508">
        <f t="shared" si="3"/>
        <v>1</v>
      </c>
      <c r="AB19" s="1508">
        <f t="shared" si="4"/>
        <v>1</v>
      </c>
      <c r="AC19" s="1508">
        <f t="shared" si="5"/>
        <v>1</v>
      </c>
    </row>
    <row r="20" spans="1:29" ht="15">
      <c r="A20" s="525"/>
      <c r="B20" s="559"/>
      <c r="C20" s="569"/>
      <c r="D20" s="548"/>
      <c r="E20" s="549"/>
      <c r="F20" s="550"/>
      <c r="G20" s="551"/>
      <c r="H20" s="548"/>
      <c r="I20" s="549"/>
      <c r="J20" s="548"/>
      <c r="K20" s="887"/>
      <c r="L20" s="2022"/>
      <c r="M20" s="2014"/>
      <c r="N20" s="2014"/>
      <c r="O20" s="2021"/>
      <c r="P20" s="3509"/>
      <c r="Q20" s="1504"/>
      <c r="R20" s="1505"/>
      <c r="S20" s="1506"/>
      <c r="T20" s="1505"/>
      <c r="U20" s="1506"/>
      <c r="V20" s="1505"/>
      <c r="W20" s="1506"/>
      <c r="X20" s="1499"/>
      <c r="Y20" s="3509"/>
      <c r="Z20" s="1507"/>
      <c r="AA20" s="1508">
        <v>1</v>
      </c>
      <c r="AB20" s="1508">
        <v>1</v>
      </c>
      <c r="AC20" s="1508">
        <v>1</v>
      </c>
    </row>
    <row r="21" spans="1:29" ht="28.5">
      <c r="A21" s="525"/>
      <c r="B21" s="2433"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509"/>
      <c r="Q21" s="2427" t="str">
        <f>B21</f>
        <v>基础设施水平</v>
      </c>
      <c r="R21" s="1505" t="s">
        <v>8</v>
      </c>
      <c r="S21" s="1506">
        <f>F21</f>
        <v>100</v>
      </c>
      <c r="T21" s="1505" t="s">
        <v>8</v>
      </c>
      <c r="U21" s="1506">
        <f>H21</f>
        <v>100</v>
      </c>
      <c r="V21" s="1505" t="s">
        <v>8</v>
      </c>
      <c r="W21" s="1506">
        <f>J21</f>
        <v>100</v>
      </c>
      <c r="X21" s="2429"/>
      <c r="Y21" s="3509"/>
      <c r="Z21" s="2428" t="str">
        <f>Q21</f>
        <v>基础设施水平</v>
      </c>
      <c r="AA21" s="1508">
        <f t="shared" ref="AA21" si="8">D21/F21</f>
        <v>1</v>
      </c>
      <c r="AB21" s="1508">
        <f t="shared" ref="AB21" si="9">D21/H21</f>
        <v>1</v>
      </c>
      <c r="AC21" s="1508">
        <f t="shared" ref="AC21" si="10">D21/J21</f>
        <v>1</v>
      </c>
    </row>
    <row r="22" spans="1:29" ht="15">
      <c r="A22" s="525"/>
      <c r="B22" s="571"/>
      <c r="C22" s="861"/>
      <c r="D22" s="548"/>
      <c r="E22" s="569"/>
      <c r="F22" s="550"/>
      <c r="G22" s="569"/>
      <c r="H22" s="548"/>
      <c r="I22" s="569"/>
      <c r="J22" s="548"/>
      <c r="K22" s="2444"/>
      <c r="L22" s="2022"/>
      <c r="M22" s="2014"/>
      <c r="N22" s="2014"/>
      <c r="O22" s="2021"/>
      <c r="P22" s="3509"/>
      <c r="Q22" s="2427"/>
      <c r="R22" s="1505"/>
      <c r="S22" s="1506"/>
      <c r="T22" s="1505"/>
      <c r="U22" s="1506"/>
      <c r="V22" s="1505"/>
      <c r="W22" s="1506"/>
      <c r="X22" s="2429"/>
      <c r="Y22" s="3509"/>
      <c r="Z22" s="2428"/>
      <c r="AA22" s="1508">
        <v>1</v>
      </c>
      <c r="AB22" s="1508">
        <v>1</v>
      </c>
      <c r="AC22" s="1508">
        <v>1</v>
      </c>
    </row>
    <row r="23" spans="1:29" ht="71.25">
      <c r="A23" s="525"/>
      <c r="B23" s="859" t="s">
        <v>771</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509"/>
      <c r="Q23" s="1504" t="str">
        <f>B23</f>
        <v>环境质量</v>
      </c>
      <c r="R23" s="1505" t="s">
        <v>8</v>
      </c>
      <c r="S23" s="1506">
        <f>F23</f>
        <v>100</v>
      </c>
      <c r="T23" s="1505" t="s">
        <v>8</v>
      </c>
      <c r="U23" s="1506">
        <f>H23</f>
        <v>100</v>
      </c>
      <c r="V23" s="1505" t="s">
        <v>8</v>
      </c>
      <c r="W23" s="1506">
        <f>J23</f>
        <v>100</v>
      </c>
      <c r="X23" s="1499"/>
      <c r="Y23" s="3509"/>
      <c r="Z23" s="1507" t="str">
        <f>Q23</f>
        <v>环境质量</v>
      </c>
      <c r="AA23" s="1508">
        <f t="shared" si="3"/>
        <v>1</v>
      </c>
      <c r="AB23" s="1508">
        <f t="shared" si="4"/>
        <v>1</v>
      </c>
      <c r="AC23" s="1508">
        <f t="shared" si="5"/>
        <v>1</v>
      </c>
    </row>
    <row r="24" spans="1:29" ht="15">
      <c r="A24" s="525"/>
      <c r="B24" s="910"/>
      <c r="C24" s="569"/>
      <c r="D24" s="548"/>
      <c r="E24" s="549"/>
      <c r="F24" s="550"/>
      <c r="G24" s="551"/>
      <c r="H24" s="548"/>
      <c r="I24" s="549"/>
      <c r="J24" s="548"/>
      <c r="K24" s="887"/>
      <c r="L24" s="2022"/>
      <c r="M24" s="2014"/>
      <c r="N24" s="2014"/>
      <c r="O24" s="2021"/>
      <c r="P24" s="3509"/>
      <c r="Q24" s="1504"/>
      <c r="R24" s="1505"/>
      <c r="S24" s="1506"/>
      <c r="T24" s="1505"/>
      <c r="U24" s="1506"/>
      <c r="V24" s="1505"/>
      <c r="W24" s="1506"/>
      <c r="X24" s="1499"/>
      <c r="Y24" s="3509"/>
      <c r="Z24" s="1507"/>
      <c r="AA24" s="1508">
        <v>1</v>
      </c>
      <c r="AB24" s="1508">
        <v>1</v>
      </c>
      <c r="AC24" s="1508">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509"/>
      <c r="Q25" s="1504">
        <f>B25</f>
        <v>111</v>
      </c>
      <c r="R25" s="1505" t="s">
        <v>8</v>
      </c>
      <c r="S25" s="1506">
        <f>F25</f>
        <v>100</v>
      </c>
      <c r="T25" s="1505" t="s">
        <v>8</v>
      </c>
      <c r="U25" s="1506">
        <f>H25</f>
        <v>100</v>
      </c>
      <c r="V25" s="1505" t="s">
        <v>8</v>
      </c>
      <c r="W25" s="1506">
        <f>J25</f>
        <v>100</v>
      </c>
      <c r="X25" s="1499"/>
      <c r="Y25" s="3509"/>
      <c r="Z25" s="1507">
        <f>Q25</f>
        <v>111</v>
      </c>
      <c r="AA25" s="1508">
        <f t="shared" si="3"/>
        <v>1</v>
      </c>
      <c r="AB25" s="1508">
        <f t="shared" si="4"/>
        <v>1</v>
      </c>
      <c r="AC25" s="1508">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509"/>
      <c r="Q26" s="1504">
        <f t="shared" ref="Q26:Q40" si="11">B26</f>
        <v>111</v>
      </c>
      <c r="R26" s="1505" t="s">
        <v>8</v>
      </c>
      <c r="S26" s="1506">
        <f>F26</f>
        <v>100</v>
      </c>
      <c r="T26" s="1505" t="s">
        <v>8</v>
      </c>
      <c r="U26" s="1506">
        <f>H26</f>
        <v>100</v>
      </c>
      <c r="V26" s="1505" t="s">
        <v>8</v>
      </c>
      <c r="W26" s="1506">
        <f>J26</f>
        <v>100</v>
      </c>
      <c r="X26" s="1499"/>
      <c r="Y26" s="3509"/>
      <c r="Z26" s="1507">
        <f>Q26</f>
        <v>111</v>
      </c>
      <c r="AA26" s="1508">
        <f t="shared" si="3"/>
        <v>1</v>
      </c>
      <c r="AB26" s="1508">
        <f t="shared" si="4"/>
        <v>1</v>
      </c>
      <c r="AC26" s="1508">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509"/>
      <c r="Q27" s="1133">
        <f t="shared" si="11"/>
        <v>111</v>
      </c>
      <c r="R27" s="1500" t="s">
        <v>8</v>
      </c>
      <c r="S27" s="1501">
        <f>F27</f>
        <v>100</v>
      </c>
      <c r="T27" s="1500" t="s">
        <v>8</v>
      </c>
      <c r="U27" s="1501">
        <f>H27</f>
        <v>100</v>
      </c>
      <c r="V27" s="1500" t="s">
        <v>8</v>
      </c>
      <c r="W27" s="1501">
        <f>J27</f>
        <v>100</v>
      </c>
      <c r="X27" s="1502"/>
      <c r="Y27" s="3509"/>
      <c r="Z27" s="1132">
        <f>Q27</f>
        <v>111</v>
      </c>
      <c r="AA27" s="1508">
        <f>D27/F27</f>
        <v>1</v>
      </c>
      <c r="AB27" s="1508">
        <f>D27/H27</f>
        <v>1</v>
      </c>
      <c r="AC27" s="1508">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509"/>
      <c r="Q28" s="1504">
        <f t="shared" si="11"/>
        <v>111</v>
      </c>
      <c r="R28" s="1505" t="s">
        <v>8</v>
      </c>
      <c r="S28" s="1506">
        <f t="shared" ref="S28:S40" si="12">F28</f>
        <v>100</v>
      </c>
      <c r="T28" s="1505" t="s">
        <v>8</v>
      </c>
      <c r="U28" s="1506">
        <f t="shared" ref="U28:U40" si="13">H28</f>
        <v>100</v>
      </c>
      <c r="V28" s="1505" t="s">
        <v>8</v>
      </c>
      <c r="W28" s="1506">
        <f t="shared" ref="W28:W40" si="14">J28</f>
        <v>100</v>
      </c>
      <c r="X28" s="1499"/>
      <c r="Y28" s="3509"/>
      <c r="Z28" s="1507">
        <f t="shared" ref="Z28:Z40" si="15">Q28</f>
        <v>111</v>
      </c>
      <c r="AA28" s="1508">
        <f t="shared" si="3"/>
        <v>1</v>
      </c>
      <c r="AB28" s="1508">
        <f t="shared" si="4"/>
        <v>1</v>
      </c>
      <c r="AC28" s="1508">
        <f t="shared" si="5"/>
        <v>1</v>
      </c>
    </row>
    <row r="29" spans="1:29" ht="15">
      <c r="A29" s="2622" t="s">
        <v>2735</v>
      </c>
      <c r="B29" s="170" t="s">
        <v>773</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510" t="s">
        <v>543</v>
      </c>
      <c r="Q29" s="1504" t="str">
        <f t="shared" si="11"/>
        <v>建筑类型</v>
      </c>
      <c r="R29" s="1505" t="s">
        <v>8</v>
      </c>
      <c r="S29" s="1506">
        <f t="shared" si="12"/>
        <v>100</v>
      </c>
      <c r="T29" s="1505" t="s">
        <v>8</v>
      </c>
      <c r="U29" s="1506">
        <f t="shared" si="13"/>
        <v>100</v>
      </c>
      <c r="V29" s="1505" t="s">
        <v>8</v>
      </c>
      <c r="W29" s="1506">
        <f t="shared" si="14"/>
        <v>100</v>
      </c>
      <c r="X29" s="1499"/>
      <c r="Y29" s="3511" t="s">
        <v>543</v>
      </c>
      <c r="Z29" s="1507" t="str">
        <f t="shared" si="15"/>
        <v>建筑类型</v>
      </c>
      <c r="AA29" s="1508">
        <f t="shared" si="3"/>
        <v>1</v>
      </c>
      <c r="AB29" s="1508">
        <f t="shared" si="4"/>
        <v>1</v>
      </c>
      <c r="AC29" s="1508">
        <f t="shared" si="5"/>
        <v>1</v>
      </c>
    </row>
    <row r="30" spans="1:29" s="1292" customFormat="1" ht="15">
      <c r="A30" s="596"/>
      <c r="B30" s="520" t="s">
        <v>719</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511"/>
      <c r="Q30" s="1533" t="str">
        <f t="shared" si="11"/>
        <v>项目建筑规模</v>
      </c>
      <c r="R30" s="1509" t="s">
        <v>8</v>
      </c>
      <c r="S30" s="1510" t="e">
        <f t="shared" si="12"/>
        <v>#N/A</v>
      </c>
      <c r="T30" s="1509" t="s">
        <v>8</v>
      </c>
      <c r="U30" s="1510" t="e">
        <f t="shared" si="13"/>
        <v>#N/A</v>
      </c>
      <c r="V30" s="1509" t="s">
        <v>8</v>
      </c>
      <c r="W30" s="1510" t="e">
        <f t="shared" si="14"/>
        <v>#N/A</v>
      </c>
      <c r="X30" s="1511"/>
      <c r="Y30" s="3511"/>
      <c r="Z30" s="1512" t="str">
        <f t="shared" si="15"/>
        <v>项目建筑规模</v>
      </c>
      <c r="AA30" s="1508" t="e">
        <f t="shared" si="3"/>
        <v>#N/A</v>
      </c>
      <c r="AB30" s="1508" t="e">
        <f t="shared" si="4"/>
        <v>#N/A</v>
      </c>
      <c r="AC30" s="1508" t="e">
        <f t="shared" si="5"/>
        <v>#N/A</v>
      </c>
    </row>
    <row r="31" spans="1:29" ht="15">
      <c r="A31" s="587"/>
      <c r="B31" s="520" t="s">
        <v>720</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511"/>
      <c r="Q31" s="1504" t="str">
        <f t="shared" si="11"/>
        <v>建筑结构</v>
      </c>
      <c r="R31" s="1505" t="s">
        <v>8</v>
      </c>
      <c r="S31" s="1506">
        <f t="shared" si="12"/>
        <v>100</v>
      </c>
      <c r="T31" s="1505" t="s">
        <v>8</v>
      </c>
      <c r="U31" s="1506">
        <f t="shared" si="13"/>
        <v>100</v>
      </c>
      <c r="V31" s="1505" t="s">
        <v>8</v>
      </c>
      <c r="W31" s="1506">
        <f t="shared" si="14"/>
        <v>100</v>
      </c>
      <c r="X31" s="1499"/>
      <c r="Y31" s="3511"/>
      <c r="Z31" s="1507" t="str">
        <f t="shared" si="15"/>
        <v>建筑结构</v>
      </c>
      <c r="AA31" s="1508">
        <f t="shared" si="3"/>
        <v>1</v>
      </c>
      <c r="AB31" s="1508">
        <f t="shared" si="4"/>
        <v>1</v>
      </c>
      <c r="AC31" s="1508">
        <f t="shared" si="5"/>
        <v>1</v>
      </c>
    </row>
    <row r="32" spans="1:29" ht="15">
      <c r="A32" s="587"/>
      <c r="B32" s="520" t="s">
        <v>756</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511"/>
      <c r="Q32" s="1504" t="str">
        <f t="shared" si="11"/>
        <v>公共部分装修</v>
      </c>
      <c r="R32" s="1505" t="s">
        <v>8</v>
      </c>
      <c r="S32" s="1506">
        <f t="shared" si="12"/>
        <v>100</v>
      </c>
      <c r="T32" s="1505" t="s">
        <v>8</v>
      </c>
      <c r="U32" s="1506">
        <f t="shared" si="13"/>
        <v>100</v>
      </c>
      <c r="V32" s="1505" t="s">
        <v>8</v>
      </c>
      <c r="W32" s="1506">
        <f t="shared" si="14"/>
        <v>100</v>
      </c>
      <c r="X32" s="1499"/>
      <c r="Y32" s="3511"/>
      <c r="Z32" s="1507" t="str">
        <f t="shared" si="15"/>
        <v>公共部分装修</v>
      </c>
      <c r="AA32" s="1508">
        <f t="shared" si="3"/>
        <v>1</v>
      </c>
      <c r="AB32" s="1508">
        <f t="shared" si="4"/>
        <v>1</v>
      </c>
      <c r="AC32" s="1508">
        <f t="shared" si="5"/>
        <v>1</v>
      </c>
    </row>
    <row r="33" spans="1:29" ht="15">
      <c r="A33" s="587"/>
      <c r="B33" s="520" t="s">
        <v>757</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511"/>
      <c r="Q33" s="1504" t="str">
        <f t="shared" si="11"/>
        <v>成新度</v>
      </c>
      <c r="R33" s="1505" t="s">
        <v>8</v>
      </c>
      <c r="S33" s="1506" t="e">
        <f t="shared" si="12"/>
        <v>#N/A</v>
      </c>
      <c r="T33" s="1505" t="s">
        <v>8</v>
      </c>
      <c r="U33" s="1506" t="e">
        <f t="shared" si="13"/>
        <v>#N/A</v>
      </c>
      <c r="V33" s="1505" t="s">
        <v>8</v>
      </c>
      <c r="W33" s="1506" t="e">
        <f t="shared" si="14"/>
        <v>#N/A</v>
      </c>
      <c r="X33" s="1499"/>
      <c r="Y33" s="3511"/>
      <c r="Z33" s="1507" t="str">
        <f t="shared" si="15"/>
        <v>成新度</v>
      </c>
      <c r="AA33" s="1508" t="e">
        <f t="shared" si="3"/>
        <v>#N/A</v>
      </c>
      <c r="AB33" s="1508" t="e">
        <f t="shared" si="4"/>
        <v>#N/A</v>
      </c>
      <c r="AC33" s="1508" t="e">
        <f t="shared" si="5"/>
        <v>#N/A</v>
      </c>
    </row>
    <row r="34" spans="1:29" s="1202" customFormat="1" ht="15">
      <c r="A34" s="593"/>
      <c r="B34" s="520" t="s">
        <v>775</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511"/>
      <c r="Q34" s="1133" t="str">
        <f t="shared" si="11"/>
        <v>物业管理</v>
      </c>
      <c r="R34" s="1500" t="s">
        <v>8</v>
      </c>
      <c r="S34" s="1501">
        <f t="shared" si="12"/>
        <v>100</v>
      </c>
      <c r="T34" s="1500" t="s">
        <v>8</v>
      </c>
      <c r="U34" s="1501">
        <f t="shared" si="13"/>
        <v>100</v>
      </c>
      <c r="V34" s="1500" t="s">
        <v>8</v>
      </c>
      <c r="W34" s="1501">
        <f t="shared" si="14"/>
        <v>100</v>
      </c>
      <c r="X34" s="1502"/>
      <c r="Y34" s="3511"/>
      <c r="Z34" s="1132" t="str">
        <f t="shared" si="15"/>
        <v>物业管理</v>
      </c>
      <c r="AA34" s="1503">
        <f t="shared" si="3"/>
        <v>1</v>
      </c>
      <c r="AB34" s="1503">
        <f t="shared" si="4"/>
        <v>1</v>
      </c>
      <c r="AC34" s="1503">
        <f t="shared" si="5"/>
        <v>1</v>
      </c>
    </row>
    <row r="35" spans="1:29" ht="15">
      <c r="A35" s="587"/>
      <c r="B35" s="1807"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511" t="s">
        <v>543</v>
      </c>
      <c r="Q35" s="1504" t="str">
        <f t="shared" si="11"/>
        <v>市政基础设施</v>
      </c>
      <c r="R35" s="1505" t="s">
        <v>8</v>
      </c>
      <c r="S35" s="1506">
        <f t="shared" si="12"/>
        <v>100</v>
      </c>
      <c r="T35" s="1505" t="s">
        <v>8</v>
      </c>
      <c r="U35" s="1506">
        <f t="shared" si="13"/>
        <v>100</v>
      </c>
      <c r="V35" s="1505" t="s">
        <v>8</v>
      </c>
      <c r="W35" s="1506">
        <f t="shared" si="14"/>
        <v>100</v>
      </c>
      <c r="X35" s="1499"/>
      <c r="Y35" s="3511" t="s">
        <v>543</v>
      </c>
      <c r="Z35" s="1507" t="str">
        <f t="shared" si="15"/>
        <v>市政基础设施</v>
      </c>
      <c r="AA35" s="1508">
        <f t="shared" si="3"/>
        <v>1</v>
      </c>
      <c r="AB35" s="1508">
        <f t="shared" si="4"/>
        <v>1</v>
      </c>
      <c r="AC35" s="1508">
        <f t="shared" si="5"/>
        <v>1</v>
      </c>
    </row>
    <row r="36" spans="1:29" ht="15">
      <c r="A36" s="587"/>
      <c r="B36" s="520" t="s">
        <v>763</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511"/>
      <c r="Q36" s="1504" t="str">
        <f t="shared" si="11"/>
        <v>内部装修</v>
      </c>
      <c r="R36" s="1505" t="s">
        <v>8</v>
      </c>
      <c r="S36" s="1506">
        <f t="shared" si="12"/>
        <v>100</v>
      </c>
      <c r="T36" s="1505" t="s">
        <v>8</v>
      </c>
      <c r="U36" s="1506">
        <f t="shared" si="13"/>
        <v>100</v>
      </c>
      <c r="V36" s="1505" t="s">
        <v>8</v>
      </c>
      <c r="W36" s="1506">
        <f t="shared" si="14"/>
        <v>100</v>
      </c>
      <c r="X36" s="1499"/>
      <c r="Y36" s="3511"/>
      <c r="Z36" s="1507" t="str">
        <f t="shared" si="15"/>
        <v>内部装修</v>
      </c>
      <c r="AA36" s="1508">
        <f t="shared" si="3"/>
        <v>1</v>
      </c>
      <c r="AB36" s="1508">
        <f t="shared" si="4"/>
        <v>1</v>
      </c>
      <c r="AC36" s="1508">
        <f t="shared" si="5"/>
        <v>1</v>
      </c>
    </row>
    <row r="37" spans="1:29" ht="15">
      <c r="A37" s="587"/>
      <c r="B37" s="520" t="s">
        <v>783</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511"/>
      <c r="Q37" s="1504" t="str">
        <f t="shared" si="11"/>
        <v>内部装修状况</v>
      </c>
      <c r="R37" s="1505" t="s">
        <v>8</v>
      </c>
      <c r="S37" s="1506">
        <f t="shared" si="12"/>
        <v>100</v>
      </c>
      <c r="T37" s="1505" t="s">
        <v>8</v>
      </c>
      <c r="U37" s="1506">
        <f t="shared" si="13"/>
        <v>100</v>
      </c>
      <c r="V37" s="1505" t="s">
        <v>8</v>
      </c>
      <c r="W37" s="1506">
        <f t="shared" si="14"/>
        <v>100</v>
      </c>
      <c r="X37" s="1499"/>
      <c r="Y37" s="3511"/>
      <c r="Z37" s="1507" t="str">
        <f t="shared" si="15"/>
        <v>内部装修状况</v>
      </c>
      <c r="AA37" s="1508">
        <f t="shared" si="3"/>
        <v>1</v>
      </c>
      <c r="AB37" s="1508">
        <f t="shared" si="4"/>
        <v>1</v>
      </c>
      <c r="AC37" s="1508">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511"/>
      <c r="Q38" s="1533">
        <f t="shared" si="11"/>
        <v>111</v>
      </c>
      <c r="R38" s="1509" t="s">
        <v>8</v>
      </c>
      <c r="S38" s="1510">
        <f t="shared" si="12"/>
        <v>100</v>
      </c>
      <c r="T38" s="1509" t="s">
        <v>8</v>
      </c>
      <c r="U38" s="1510">
        <f t="shared" si="13"/>
        <v>100</v>
      </c>
      <c r="V38" s="1509" t="s">
        <v>8</v>
      </c>
      <c r="W38" s="1510">
        <f t="shared" si="14"/>
        <v>100</v>
      </c>
      <c r="X38" s="1511"/>
      <c r="Y38" s="3511"/>
      <c r="Z38" s="1512">
        <f t="shared" si="15"/>
        <v>111</v>
      </c>
      <c r="AA38" s="1508">
        <f t="shared" si="3"/>
        <v>1</v>
      </c>
      <c r="AB38" s="1508">
        <f t="shared" si="4"/>
        <v>1</v>
      </c>
      <c r="AC38" s="1508">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511"/>
      <c r="Q39" s="1504">
        <f t="shared" si="11"/>
        <v>111</v>
      </c>
      <c r="R39" s="1505" t="s">
        <v>8</v>
      </c>
      <c r="S39" s="1506">
        <f t="shared" si="12"/>
        <v>100</v>
      </c>
      <c r="T39" s="1505" t="s">
        <v>8</v>
      </c>
      <c r="U39" s="1506">
        <f t="shared" si="13"/>
        <v>100</v>
      </c>
      <c r="V39" s="1505" t="s">
        <v>8</v>
      </c>
      <c r="W39" s="1506">
        <f t="shared" si="14"/>
        <v>100</v>
      </c>
      <c r="X39" s="1499"/>
      <c r="Y39" s="3511"/>
      <c r="Z39" s="1507">
        <f t="shared" si="15"/>
        <v>111</v>
      </c>
      <c r="AA39" s="1508">
        <f t="shared" si="3"/>
        <v>1</v>
      </c>
      <c r="AB39" s="1508">
        <f t="shared" si="4"/>
        <v>1</v>
      </c>
      <c r="AC39" s="1508">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612"/>
      <c r="Q40" s="1504">
        <f t="shared" si="11"/>
        <v>111</v>
      </c>
      <c r="R40" s="1505" t="s">
        <v>8</v>
      </c>
      <c r="S40" s="1506">
        <f t="shared" si="12"/>
        <v>100</v>
      </c>
      <c r="T40" s="1505" t="s">
        <v>8</v>
      </c>
      <c r="U40" s="1506">
        <f t="shared" si="13"/>
        <v>100</v>
      </c>
      <c r="V40" s="1505" t="s">
        <v>8</v>
      </c>
      <c r="W40" s="1506">
        <f t="shared" si="14"/>
        <v>100</v>
      </c>
      <c r="X40" s="1499"/>
      <c r="Y40" s="3612"/>
      <c r="Z40" s="1507">
        <f t="shared" si="15"/>
        <v>111</v>
      </c>
      <c r="AA40" s="1508">
        <f t="shared" si="3"/>
        <v>1</v>
      </c>
      <c r="AB40" s="1508">
        <f t="shared" si="4"/>
        <v>1</v>
      </c>
      <c r="AC40" s="1508">
        <f t="shared" si="5"/>
        <v>1</v>
      </c>
    </row>
    <row r="41" spans="1:29" ht="15">
      <c r="A41" s="600" t="s">
        <v>729</v>
      </c>
      <c r="B41" s="875"/>
      <c r="C41" s="2468" t="s">
        <v>1</v>
      </c>
      <c r="D41" s="2469"/>
      <c r="E41" s="2470"/>
      <c r="F41" s="2471"/>
      <c r="G41" s="2472"/>
      <c r="H41" s="2473"/>
      <c r="I41" s="2470"/>
      <c r="J41" s="2473"/>
      <c r="K41" s="1538"/>
      <c r="L41" s="2024"/>
      <c r="M41" s="2025"/>
      <c r="N41" s="2014"/>
      <c r="O41" s="2025"/>
      <c r="P41" s="3506" t="str">
        <f>A41</f>
        <v>成交单价（元/平方米）</v>
      </c>
      <c r="Q41" s="3506"/>
      <c r="R41" s="3613">
        <f>E41</f>
        <v>0</v>
      </c>
      <c r="S41" s="3613"/>
      <c r="T41" s="3613">
        <f>G41</f>
        <v>0</v>
      </c>
      <c r="U41" s="3613"/>
      <c r="V41" s="3613">
        <f>I41</f>
        <v>0</v>
      </c>
      <c r="W41" s="3613"/>
      <c r="X41" s="1494"/>
      <c r="Y41" s="1513"/>
      <c r="Z41" s="1494"/>
      <c r="AA41" s="1494"/>
      <c r="AB41" s="1494"/>
      <c r="AC41" s="1494"/>
    </row>
    <row r="42" spans="1:29" ht="15.75" thickBot="1">
      <c r="A42" s="608" t="s">
        <v>2740</v>
      </c>
      <c r="B42" s="876"/>
      <c r="C42" s="2474" t="e">
        <f>R43</f>
        <v>#DIV/0!</v>
      </c>
      <c r="D42" s="3008" t="s">
        <v>2970</v>
      </c>
      <c r="E42" s="2475" t="e">
        <f>R42</f>
        <v>#DIV/0!</v>
      </c>
      <c r="F42" s="3009"/>
      <c r="G42" s="2474" t="e">
        <f>T42</f>
        <v>#DIV/0!</v>
      </c>
      <c r="H42" s="3009"/>
      <c r="I42" s="2475" t="e">
        <f>V42</f>
        <v>#DIV/0!</v>
      </c>
      <c r="J42" s="3009"/>
      <c r="K42" s="3017">
        <f>F42+H42+J42</f>
        <v>0</v>
      </c>
      <c r="L42" s="2024"/>
      <c r="M42" s="2025"/>
      <c r="N42" s="2014"/>
      <c r="O42" s="2025"/>
      <c r="P42" s="3506" t="str">
        <f>A42</f>
        <v>比较价格（元/平方米）</v>
      </c>
      <c r="Q42" s="3506"/>
      <c r="R42" s="3613" t="e">
        <f>IF(F1="售价",ROUND(PRODUCT(R41,AA7:AA40),0),ROUND(PRODUCT(R41,AA7:AA40),1))</f>
        <v>#DIV/0!</v>
      </c>
      <c r="S42" s="3613"/>
      <c r="T42" s="3613" t="e">
        <f>IF(F1="售价",ROUND(PRODUCT(T41,AB7:AB40),0),ROUND(PRODUCT(T41,AB7:AB40),1))</f>
        <v>#DIV/0!</v>
      </c>
      <c r="U42" s="3613"/>
      <c r="V42" s="3613" t="e">
        <f>IF(F1="售价",ROUND(PRODUCT(V41,AC7:AC40),0),ROUND(PRODUCT(V41,AC7:AC40),1))</f>
        <v>#DIV/0!</v>
      </c>
      <c r="W42" s="3613"/>
      <c r="X42" s="1494"/>
      <c r="Y42" s="1494"/>
      <c r="Z42" s="1494"/>
      <c r="AA42" s="1494"/>
      <c r="AB42" s="1494"/>
      <c r="AC42" s="1494"/>
    </row>
    <row r="43" spans="1:29" ht="15.75" thickBot="1">
      <c r="A43" s="612" t="s">
        <v>2902</v>
      </c>
      <c r="B43" s="613"/>
      <c r="C43" s="2476" t="e">
        <f>R43</f>
        <v>#DIV/0!</v>
      </c>
      <c r="D43" s="2476"/>
      <c r="E43" s="2476"/>
      <c r="F43" s="2476"/>
      <c r="G43" s="2476"/>
      <c r="H43" s="2476"/>
      <c r="I43" s="2476"/>
      <c r="J43" s="2476"/>
      <c r="K43" s="1539"/>
      <c r="L43" s="2024"/>
      <c r="M43" s="2025"/>
      <c r="N43" s="2025"/>
      <c r="O43" s="2025"/>
      <c r="P43" s="3528" t="str">
        <f>A43</f>
        <v>估价对象XX用房的比较价格（楼面单价，元/平方米）</v>
      </c>
      <c r="Q43" s="3529"/>
      <c r="R43" s="3614" t="e">
        <f>IF(F1="售价",ROUND(IF(D42="简单平均",AVERAGE(R42:V42),R42*F42+T42*H42+V42*J42),0),ROUND(IF(D42="简单平均",AVERAGE(R42:V42),R42*F42+T42*H42+V42*J42),1))</f>
        <v>#DIV/0!</v>
      </c>
      <c r="S43" s="3614"/>
      <c r="T43" s="3614"/>
      <c r="U43" s="3614"/>
      <c r="V43" s="3614"/>
      <c r="W43" s="3614"/>
      <c r="X43" s="1494"/>
      <c r="Y43" s="1494"/>
      <c r="Z43" s="1494"/>
      <c r="AA43" s="1494"/>
      <c r="AB43" s="1494"/>
      <c r="AC43" s="1494"/>
    </row>
    <row r="44" spans="1:29">
      <c r="A44" s="3208"/>
      <c r="B44" s="3208"/>
      <c r="C44" s="3208"/>
      <c r="D44" s="3208"/>
      <c r="E44" s="3208"/>
      <c r="F44" s="3208"/>
      <c r="G44" s="3210"/>
      <c r="H44" s="3208"/>
      <c r="I44" s="3208"/>
      <c r="J44" s="3208"/>
      <c r="K44" s="3211"/>
      <c r="L44" s="2029"/>
      <c r="M44" s="2025"/>
      <c r="N44" s="2025"/>
      <c r="O44" s="2025"/>
      <c r="P44" s="2025"/>
      <c r="Q44" s="2025"/>
      <c r="R44" s="2025"/>
      <c r="S44" s="2025"/>
      <c r="T44" s="2025"/>
      <c r="U44" s="2025"/>
      <c r="V44" s="2025"/>
      <c r="W44" s="2025"/>
      <c r="X44" s="2025"/>
      <c r="Y44" s="2025"/>
      <c r="Z44" s="2025"/>
      <c r="AA44" s="2025"/>
      <c r="AB44" s="2025"/>
      <c r="AC44" s="2025"/>
    </row>
    <row r="45" spans="1:29">
      <c r="A45" s="3208"/>
      <c r="B45" s="3208"/>
      <c r="C45" s="3208"/>
      <c r="D45" s="3208"/>
      <c r="E45" s="3208"/>
      <c r="F45" s="3208"/>
      <c r="G45" s="3208"/>
      <c r="H45" s="3208"/>
      <c r="I45" s="3208"/>
      <c r="J45" s="3208"/>
      <c r="K45" s="3211"/>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8"/>
      <c r="B46" s="3208"/>
      <c r="C46" s="615" t="s">
        <v>550</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1"/>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8"/>
      <c r="B47" s="3208"/>
      <c r="C47" s="615" t="s">
        <v>551</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1"/>
      <c r="L47" s="2029"/>
      <c r="M47" s="2025"/>
      <c r="N47" s="2025"/>
      <c r="O47" s="2025"/>
      <c r="P47" s="2025"/>
      <c r="Q47" s="2025"/>
      <c r="R47" s="2025"/>
      <c r="S47" s="2025"/>
      <c r="T47" s="2025"/>
      <c r="U47" s="2025"/>
      <c r="V47" s="2025"/>
      <c r="W47" s="2025"/>
      <c r="X47" s="2025"/>
      <c r="Y47" s="2025"/>
      <c r="Z47" s="2025"/>
      <c r="AA47" s="2025"/>
      <c r="AB47" s="2025"/>
      <c r="AC47" s="2025"/>
    </row>
    <row r="48" spans="1:29" s="1297" customFormat="1" ht="13.5" customHeight="1">
      <c r="A48" s="3209"/>
      <c r="B48" s="3209"/>
      <c r="C48" s="615" t="s">
        <v>552</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2"/>
      <c r="L48" s="2032"/>
      <c r="M48" s="2026"/>
      <c r="N48" s="2026"/>
      <c r="O48" s="2026"/>
      <c r="P48" s="2026"/>
      <c r="Q48" s="2026"/>
      <c r="R48" s="2026"/>
      <c r="S48" s="2026"/>
      <c r="T48" s="2026"/>
      <c r="U48" s="2026"/>
      <c r="V48" s="2026"/>
      <c r="W48" s="2026"/>
      <c r="X48" s="2026"/>
      <c r="Y48" s="2026"/>
      <c r="Z48" s="2026"/>
      <c r="AA48" s="2026"/>
      <c r="AB48" s="2026"/>
      <c r="AC48" s="2026"/>
    </row>
    <row r="49" spans="1:29" s="1297"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567</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9" customFormat="1" ht="15">
      <c r="A52" s="636" t="s">
        <v>522</v>
      </c>
      <c r="B52" s="637"/>
      <c r="C52" s="2517" t="str">
        <f>YEAR(C7)&amp;"-"&amp;MONTH(C7)</f>
        <v>2021-2</v>
      </c>
      <c r="D52" s="2519">
        <f>EDATE(C52,-1)</f>
        <v>44197</v>
      </c>
      <c r="E52" s="2519">
        <f t="shared" ref="E52:O52" si="16">EDATE(D52,-1)</f>
        <v>44166</v>
      </c>
      <c r="F52" s="2519">
        <f t="shared" si="16"/>
        <v>44136</v>
      </c>
      <c r="G52" s="2519">
        <f t="shared" si="16"/>
        <v>44105</v>
      </c>
      <c r="H52" s="2519">
        <f t="shared" si="16"/>
        <v>44075</v>
      </c>
      <c r="I52" s="2519">
        <f t="shared" si="16"/>
        <v>44044</v>
      </c>
      <c r="J52" s="2519">
        <f t="shared" si="16"/>
        <v>44013</v>
      </c>
      <c r="K52" s="2519">
        <f t="shared" si="16"/>
        <v>43983</v>
      </c>
      <c r="L52" s="2519">
        <f t="shared" si="16"/>
        <v>43952</v>
      </c>
      <c r="M52" s="2519">
        <f t="shared" si="16"/>
        <v>43922</v>
      </c>
      <c r="N52" s="2519">
        <f t="shared" si="16"/>
        <v>43891</v>
      </c>
      <c r="O52" s="2519">
        <f t="shared" si="16"/>
        <v>43862</v>
      </c>
      <c r="P52" s="2039"/>
      <c r="Q52" s="2040"/>
      <c r="R52" s="2040"/>
      <c r="S52" s="2040"/>
      <c r="T52" s="2040"/>
      <c r="U52" s="2040"/>
      <c r="V52" s="2040"/>
      <c r="W52" s="2040"/>
      <c r="X52" s="2040"/>
      <c r="Y52" s="2040"/>
      <c r="Z52" s="2040"/>
      <c r="AA52" s="2040"/>
      <c r="AB52" s="2040"/>
      <c r="AC52" s="2040"/>
    </row>
    <row r="53" spans="1:29" s="1202"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2" customFormat="1" ht="15.75" thickBot="1">
      <c r="A54" s="644" t="s">
        <v>568</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2" customFormat="1" ht="15">
      <c r="A55" s="650" t="s">
        <v>524</v>
      </c>
      <c r="B55" s="639"/>
      <c r="C55" s="651" t="s">
        <v>569</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2"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570</v>
      </c>
      <c r="B57" s="656" t="s">
        <v>527</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530</v>
      </c>
      <c r="C59" s="665" t="s">
        <v>730</v>
      </c>
      <c r="D59" s="665" t="s">
        <v>731</v>
      </c>
      <c r="E59" s="665" t="s">
        <v>732</v>
      </c>
      <c r="F59" s="665" t="s">
        <v>733</v>
      </c>
      <c r="G59" s="665" t="s">
        <v>734</v>
      </c>
      <c r="H59" s="665" t="s">
        <v>735</v>
      </c>
      <c r="I59" s="665" t="s">
        <v>736</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531</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2"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2"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2"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2"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2"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2"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532</v>
      </c>
      <c r="B70" s="656" t="s">
        <v>578</v>
      </c>
      <c r="C70" s="694" t="s">
        <v>572</v>
      </c>
      <c r="D70" s="694" t="s">
        <v>573</v>
      </c>
      <c r="E70" s="694" t="s">
        <v>574</v>
      </c>
      <c r="F70" s="694" t="s">
        <v>575</v>
      </c>
      <c r="G70" s="694" t="s">
        <v>576</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579</v>
      </c>
      <c r="C72" s="699" t="s">
        <v>572</v>
      </c>
      <c r="D72" s="699" t="s">
        <v>573</v>
      </c>
      <c r="E72" s="699" t="s">
        <v>574</v>
      </c>
      <c r="F72" s="699" t="s">
        <v>575</v>
      </c>
      <c r="G72" s="699" t="s">
        <v>576</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2538</v>
      </c>
      <c r="C74" s="699" t="s">
        <v>572</v>
      </c>
      <c r="D74" s="699" t="s">
        <v>573</v>
      </c>
      <c r="E74" s="699" t="s">
        <v>574</v>
      </c>
      <c r="F74" s="699" t="s">
        <v>575</v>
      </c>
      <c r="G74" s="699" t="s">
        <v>576</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2539</v>
      </c>
      <c r="C76" s="2440" t="s">
        <v>2540</v>
      </c>
      <c r="D76" s="2440" t="s">
        <v>2541</v>
      </c>
      <c r="E76" s="2440" t="s">
        <v>2542</v>
      </c>
      <c r="F76" s="2440" t="s">
        <v>2543</v>
      </c>
      <c r="G76" s="2440" t="s">
        <v>2544</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777</v>
      </c>
      <c r="C78" s="699" t="s">
        <v>572</v>
      </c>
      <c r="D78" s="699" t="s">
        <v>573</v>
      </c>
      <c r="E78" s="699" t="s">
        <v>574</v>
      </c>
      <c r="F78" s="699" t="s">
        <v>575</v>
      </c>
      <c r="G78" s="699" t="s">
        <v>576</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2"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2"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2"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2"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2"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2"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544</v>
      </c>
      <c r="B88" s="656" t="s">
        <v>740</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741</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2"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2"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742</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744</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745</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2" customFormat="1" ht="15" thickTop="1">
      <c r="A100" s="719"/>
      <c r="B100" s="664" t="s">
        <v>746</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2537</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748</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784</v>
      </c>
      <c r="C106" s="699" t="s">
        <v>572</v>
      </c>
      <c r="D106" s="699" t="s">
        <v>573</v>
      </c>
      <c r="E106" s="699" t="s">
        <v>574</v>
      </c>
      <c r="F106" s="699" t="s">
        <v>575</v>
      </c>
      <c r="G106" s="699" t="s">
        <v>576</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2"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2"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911"/>
      <c r="C1" s="497" t="s">
        <v>785</v>
      </c>
      <c r="D1" s="837"/>
      <c r="E1" s="499"/>
      <c r="F1" s="2522"/>
      <c r="G1" s="1529" t="s">
        <v>786</v>
      </c>
      <c r="H1" s="499"/>
      <c r="I1" s="499"/>
      <c r="J1" s="499"/>
      <c r="K1" s="500"/>
      <c r="L1" s="3204"/>
      <c r="M1" s="3205"/>
      <c r="N1" s="3205"/>
      <c r="O1" s="3205"/>
      <c r="P1" s="2012"/>
      <c r="Q1" s="2012"/>
      <c r="R1" s="2012"/>
      <c r="S1" s="2012"/>
      <c r="T1" s="2012"/>
      <c r="U1" s="2012"/>
      <c r="V1" s="2012"/>
      <c r="W1" s="2012"/>
      <c r="X1" s="2012"/>
      <c r="Y1" s="2012"/>
      <c r="Z1" s="2012"/>
      <c r="AA1" s="2012"/>
      <c r="AB1" s="2012"/>
      <c r="AC1" s="3206"/>
    </row>
    <row r="2" spans="1:29" s="1289" customFormat="1" ht="28.5" customHeight="1">
      <c r="A2" s="416" t="s">
        <v>787</v>
      </c>
      <c r="B2" s="838"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6"/>
    </row>
    <row r="3" spans="1:29" s="1289" customFormat="1" ht="28.5" customHeight="1" thickBot="1">
      <c r="A3" s="502" t="s">
        <v>788</v>
      </c>
      <c r="B3" s="503" t="e">
        <f>IF(B37="元/平方米",C39,ROUND(B2*10000/D3,0))</f>
        <v>#DIV/0!</v>
      </c>
      <c r="C3" s="840" t="s">
        <v>789</v>
      </c>
      <c r="D3" s="839">
        <f>SUMIF('数据-汇总表'!$C19:$C33,D1,'数据-汇总表'!$E19:$E33)</f>
        <v>0</v>
      </c>
      <c r="E3" s="1760" t="s">
        <v>2064</v>
      </c>
      <c r="F3" s="839">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5" t="s">
        <v>790</v>
      </c>
      <c r="B4" s="506"/>
      <c r="C4" s="3512" t="s">
        <v>791</v>
      </c>
      <c r="D4" s="3513"/>
      <c r="E4" s="3512" t="s">
        <v>792</v>
      </c>
      <c r="F4" s="3513"/>
      <c r="G4" s="3512" t="s">
        <v>793</v>
      </c>
      <c r="H4" s="3513"/>
      <c r="I4" s="3512" t="s">
        <v>794</v>
      </c>
      <c r="J4" s="3513"/>
      <c r="K4" s="507" t="s">
        <v>795</v>
      </c>
      <c r="L4" s="2013"/>
      <c r="M4" s="2014"/>
      <c r="N4" s="2014"/>
      <c r="O4" s="2014"/>
      <c r="P4" s="3514" t="s">
        <v>796</v>
      </c>
      <c r="Q4" s="3515"/>
      <c r="R4" s="3500" t="s">
        <v>792</v>
      </c>
      <c r="S4" s="3501"/>
      <c r="T4" s="3500" t="s">
        <v>793</v>
      </c>
      <c r="U4" s="3501"/>
      <c r="V4" s="3520" t="s">
        <v>794</v>
      </c>
      <c r="W4" s="3520"/>
      <c r="X4" s="1499"/>
      <c r="Y4" s="3500" t="s">
        <v>796</v>
      </c>
      <c r="Z4" s="3501"/>
      <c r="AA4" s="3495" t="s">
        <v>792</v>
      </c>
      <c r="AB4" s="3496" t="s">
        <v>793</v>
      </c>
      <c r="AC4" s="3495" t="s">
        <v>794</v>
      </c>
    </row>
    <row r="5" spans="1:29" ht="15">
      <c r="A5" s="508"/>
      <c r="B5" s="509"/>
      <c r="C5" s="3523" t="s">
        <v>2896</v>
      </c>
      <c r="D5" s="3524"/>
      <c r="E5" s="3523" t="s">
        <v>2897</v>
      </c>
      <c r="F5" s="3524"/>
      <c r="G5" s="3523" t="s">
        <v>2898</v>
      </c>
      <c r="H5" s="3524"/>
      <c r="I5" s="3523" t="s">
        <v>2899</v>
      </c>
      <c r="J5" s="3524"/>
      <c r="K5" s="507"/>
      <c r="L5" s="2013"/>
      <c r="M5" s="2014"/>
      <c r="N5" s="2014"/>
      <c r="O5" s="2014"/>
      <c r="P5" s="3516"/>
      <c r="Q5" s="3517"/>
      <c r="R5" s="3502"/>
      <c r="S5" s="3503"/>
      <c r="T5" s="3502"/>
      <c r="U5" s="3503"/>
      <c r="V5" s="3520"/>
      <c r="W5" s="3520"/>
      <c r="X5" s="1499"/>
      <c r="Y5" s="3502"/>
      <c r="Z5" s="3503"/>
      <c r="AA5" s="3496"/>
      <c r="AB5" s="3496"/>
      <c r="AC5" s="3496"/>
    </row>
    <row r="6" spans="1:29" ht="15.75" thickBot="1">
      <c r="A6" s="510"/>
      <c r="B6" s="511"/>
      <c r="C6" s="3521" t="s">
        <v>2900</v>
      </c>
      <c r="D6" s="3522"/>
      <c r="E6" s="3619" t="s">
        <v>2900</v>
      </c>
      <c r="F6" s="3527"/>
      <c r="G6" s="3521" t="s">
        <v>2900</v>
      </c>
      <c r="H6" s="3522"/>
      <c r="I6" s="3521" t="s">
        <v>2900</v>
      </c>
      <c r="J6" s="3522"/>
      <c r="K6" s="507" t="s">
        <v>521</v>
      </c>
      <c r="L6" s="2013"/>
      <c r="M6" s="2014"/>
      <c r="N6" s="2014"/>
      <c r="O6" s="2014"/>
      <c r="P6" s="3518"/>
      <c r="Q6" s="3519"/>
      <c r="R6" s="3502"/>
      <c r="S6" s="3503"/>
      <c r="T6" s="3504"/>
      <c r="U6" s="3505"/>
      <c r="V6" s="3520"/>
      <c r="W6" s="3520"/>
      <c r="X6" s="1499"/>
      <c r="Y6" s="3504"/>
      <c r="Z6" s="3505"/>
      <c r="AA6" s="3497"/>
      <c r="AB6" s="3497"/>
      <c r="AC6" s="3497"/>
    </row>
    <row r="7" spans="1:29" s="1202" customFormat="1" ht="15.75" thickBot="1">
      <c r="A7" s="2627"/>
      <c r="B7" s="2634" t="s">
        <v>522</v>
      </c>
      <c r="C7" s="512">
        <f>'数据-取费表'!B2</f>
        <v>44254</v>
      </c>
      <c r="D7" s="513">
        <v>100</v>
      </c>
      <c r="E7" s="514"/>
      <c r="F7" s="515">
        <f>SUMIF(48:48,YEAR(E7)&amp;"-"&amp;MONTH(E7),49:49)</f>
        <v>0</v>
      </c>
      <c r="G7" s="516"/>
      <c r="H7" s="513">
        <f>SUMIF(48:48,YEAR(G7)&amp;"-"&amp;MONTH(G7),49:49)</f>
        <v>0</v>
      </c>
      <c r="I7" s="516"/>
      <c r="J7" s="513">
        <f>SUMIF(48:48,YEAR(I7)&amp;"-"&amp;MONTH(I7),49:49)</f>
        <v>0</v>
      </c>
      <c r="K7" s="517"/>
      <c r="L7" s="2015"/>
      <c r="M7" s="2016"/>
      <c r="N7" s="2016"/>
      <c r="O7" s="2016"/>
      <c r="P7" s="3498" t="s">
        <v>523</v>
      </c>
      <c r="Q7" s="3507"/>
      <c r="R7" s="1500" t="s">
        <v>8</v>
      </c>
      <c r="S7" s="1501">
        <f t="shared" ref="S7:S14" si="0">F7</f>
        <v>0</v>
      </c>
      <c r="T7" s="1500" t="s">
        <v>8</v>
      </c>
      <c r="U7" s="1501">
        <f t="shared" ref="U7:U14" si="1">H7</f>
        <v>0</v>
      </c>
      <c r="V7" s="1500" t="s">
        <v>8</v>
      </c>
      <c r="W7" s="1501">
        <f t="shared" ref="W7:W14" si="2">J7</f>
        <v>0</v>
      </c>
      <c r="X7" s="1502"/>
      <c r="Y7" s="3498" t="s">
        <v>523</v>
      </c>
      <c r="Z7" s="3499"/>
      <c r="AA7" s="1503" t="e">
        <f>D7/F7</f>
        <v>#DIV/0!</v>
      </c>
      <c r="AB7" s="1503" t="e">
        <f>D7/H7</f>
        <v>#DIV/0!</v>
      </c>
      <c r="AC7" s="1503" t="e">
        <f>D7/J7</f>
        <v>#DIV/0!</v>
      </c>
    </row>
    <row r="8" spans="1:29" s="1202" customFormat="1" ht="15.75" thickBot="1">
      <c r="A8" s="2628"/>
      <c r="B8" s="2635" t="s">
        <v>524</v>
      </c>
      <c r="C8" s="518" t="s">
        <v>569</v>
      </c>
      <c r="D8" s="513">
        <v>100</v>
      </c>
      <c r="E8" s="518"/>
      <c r="F8" s="515">
        <f>SUMIF(51:51,E8,52:52)-SUMIF(51:51,C8,52:52)+100</f>
        <v>0</v>
      </c>
      <c r="G8" s="518"/>
      <c r="H8" s="513">
        <f>SUMIF(51:51,G8,52:52)-SUMIF(51:51,C8,52:52)+100</f>
        <v>0</v>
      </c>
      <c r="I8" s="518"/>
      <c r="J8" s="513">
        <f>SUMIF(51:51,I8,52:52)-SUMIF(51:51,C8,52:52)+100</f>
        <v>0</v>
      </c>
      <c r="K8" s="517"/>
      <c r="L8" s="2015"/>
      <c r="M8" s="2016"/>
      <c r="N8" s="2016"/>
      <c r="O8" s="2016"/>
      <c r="P8" s="3498" t="s">
        <v>526</v>
      </c>
      <c r="Q8" s="3499"/>
      <c r="R8" s="1500" t="s">
        <v>8</v>
      </c>
      <c r="S8" s="1501">
        <f t="shared" si="0"/>
        <v>0</v>
      </c>
      <c r="T8" s="1500" t="s">
        <v>8</v>
      </c>
      <c r="U8" s="1501">
        <f t="shared" si="1"/>
        <v>0</v>
      </c>
      <c r="V8" s="1500" t="s">
        <v>8</v>
      </c>
      <c r="W8" s="1501">
        <f t="shared" si="2"/>
        <v>0</v>
      </c>
      <c r="X8" s="1502"/>
      <c r="Y8" s="3498" t="s">
        <v>526</v>
      </c>
      <c r="Z8" s="3499"/>
      <c r="AA8" s="1503" t="e">
        <f t="shared" ref="AA8:AA36" si="3">D8/F8</f>
        <v>#DIV/0!</v>
      </c>
      <c r="AB8" s="1503" t="e">
        <f t="shared" ref="AB8:AB36" si="4">D8/H8</f>
        <v>#DIV/0!</v>
      </c>
      <c r="AC8" s="1503" t="e">
        <f t="shared" ref="AC8:AC36" si="5">D8/J8</f>
        <v>#DIV/0!</v>
      </c>
    </row>
    <row r="9" spans="1:29" s="1202" customFormat="1" ht="15">
      <c r="A9" s="2629"/>
      <c r="B9" s="2636" t="s">
        <v>2736</v>
      </c>
      <c r="C9" s="845"/>
      <c r="D9" s="251">
        <v>100</v>
      </c>
      <c r="E9" s="848"/>
      <c r="F9" s="251">
        <f>SUMIF(53:53,E9,54:54)-SUMIF(53:53,C9,54:54)+100</f>
        <v>100</v>
      </c>
      <c r="G9" s="846"/>
      <c r="H9" s="251">
        <f>SUMIF(53:53,G9,54:54)-SUMIF(53:53,C9,54:54)+100</f>
        <v>100</v>
      </c>
      <c r="I9" s="846"/>
      <c r="J9" s="251">
        <f>SUMIF(53:53,I9,54:54)-SUMIF(53:53,C9,54:54)+100</f>
        <v>100</v>
      </c>
      <c r="K9" s="517"/>
      <c r="L9" s="2015"/>
      <c r="M9" s="2016"/>
      <c r="N9" s="2016"/>
      <c r="O9" s="2017"/>
      <c r="P9" s="3506" t="s">
        <v>528</v>
      </c>
      <c r="Q9" s="1133" t="str">
        <f t="shared" ref="Q9:Q14" si="6">B9</f>
        <v>用途</v>
      </c>
      <c r="R9" s="1500" t="s">
        <v>8</v>
      </c>
      <c r="S9" s="1501">
        <f t="shared" si="0"/>
        <v>100</v>
      </c>
      <c r="T9" s="1500" t="s">
        <v>8</v>
      </c>
      <c r="U9" s="1501">
        <f t="shared" si="1"/>
        <v>100</v>
      </c>
      <c r="V9" s="1500" t="s">
        <v>8</v>
      </c>
      <c r="W9" s="1501">
        <f t="shared" si="2"/>
        <v>100</v>
      </c>
      <c r="X9" s="1502"/>
      <c r="Y9" s="3457" t="s">
        <v>529</v>
      </c>
      <c r="Z9" s="1132" t="str">
        <f t="shared" ref="Z9:Z14" si="7">Q9</f>
        <v>用途</v>
      </c>
      <c r="AA9" s="1503">
        <f t="shared" si="3"/>
        <v>1</v>
      </c>
      <c r="AB9" s="1503">
        <f t="shared" si="4"/>
        <v>1</v>
      </c>
      <c r="AC9" s="1503">
        <f t="shared" si="5"/>
        <v>1</v>
      </c>
    </row>
    <row r="10" spans="1:29" s="1291" customFormat="1" ht="27">
      <c r="A10" s="2630"/>
      <c r="B10" s="2635" t="s">
        <v>2737</v>
      </c>
      <c r="C10" s="849"/>
      <c r="D10" s="252">
        <v>100</v>
      </c>
      <c r="E10" s="849"/>
      <c r="F10" s="252">
        <f>SUMIF(55:55,E10,56:56)-SUMIF(55:55,C10,56:56)+100</f>
        <v>100</v>
      </c>
      <c r="G10" s="850"/>
      <c r="H10" s="252">
        <f>SUMIF(55:55,G10,56:56)-SUMIF(55:55,C10,56:56)+100</f>
        <v>100</v>
      </c>
      <c r="I10" s="849"/>
      <c r="J10" s="252">
        <f>SUMIF(55:55,I10,56:56)-SUMIF(55:55,C10,56:56)+100</f>
        <v>100</v>
      </c>
      <c r="K10" s="577"/>
      <c r="L10" s="2018"/>
      <c r="M10" s="2057"/>
      <c r="N10" s="2057"/>
      <c r="O10" s="2019"/>
      <c r="P10" s="3506"/>
      <c r="Q10" s="1133" t="str">
        <f t="shared" si="6"/>
        <v>土地使用年限（年）</v>
      </c>
      <c r="R10" s="1500" t="s">
        <v>8</v>
      </c>
      <c r="S10" s="1501">
        <f t="shared" si="0"/>
        <v>100</v>
      </c>
      <c r="T10" s="1500" t="s">
        <v>8</v>
      </c>
      <c r="U10" s="1501">
        <f t="shared" si="1"/>
        <v>100</v>
      </c>
      <c r="V10" s="1500" t="s">
        <v>8</v>
      </c>
      <c r="W10" s="1501">
        <f t="shared" si="2"/>
        <v>100</v>
      </c>
      <c r="X10" s="1502"/>
      <c r="Y10" s="3457"/>
      <c r="Z10" s="1132" t="str">
        <f t="shared" si="7"/>
        <v>土地使用年限（年）</v>
      </c>
      <c r="AA10" s="1503">
        <f t="shared" si="3"/>
        <v>1</v>
      </c>
      <c r="AB10" s="1503">
        <f t="shared" si="4"/>
        <v>1</v>
      </c>
      <c r="AC10" s="1503">
        <f t="shared" si="5"/>
        <v>1</v>
      </c>
    </row>
    <row r="11" spans="1:29" ht="15">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506"/>
      <c r="Q11" s="1133">
        <f t="shared" si="6"/>
        <v>111</v>
      </c>
      <c r="R11" s="1500" t="s">
        <v>8</v>
      </c>
      <c r="S11" s="1501">
        <f t="shared" si="0"/>
        <v>100</v>
      </c>
      <c r="T11" s="1500" t="s">
        <v>8</v>
      </c>
      <c r="U11" s="1501">
        <f t="shared" si="1"/>
        <v>100</v>
      </c>
      <c r="V11" s="1500" t="s">
        <v>8</v>
      </c>
      <c r="W11" s="1501">
        <f t="shared" si="2"/>
        <v>100</v>
      </c>
      <c r="X11" s="1502"/>
      <c r="Y11" s="3457"/>
      <c r="Z11" s="1132">
        <f t="shared" si="7"/>
        <v>111</v>
      </c>
      <c r="AA11" s="1503">
        <f t="shared" si="3"/>
        <v>1</v>
      </c>
      <c r="AB11" s="1503">
        <f t="shared" si="4"/>
        <v>1</v>
      </c>
      <c r="AC11" s="1503">
        <f t="shared" si="5"/>
        <v>1</v>
      </c>
    </row>
    <row r="12" spans="1:29" s="1202" customFormat="1" ht="15">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506"/>
      <c r="Q12" s="1133">
        <f t="shared" si="6"/>
        <v>111</v>
      </c>
      <c r="R12" s="1500" t="s">
        <v>8</v>
      </c>
      <c r="S12" s="1501">
        <f t="shared" si="0"/>
        <v>100</v>
      </c>
      <c r="T12" s="1500" t="s">
        <v>8</v>
      </c>
      <c r="U12" s="1501">
        <f t="shared" si="1"/>
        <v>100</v>
      </c>
      <c r="V12" s="1500" t="s">
        <v>8</v>
      </c>
      <c r="W12" s="1501">
        <f t="shared" si="2"/>
        <v>100</v>
      </c>
      <c r="X12" s="1502"/>
      <c r="Y12" s="3457"/>
      <c r="Z12" s="1132">
        <f t="shared" si="7"/>
        <v>111</v>
      </c>
      <c r="AA12" s="1503">
        <f>D12/F12</f>
        <v>1</v>
      </c>
      <c r="AB12" s="1503">
        <f>D12/H12</f>
        <v>1</v>
      </c>
      <c r="AC12" s="1503">
        <f>D12/J12</f>
        <v>1</v>
      </c>
    </row>
    <row r="13" spans="1:29" ht="15.75"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506"/>
      <c r="Q13" s="1133">
        <f t="shared" si="6"/>
        <v>111</v>
      </c>
      <c r="R13" s="1500" t="s">
        <v>8</v>
      </c>
      <c r="S13" s="1501">
        <f t="shared" si="0"/>
        <v>100</v>
      </c>
      <c r="T13" s="1500" t="s">
        <v>8</v>
      </c>
      <c r="U13" s="1501">
        <f t="shared" si="1"/>
        <v>100</v>
      </c>
      <c r="V13" s="1500" t="s">
        <v>8</v>
      </c>
      <c r="W13" s="1501">
        <f t="shared" si="2"/>
        <v>100</v>
      </c>
      <c r="X13" s="1502"/>
      <c r="Y13" s="3457"/>
      <c r="Z13" s="1132">
        <f t="shared" si="7"/>
        <v>111</v>
      </c>
      <c r="AA13" s="1503">
        <f t="shared" si="3"/>
        <v>1</v>
      </c>
      <c r="AB13" s="1503">
        <f t="shared" si="4"/>
        <v>1</v>
      </c>
      <c r="AC13" s="1503">
        <f t="shared" si="5"/>
        <v>1</v>
      </c>
    </row>
    <row r="14" spans="1:29" ht="85.5">
      <c r="A14" s="2625" t="s">
        <v>2734</v>
      </c>
      <c r="B14" s="540" t="s">
        <v>536</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2"/>
      <c r="M14" s="2014"/>
      <c r="N14" s="2014"/>
      <c r="O14" s="2021"/>
      <c r="P14" s="3508" t="s">
        <v>533</v>
      </c>
      <c r="Q14" s="1504" t="str">
        <f t="shared" si="6"/>
        <v>交通便捷度</v>
      </c>
      <c r="R14" s="1505" t="s">
        <v>8</v>
      </c>
      <c r="S14" s="1506">
        <f t="shared" si="0"/>
        <v>100</v>
      </c>
      <c r="T14" s="1505" t="s">
        <v>8</v>
      </c>
      <c r="U14" s="1506">
        <f t="shared" si="1"/>
        <v>100</v>
      </c>
      <c r="V14" s="1505" t="s">
        <v>8</v>
      </c>
      <c r="W14" s="1506">
        <f t="shared" si="2"/>
        <v>100</v>
      </c>
      <c r="X14" s="1499"/>
      <c r="Y14" s="3508" t="s">
        <v>533</v>
      </c>
      <c r="Z14" s="1507" t="str">
        <f t="shared" si="7"/>
        <v>交通便捷度</v>
      </c>
      <c r="AA14" s="1508">
        <f t="shared" si="3"/>
        <v>1</v>
      </c>
      <c r="AB14" s="1508">
        <f t="shared" si="4"/>
        <v>1</v>
      </c>
      <c r="AC14" s="1508">
        <f t="shared" si="5"/>
        <v>1</v>
      </c>
    </row>
    <row r="15" spans="1:29" ht="15">
      <c r="A15" s="508"/>
      <c r="B15" s="912"/>
      <c r="C15" s="569"/>
      <c r="D15" s="548"/>
      <c r="E15" s="569"/>
      <c r="F15" s="550"/>
      <c r="G15" s="569"/>
      <c r="H15" s="552"/>
      <c r="I15" s="569"/>
      <c r="J15" s="548"/>
      <c r="K15" s="887"/>
      <c r="L15" s="2022"/>
      <c r="M15" s="2014"/>
      <c r="N15" s="2014"/>
      <c r="O15" s="2021"/>
      <c r="P15" s="3509"/>
      <c r="Q15" s="1504"/>
      <c r="R15" s="1505"/>
      <c r="S15" s="1506"/>
      <c r="T15" s="1505"/>
      <c r="U15" s="1506"/>
      <c r="V15" s="1505"/>
      <c r="W15" s="1506"/>
      <c r="X15" s="1499"/>
      <c r="Y15" s="3509"/>
      <c r="Z15" s="1507"/>
      <c r="AA15" s="1508">
        <v>1</v>
      </c>
      <c r="AB15" s="1508">
        <v>1</v>
      </c>
      <c r="AC15" s="1508">
        <v>1</v>
      </c>
    </row>
    <row r="16" spans="1:29" ht="42.75">
      <c r="A16" s="508"/>
      <c r="B16" s="2445"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2"/>
      <c r="M16" s="2014"/>
      <c r="N16" s="2014"/>
      <c r="O16" s="2021"/>
      <c r="P16" s="3509"/>
      <c r="Q16" s="1504" t="str">
        <f>B16</f>
        <v>公共配套设施</v>
      </c>
      <c r="R16" s="1505" t="s">
        <v>8</v>
      </c>
      <c r="S16" s="1506">
        <f>F16</f>
        <v>100</v>
      </c>
      <c r="T16" s="1505" t="s">
        <v>8</v>
      </c>
      <c r="U16" s="1506">
        <f>H16</f>
        <v>100</v>
      </c>
      <c r="V16" s="1505" t="s">
        <v>8</v>
      </c>
      <c r="W16" s="1506">
        <f>J16</f>
        <v>100</v>
      </c>
      <c r="X16" s="1499"/>
      <c r="Y16" s="3509"/>
      <c r="Z16" s="1507" t="str">
        <f>Q16</f>
        <v>公共配套设施</v>
      </c>
      <c r="AA16" s="1508">
        <f t="shared" si="3"/>
        <v>1</v>
      </c>
      <c r="AB16" s="1508">
        <f t="shared" si="4"/>
        <v>1</v>
      </c>
      <c r="AC16" s="1508">
        <f t="shared" si="5"/>
        <v>1</v>
      </c>
    </row>
    <row r="17" spans="1:29" ht="15">
      <c r="A17" s="508"/>
      <c r="B17" s="559"/>
      <c r="C17" s="861"/>
      <c r="D17" s="548"/>
      <c r="E17" s="569"/>
      <c r="F17" s="550"/>
      <c r="G17" s="569"/>
      <c r="H17" s="548"/>
      <c r="I17" s="569"/>
      <c r="J17" s="548"/>
      <c r="K17" s="887"/>
      <c r="L17" s="2022"/>
      <c r="M17" s="2014"/>
      <c r="N17" s="2014"/>
      <c r="O17" s="2021"/>
      <c r="P17" s="3509"/>
      <c r="Q17" s="1504"/>
      <c r="R17" s="1505"/>
      <c r="S17" s="1506"/>
      <c r="T17" s="1505"/>
      <c r="U17" s="1506"/>
      <c r="V17" s="1505"/>
      <c r="W17" s="1506"/>
      <c r="X17" s="1499"/>
      <c r="Y17" s="3509"/>
      <c r="Z17" s="1507"/>
      <c r="AA17" s="1508">
        <v>1</v>
      </c>
      <c r="AB17" s="1508">
        <v>1</v>
      </c>
      <c r="AC17" s="1508">
        <v>1</v>
      </c>
    </row>
    <row r="18" spans="1:29" ht="28.5">
      <c r="A18" s="508"/>
      <c r="B18" s="2433"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2"/>
      <c r="M18" s="2014"/>
      <c r="N18" s="2014"/>
      <c r="O18" s="2021"/>
      <c r="P18" s="3509"/>
      <c r="Q18" s="2427" t="str">
        <f>B18</f>
        <v>基础设施水平</v>
      </c>
      <c r="R18" s="1505" t="s">
        <v>8</v>
      </c>
      <c r="S18" s="1506">
        <f>F18</f>
        <v>100</v>
      </c>
      <c r="T18" s="1505" t="s">
        <v>8</v>
      </c>
      <c r="U18" s="1506">
        <f>H18</f>
        <v>100</v>
      </c>
      <c r="V18" s="1505" t="s">
        <v>8</v>
      </c>
      <c r="W18" s="1506">
        <f>J18</f>
        <v>100</v>
      </c>
      <c r="X18" s="2429"/>
      <c r="Y18" s="3509"/>
      <c r="Z18" s="2428" t="str">
        <f>Q18</f>
        <v>基础设施水平</v>
      </c>
      <c r="AA18" s="1508">
        <f t="shared" ref="AA18" si="8">D18/F18</f>
        <v>1</v>
      </c>
      <c r="AB18" s="1508">
        <f t="shared" ref="AB18" si="9">D18/H18</f>
        <v>1</v>
      </c>
      <c r="AC18" s="1508">
        <f t="shared" ref="AC18" si="10">D18/J18</f>
        <v>1</v>
      </c>
    </row>
    <row r="19" spans="1:29" ht="15">
      <c r="A19" s="508"/>
      <c r="B19" s="571"/>
      <c r="C19" s="861"/>
      <c r="D19" s="552"/>
      <c r="E19" s="569"/>
      <c r="F19" s="550"/>
      <c r="G19" s="569"/>
      <c r="H19" s="548"/>
      <c r="I19" s="569"/>
      <c r="J19" s="548"/>
      <c r="K19" s="2444"/>
      <c r="L19" s="2022"/>
      <c r="M19" s="2014"/>
      <c r="N19" s="2014"/>
      <c r="O19" s="2021"/>
      <c r="P19" s="3509"/>
      <c r="Q19" s="2427"/>
      <c r="R19" s="1505"/>
      <c r="S19" s="1506"/>
      <c r="T19" s="1505"/>
      <c r="U19" s="1506"/>
      <c r="V19" s="1505"/>
      <c r="W19" s="1506"/>
      <c r="X19" s="2429"/>
      <c r="Y19" s="3509"/>
      <c r="Z19" s="2428"/>
      <c r="AA19" s="1508">
        <v>1</v>
      </c>
      <c r="AB19" s="1508">
        <v>1</v>
      </c>
      <c r="AC19" s="1508">
        <v>1</v>
      </c>
    </row>
    <row r="20" spans="1:29" ht="57">
      <c r="A20" s="508"/>
      <c r="B20" s="553" t="s">
        <v>797</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2"/>
      <c r="M20" s="2014"/>
      <c r="N20" s="2014"/>
      <c r="O20" s="2021"/>
      <c r="P20" s="3509"/>
      <c r="Q20" s="1504" t="str">
        <f>B20</f>
        <v>自然及人文环境</v>
      </c>
      <c r="R20" s="1505" t="s">
        <v>8</v>
      </c>
      <c r="S20" s="1506">
        <f>F20</f>
        <v>100</v>
      </c>
      <c r="T20" s="1505" t="s">
        <v>8</v>
      </c>
      <c r="U20" s="1506">
        <f>H20</f>
        <v>100</v>
      </c>
      <c r="V20" s="1505" t="s">
        <v>8</v>
      </c>
      <c r="W20" s="1506">
        <f>J20</f>
        <v>100</v>
      </c>
      <c r="X20" s="1499"/>
      <c r="Y20" s="3509"/>
      <c r="Z20" s="1507" t="str">
        <f>Q20</f>
        <v>自然及人文环境</v>
      </c>
      <c r="AA20" s="1508">
        <f t="shared" si="3"/>
        <v>1</v>
      </c>
      <c r="AB20" s="1508">
        <f t="shared" si="4"/>
        <v>1</v>
      </c>
      <c r="AC20" s="1508">
        <f t="shared" si="5"/>
        <v>1</v>
      </c>
    </row>
    <row r="21" spans="1:29" ht="15">
      <c r="A21" s="508"/>
      <c r="B21" s="559"/>
      <c r="C21" s="569"/>
      <c r="D21" s="548"/>
      <c r="E21" s="569"/>
      <c r="F21" s="550"/>
      <c r="G21" s="569"/>
      <c r="H21" s="548"/>
      <c r="I21" s="569"/>
      <c r="J21" s="548"/>
      <c r="K21" s="887"/>
      <c r="L21" s="2022"/>
      <c r="M21" s="2014"/>
      <c r="N21" s="2014"/>
      <c r="O21" s="2021"/>
      <c r="P21" s="3509"/>
      <c r="Q21" s="1504"/>
      <c r="R21" s="1505"/>
      <c r="S21" s="1506"/>
      <c r="T21" s="1505"/>
      <c r="U21" s="1506"/>
      <c r="V21" s="1505"/>
      <c r="W21" s="1506"/>
      <c r="X21" s="1499"/>
      <c r="Y21" s="3509"/>
      <c r="Z21" s="1507"/>
      <c r="AA21" s="1508">
        <v>1</v>
      </c>
      <c r="AB21" s="1508">
        <v>1</v>
      </c>
      <c r="AC21" s="1508">
        <v>1</v>
      </c>
    </row>
    <row r="22" spans="1:29" ht="15">
      <c r="A22" s="508"/>
      <c r="B22" s="553" t="s">
        <v>798</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509"/>
      <c r="Q22" s="1504" t="str">
        <f>B22</f>
        <v>楼层</v>
      </c>
      <c r="R22" s="1505" t="s">
        <v>8</v>
      </c>
      <c r="S22" s="1506">
        <f>F22</f>
        <v>100</v>
      </c>
      <c r="T22" s="1505" t="s">
        <v>8</v>
      </c>
      <c r="U22" s="1506">
        <f>H22</f>
        <v>100</v>
      </c>
      <c r="V22" s="1505" t="s">
        <v>8</v>
      </c>
      <c r="W22" s="1506">
        <f>J22</f>
        <v>100</v>
      </c>
      <c r="X22" s="1499"/>
      <c r="Y22" s="3509"/>
      <c r="Z22" s="1507" t="str">
        <f>Q22</f>
        <v>楼层</v>
      </c>
      <c r="AA22" s="1508">
        <f t="shared" si="3"/>
        <v>1</v>
      </c>
      <c r="AB22" s="1508">
        <f t="shared" si="4"/>
        <v>1</v>
      </c>
      <c r="AC22" s="1508">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509"/>
      <c r="Q23" s="1504">
        <f>B23</f>
        <v>111</v>
      </c>
      <c r="R23" s="1505" t="s">
        <v>8</v>
      </c>
      <c r="S23" s="1506">
        <f>F23</f>
        <v>100</v>
      </c>
      <c r="T23" s="1505" t="s">
        <v>8</v>
      </c>
      <c r="U23" s="1506">
        <f>H23</f>
        <v>100</v>
      </c>
      <c r="V23" s="1505" t="s">
        <v>8</v>
      </c>
      <c r="W23" s="1506">
        <f>J23</f>
        <v>100</v>
      </c>
      <c r="X23" s="1499"/>
      <c r="Y23" s="3509"/>
      <c r="Z23" s="1507">
        <f>Q23</f>
        <v>111</v>
      </c>
      <c r="AA23" s="1508">
        <f t="shared" si="3"/>
        <v>1</v>
      </c>
      <c r="AB23" s="1508">
        <f t="shared" si="4"/>
        <v>1</v>
      </c>
      <c r="AC23" s="1508">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509"/>
      <c r="Q24" s="1504">
        <f t="shared" ref="Q24:Q36" si="11">B24</f>
        <v>111</v>
      </c>
      <c r="R24" s="1505" t="s">
        <v>8</v>
      </c>
      <c r="S24" s="1506">
        <f>F24</f>
        <v>100</v>
      </c>
      <c r="T24" s="1505" t="s">
        <v>8</v>
      </c>
      <c r="U24" s="1506">
        <f>H24</f>
        <v>100</v>
      </c>
      <c r="V24" s="1505" t="s">
        <v>8</v>
      </c>
      <c r="W24" s="1506">
        <f>J24</f>
        <v>100</v>
      </c>
      <c r="X24" s="1499"/>
      <c r="Y24" s="3509"/>
      <c r="Z24" s="1507">
        <f>Q24</f>
        <v>111</v>
      </c>
      <c r="AA24" s="1508">
        <f t="shared" si="3"/>
        <v>1</v>
      </c>
      <c r="AB24" s="1508">
        <f t="shared" si="4"/>
        <v>1</v>
      </c>
      <c r="AC24" s="1508">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509"/>
      <c r="Q25" s="1133">
        <f t="shared" si="11"/>
        <v>111</v>
      </c>
      <c r="R25" s="1500" t="s">
        <v>8</v>
      </c>
      <c r="S25" s="1501">
        <f>F25</f>
        <v>100</v>
      </c>
      <c r="T25" s="1500" t="s">
        <v>8</v>
      </c>
      <c r="U25" s="1501">
        <f>H25</f>
        <v>100</v>
      </c>
      <c r="V25" s="1500" t="s">
        <v>8</v>
      </c>
      <c r="W25" s="1501">
        <f>J25</f>
        <v>100</v>
      </c>
      <c r="X25" s="1502"/>
      <c r="Y25" s="3509"/>
      <c r="Z25" s="1132">
        <f>Q25</f>
        <v>111</v>
      </c>
      <c r="AA25" s="1508">
        <f>D25/F25</f>
        <v>1</v>
      </c>
      <c r="AB25" s="1508">
        <f>D25/H25</f>
        <v>1</v>
      </c>
      <c r="AC25" s="1508">
        <f>D25/J25</f>
        <v>1</v>
      </c>
    </row>
    <row r="26" spans="1:29" ht="15">
      <c r="A26" s="2622" t="s">
        <v>2735</v>
      </c>
      <c r="B26" s="168" t="s">
        <v>799</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2"/>
      <c r="M26" s="2014"/>
      <c r="N26" s="2014"/>
      <c r="O26" s="2021"/>
      <c r="P26" s="3510" t="s">
        <v>543</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11" t="s">
        <v>543</v>
      </c>
      <c r="Z26" s="1507" t="str">
        <f t="shared" ref="Z26:Z36" si="15">Q26</f>
        <v>配套类型</v>
      </c>
      <c r="AA26" s="1508">
        <f t="shared" si="3"/>
        <v>1</v>
      </c>
      <c r="AB26" s="1508">
        <f t="shared" si="4"/>
        <v>1</v>
      </c>
      <c r="AC26" s="1508">
        <f t="shared" si="5"/>
        <v>1</v>
      </c>
    </row>
    <row r="27" spans="1:29" s="1292" customFormat="1" ht="15">
      <c r="A27" s="917"/>
      <c r="B27" s="575" t="s">
        <v>800</v>
      </c>
      <c r="C27" s="918"/>
      <c r="D27" s="252">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511"/>
      <c r="Q27" s="1533" t="str">
        <f t="shared" si="11"/>
        <v>项目停车位配比</v>
      </c>
      <c r="R27" s="1509" t="s">
        <v>8</v>
      </c>
      <c r="S27" s="1510">
        <f t="shared" si="12"/>
        <v>100</v>
      </c>
      <c r="T27" s="1509" t="s">
        <v>8</v>
      </c>
      <c r="U27" s="1510">
        <f t="shared" si="13"/>
        <v>100</v>
      </c>
      <c r="V27" s="1509" t="s">
        <v>8</v>
      </c>
      <c r="W27" s="1510">
        <f t="shared" si="14"/>
        <v>100</v>
      </c>
      <c r="X27" s="1511"/>
      <c r="Y27" s="3511"/>
      <c r="Z27" s="1512" t="str">
        <f t="shared" si="15"/>
        <v>项目停车位配比</v>
      </c>
      <c r="AA27" s="1508">
        <f t="shared" si="3"/>
        <v>1</v>
      </c>
      <c r="AB27" s="1508">
        <f t="shared" si="4"/>
        <v>1</v>
      </c>
      <c r="AC27" s="1508">
        <f t="shared" si="5"/>
        <v>1</v>
      </c>
    </row>
    <row r="28" spans="1:29" ht="15">
      <c r="A28" s="919"/>
      <c r="B28" s="575" t="s">
        <v>801</v>
      </c>
      <c r="C28" s="567"/>
      <c r="D28" s="533">
        <v>100</v>
      </c>
      <c r="E28" s="567"/>
      <c r="F28" s="568">
        <f>SUMIF(83:83,E28,84:84)-SUMIF(83:83,C28,84:84)+100</f>
        <v>100</v>
      </c>
      <c r="G28" s="567"/>
      <c r="H28" s="533">
        <f>SUMIF(83:83,G28,84:84)-SUMIF(83:83,C28,84:84)+100</f>
        <v>100</v>
      </c>
      <c r="I28" s="567"/>
      <c r="J28" s="533">
        <f>SUMIF(83:83,I28,84:84)-SUMIF(83:83,C28,84:84)+100</f>
        <v>100</v>
      </c>
      <c r="K28" s="577"/>
      <c r="L28" s="2022"/>
      <c r="M28" s="2014"/>
      <c r="N28" s="2014"/>
      <c r="O28" s="2021"/>
      <c r="P28" s="3511"/>
      <c r="Q28" s="1504" t="str">
        <f t="shared" si="11"/>
        <v>公共部分装修</v>
      </c>
      <c r="R28" s="1505" t="s">
        <v>8</v>
      </c>
      <c r="S28" s="1506">
        <f t="shared" si="12"/>
        <v>100</v>
      </c>
      <c r="T28" s="1505" t="s">
        <v>8</v>
      </c>
      <c r="U28" s="1506">
        <f t="shared" si="13"/>
        <v>100</v>
      </c>
      <c r="V28" s="1505" t="s">
        <v>8</v>
      </c>
      <c r="W28" s="1506">
        <f t="shared" si="14"/>
        <v>100</v>
      </c>
      <c r="X28" s="1499"/>
      <c r="Y28" s="3511"/>
      <c r="Z28" s="1507" t="str">
        <f t="shared" si="15"/>
        <v>公共部分装修</v>
      </c>
      <c r="AA28" s="1508">
        <f t="shared" si="3"/>
        <v>1</v>
      </c>
      <c r="AB28" s="1508">
        <f t="shared" si="4"/>
        <v>1</v>
      </c>
      <c r="AC28" s="1508">
        <f t="shared" si="5"/>
        <v>1</v>
      </c>
    </row>
    <row r="29" spans="1:29" ht="15">
      <c r="A29" s="919"/>
      <c r="B29" s="575" t="s">
        <v>802</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2"/>
      <c r="M29" s="2014"/>
      <c r="N29" s="2014"/>
      <c r="O29" s="2021"/>
      <c r="P29" s="3511"/>
      <c r="Q29" s="1504" t="str">
        <f t="shared" si="11"/>
        <v>成新率</v>
      </c>
      <c r="R29" s="1505" t="s">
        <v>8</v>
      </c>
      <c r="S29" s="1506" t="e">
        <f t="shared" si="12"/>
        <v>#N/A</v>
      </c>
      <c r="T29" s="1505" t="s">
        <v>8</v>
      </c>
      <c r="U29" s="1506" t="e">
        <f t="shared" si="13"/>
        <v>#N/A</v>
      </c>
      <c r="V29" s="1505" t="s">
        <v>8</v>
      </c>
      <c r="W29" s="1506" t="e">
        <f t="shared" si="14"/>
        <v>#N/A</v>
      </c>
      <c r="X29" s="1499"/>
      <c r="Y29" s="3511"/>
      <c r="Z29" s="1507" t="str">
        <f t="shared" si="15"/>
        <v>成新率</v>
      </c>
      <c r="AA29" s="1508" t="e">
        <f t="shared" si="3"/>
        <v>#N/A</v>
      </c>
      <c r="AB29" s="1508" t="e">
        <f t="shared" si="4"/>
        <v>#N/A</v>
      </c>
      <c r="AC29" s="1508" t="e">
        <f t="shared" si="5"/>
        <v>#N/A</v>
      </c>
    </row>
    <row r="30" spans="1:29" ht="15">
      <c r="A30" s="919"/>
      <c r="B30" s="575" t="s">
        <v>803</v>
      </c>
      <c r="C30" s="920"/>
      <c r="D30" s="533">
        <v>100</v>
      </c>
      <c r="E30" s="920"/>
      <c r="F30" s="568">
        <f>SUMIF(88:88,E30,89:89)-SUMIF(88:88,C30,89:89)+100</f>
        <v>100</v>
      </c>
      <c r="G30" s="920"/>
      <c r="H30" s="533">
        <f>SUMIF(88:88,E30,89:89)-SUMIF(88:88,C30,89:89)+100</f>
        <v>100</v>
      </c>
      <c r="I30" s="920"/>
      <c r="J30" s="533">
        <f>SUMIF(88:88,E30,89:89)-SUMIF(88:88,C30,89:89)+100</f>
        <v>100</v>
      </c>
      <c r="K30" s="577"/>
      <c r="L30" s="2022"/>
      <c r="M30" s="2014"/>
      <c r="N30" s="2014"/>
      <c r="O30" s="2021"/>
      <c r="P30" s="3511"/>
      <c r="Q30" s="1504" t="str">
        <f t="shared" si="11"/>
        <v>物业等级</v>
      </c>
      <c r="R30" s="1505" t="s">
        <v>8</v>
      </c>
      <c r="S30" s="1506">
        <f t="shared" si="12"/>
        <v>100</v>
      </c>
      <c r="T30" s="1505" t="s">
        <v>8</v>
      </c>
      <c r="U30" s="1506">
        <f t="shared" si="13"/>
        <v>100</v>
      </c>
      <c r="V30" s="1505" t="s">
        <v>8</v>
      </c>
      <c r="W30" s="1506">
        <f t="shared" si="14"/>
        <v>100</v>
      </c>
      <c r="X30" s="1499"/>
      <c r="Y30" s="3511"/>
      <c r="Z30" s="1507" t="str">
        <f t="shared" si="15"/>
        <v>物业等级</v>
      </c>
      <c r="AA30" s="1508">
        <f t="shared" si="3"/>
        <v>1</v>
      </c>
      <c r="AB30" s="1508">
        <f t="shared" si="4"/>
        <v>1</v>
      </c>
      <c r="AC30" s="1508">
        <f t="shared" si="5"/>
        <v>1</v>
      </c>
    </row>
    <row r="31" spans="1:29" s="1202" customFormat="1" ht="15">
      <c r="A31" s="921"/>
      <c r="B31" s="575" t="s">
        <v>804</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5"/>
      <c r="M31" s="2016"/>
      <c r="N31" s="2016"/>
      <c r="O31" s="2017"/>
      <c r="P31" s="3511"/>
      <c r="Q31" s="1133" t="str">
        <f t="shared" si="11"/>
        <v>停车位面积</v>
      </c>
      <c r="R31" s="1500" t="s">
        <v>8</v>
      </c>
      <c r="S31" s="1501" t="e">
        <f t="shared" si="12"/>
        <v>#N/A</v>
      </c>
      <c r="T31" s="1500" t="s">
        <v>8</v>
      </c>
      <c r="U31" s="1501" t="e">
        <f t="shared" si="13"/>
        <v>#N/A</v>
      </c>
      <c r="V31" s="1500" t="s">
        <v>8</v>
      </c>
      <c r="W31" s="1501" t="e">
        <f t="shared" si="14"/>
        <v>#N/A</v>
      </c>
      <c r="X31" s="1502"/>
      <c r="Y31" s="3511"/>
      <c r="Z31" s="1132" t="str">
        <f t="shared" si="15"/>
        <v>停车位面积</v>
      </c>
      <c r="AA31" s="1503" t="e">
        <f t="shared" si="3"/>
        <v>#N/A</v>
      </c>
      <c r="AB31" s="1503" t="e">
        <f t="shared" si="4"/>
        <v>#N/A</v>
      </c>
      <c r="AC31" s="1503" t="e">
        <f t="shared" si="5"/>
        <v>#N/A</v>
      </c>
    </row>
    <row r="32" spans="1:29" ht="15">
      <c r="A32" s="919"/>
      <c r="B32" s="575" t="s">
        <v>805</v>
      </c>
      <c r="C32" s="567"/>
      <c r="D32" s="533">
        <v>100</v>
      </c>
      <c r="E32" s="567"/>
      <c r="F32" s="568">
        <f>SUMIF(93:93,E32,94:94)-SUMIF(93:93,C32,94:94)+100</f>
        <v>100</v>
      </c>
      <c r="G32" s="567"/>
      <c r="H32" s="533">
        <f>SUMIF(93:93,G32,94:94)-SUMIF(93:93,C32,94:94)+100</f>
        <v>100</v>
      </c>
      <c r="I32" s="567"/>
      <c r="J32" s="533">
        <f>SUMIF(93:93,I32,94:94)-SUMIF(93:93,C32,94:94)+100</f>
        <v>100</v>
      </c>
      <c r="K32" s="577"/>
      <c r="L32" s="2022"/>
      <c r="M32" s="2014"/>
      <c r="N32" s="2014"/>
      <c r="O32" s="2021"/>
      <c r="P32" s="3511" t="s">
        <v>543</v>
      </c>
      <c r="Q32" s="1504" t="str">
        <f t="shared" si="11"/>
        <v>车位类型</v>
      </c>
      <c r="R32" s="1505" t="s">
        <v>8</v>
      </c>
      <c r="S32" s="1506">
        <f t="shared" si="12"/>
        <v>100</v>
      </c>
      <c r="T32" s="1505" t="s">
        <v>8</v>
      </c>
      <c r="U32" s="1506">
        <f t="shared" si="13"/>
        <v>100</v>
      </c>
      <c r="V32" s="1505" t="s">
        <v>8</v>
      </c>
      <c r="W32" s="1506">
        <f t="shared" si="14"/>
        <v>100</v>
      </c>
      <c r="X32" s="1499"/>
      <c r="Y32" s="3511" t="s">
        <v>543</v>
      </c>
      <c r="Z32" s="1507" t="str">
        <f t="shared" si="15"/>
        <v>车位类型</v>
      </c>
      <c r="AA32" s="1508">
        <f t="shared" si="3"/>
        <v>1</v>
      </c>
      <c r="AB32" s="1508">
        <f t="shared" si="4"/>
        <v>1</v>
      </c>
      <c r="AC32" s="1508">
        <f t="shared" si="5"/>
        <v>1</v>
      </c>
    </row>
    <row r="33" spans="1:29" ht="15">
      <c r="A33" s="919"/>
      <c r="B33" s="575" t="s">
        <v>806</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511"/>
      <c r="Q33" s="1504" t="str">
        <f t="shared" si="11"/>
        <v>是否直接入户</v>
      </c>
      <c r="R33" s="1505" t="s">
        <v>8</v>
      </c>
      <c r="S33" s="1506">
        <f t="shared" si="12"/>
        <v>100</v>
      </c>
      <c r="T33" s="1505" t="s">
        <v>8</v>
      </c>
      <c r="U33" s="1506">
        <f t="shared" si="13"/>
        <v>100</v>
      </c>
      <c r="V33" s="1505" t="s">
        <v>8</v>
      </c>
      <c r="W33" s="1506">
        <f t="shared" si="14"/>
        <v>100</v>
      </c>
      <c r="X33" s="1499"/>
      <c r="Y33" s="3511"/>
      <c r="Z33" s="1507" t="str">
        <f t="shared" si="15"/>
        <v>是否直接入户</v>
      </c>
      <c r="AA33" s="1508">
        <f t="shared" si="3"/>
        <v>1</v>
      </c>
      <c r="AB33" s="1508">
        <f t="shared" si="4"/>
        <v>1</v>
      </c>
      <c r="AC33" s="1508">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511"/>
      <c r="Q34" s="1504">
        <f t="shared" si="11"/>
        <v>111</v>
      </c>
      <c r="R34" s="1505" t="s">
        <v>8</v>
      </c>
      <c r="S34" s="1506">
        <f t="shared" si="12"/>
        <v>100</v>
      </c>
      <c r="T34" s="1505" t="s">
        <v>8</v>
      </c>
      <c r="U34" s="1506">
        <f t="shared" si="13"/>
        <v>100</v>
      </c>
      <c r="V34" s="1505" t="s">
        <v>8</v>
      </c>
      <c r="W34" s="1506">
        <f t="shared" si="14"/>
        <v>100</v>
      </c>
      <c r="X34" s="1499"/>
      <c r="Y34" s="3511"/>
      <c r="Z34" s="1507">
        <f t="shared" si="15"/>
        <v>111</v>
      </c>
      <c r="AA34" s="1508">
        <f t="shared" si="3"/>
        <v>1</v>
      </c>
      <c r="AB34" s="1508">
        <f t="shared" si="4"/>
        <v>1</v>
      </c>
      <c r="AC34" s="1508">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511"/>
      <c r="Q35" s="1533">
        <f t="shared" si="11"/>
        <v>111</v>
      </c>
      <c r="R35" s="1509" t="s">
        <v>8</v>
      </c>
      <c r="S35" s="1510">
        <f t="shared" si="12"/>
        <v>100</v>
      </c>
      <c r="T35" s="1509" t="s">
        <v>8</v>
      </c>
      <c r="U35" s="1510">
        <f t="shared" si="13"/>
        <v>100</v>
      </c>
      <c r="V35" s="1509" t="s">
        <v>8</v>
      </c>
      <c r="W35" s="1510">
        <f t="shared" si="14"/>
        <v>100</v>
      </c>
      <c r="X35" s="1511"/>
      <c r="Y35" s="3511"/>
      <c r="Z35" s="1512">
        <f t="shared" si="15"/>
        <v>111</v>
      </c>
      <c r="AA35" s="1508">
        <f t="shared" si="3"/>
        <v>1</v>
      </c>
      <c r="AB35" s="1508">
        <f t="shared" si="4"/>
        <v>1</v>
      </c>
      <c r="AC35" s="1508">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511"/>
      <c r="Q36" s="1504">
        <f t="shared" si="11"/>
        <v>111</v>
      </c>
      <c r="R36" s="1505" t="s">
        <v>8</v>
      </c>
      <c r="S36" s="1506">
        <f t="shared" si="12"/>
        <v>100</v>
      </c>
      <c r="T36" s="1505" t="s">
        <v>8</v>
      </c>
      <c r="U36" s="1506">
        <f t="shared" si="13"/>
        <v>100</v>
      </c>
      <c r="V36" s="1505" t="s">
        <v>8</v>
      </c>
      <c r="W36" s="1506">
        <f t="shared" si="14"/>
        <v>100</v>
      </c>
      <c r="X36" s="1499"/>
      <c r="Y36" s="3511"/>
      <c r="Z36" s="1507">
        <f t="shared" si="15"/>
        <v>111</v>
      </c>
      <c r="AA36" s="1508">
        <f t="shared" si="3"/>
        <v>1</v>
      </c>
      <c r="AB36" s="1508">
        <f t="shared" si="4"/>
        <v>1</v>
      </c>
      <c r="AC36" s="1508">
        <f t="shared" si="5"/>
        <v>1</v>
      </c>
    </row>
    <row r="37" spans="1:29" ht="15">
      <c r="A37" s="1758" t="s">
        <v>2065</v>
      </c>
      <c r="B37" s="1759" t="s">
        <v>2066</v>
      </c>
      <c r="C37" s="2468" t="s">
        <v>1</v>
      </c>
      <c r="D37" s="2469"/>
      <c r="E37" s="2470"/>
      <c r="F37" s="2471"/>
      <c r="G37" s="2472"/>
      <c r="H37" s="2473"/>
      <c r="I37" s="2470"/>
      <c r="J37" s="2473"/>
      <c r="K37" s="1538"/>
      <c r="L37" s="2024"/>
      <c r="M37" s="2025"/>
      <c r="N37" s="2014"/>
      <c r="O37" s="2025"/>
      <c r="P37" s="3506" t="str">
        <f>A37</f>
        <v>成交单价</v>
      </c>
      <c r="Q37" s="3506"/>
      <c r="R37" s="3613">
        <f>E37</f>
        <v>0</v>
      </c>
      <c r="S37" s="3613"/>
      <c r="T37" s="3613">
        <f>G37</f>
        <v>0</v>
      </c>
      <c r="U37" s="3613"/>
      <c r="V37" s="3613">
        <f>I37</f>
        <v>0</v>
      </c>
      <c r="W37" s="3613"/>
      <c r="X37" s="1494"/>
      <c r="Y37" s="1513"/>
      <c r="Z37" s="1494"/>
      <c r="AA37" s="1494"/>
      <c r="AB37" s="1494"/>
      <c r="AC37" s="1494"/>
    </row>
    <row r="38" spans="1:29" ht="15.75" thickBot="1">
      <c r="A38" s="608" t="s">
        <v>2740</v>
      </c>
      <c r="B38" s="876"/>
      <c r="C38" s="2474" t="e">
        <f>R39</f>
        <v>#DIV/0!</v>
      </c>
      <c r="D38" s="3008" t="s">
        <v>2970</v>
      </c>
      <c r="E38" s="2475" t="e">
        <f>R38</f>
        <v>#DIV/0!</v>
      </c>
      <c r="F38" s="3009"/>
      <c r="G38" s="2474" t="e">
        <f>T38</f>
        <v>#DIV/0!</v>
      </c>
      <c r="H38" s="3009"/>
      <c r="I38" s="2475" t="e">
        <f>V38</f>
        <v>#DIV/0!</v>
      </c>
      <c r="J38" s="3009"/>
      <c r="K38" s="3017">
        <f>F38+H38+J38</f>
        <v>0</v>
      </c>
      <c r="L38" s="2024"/>
      <c r="M38" s="2025"/>
      <c r="N38" s="2025"/>
      <c r="O38" s="2025"/>
      <c r="P38" s="3506" t="str">
        <f>A38</f>
        <v>比较价格（元/平方米）</v>
      </c>
      <c r="Q38" s="3506"/>
      <c r="R38" s="3613" t="e">
        <f>IF(F1="售价",ROUND(PRODUCT(R37,AA7:AA36),0),ROUND(PRODUCT(R37,AA7:AA36),1))</f>
        <v>#DIV/0!</v>
      </c>
      <c r="S38" s="3613"/>
      <c r="T38" s="3613" t="e">
        <f>IF(F1="售价",ROUND(PRODUCT(T37,AB7:AB36),0),ROUND(PRODUCT(T37,AB7:AB36),1))</f>
        <v>#DIV/0!</v>
      </c>
      <c r="U38" s="3613"/>
      <c r="V38" s="3613" t="e">
        <f>IF(F1="售价",ROUND(PRODUCT(V37,AC7:AC36),0),ROUND(PRODUCT(V37,AC7:AC36),1))</f>
        <v>#DIV/0!</v>
      </c>
      <c r="W38" s="3613"/>
      <c r="X38" s="1494"/>
      <c r="Y38" s="1494"/>
      <c r="Z38" s="1494"/>
      <c r="AA38" s="1494"/>
      <c r="AB38" s="1494"/>
      <c r="AC38" s="1494"/>
    </row>
    <row r="39" spans="1:29" ht="15.75" thickBot="1">
      <c r="A39" s="612" t="s">
        <v>2902</v>
      </c>
      <c r="B39" s="613"/>
      <c r="C39" s="2476" t="e">
        <f>R39</f>
        <v>#DIV/0!</v>
      </c>
      <c r="D39" s="2476"/>
      <c r="E39" s="2476"/>
      <c r="F39" s="2476"/>
      <c r="G39" s="2476"/>
      <c r="H39" s="2476"/>
      <c r="I39" s="2476"/>
      <c r="J39" s="2476"/>
      <c r="K39" s="1539"/>
      <c r="L39" s="2024"/>
      <c r="M39" s="2025"/>
      <c r="N39" s="2025"/>
      <c r="O39" s="2025"/>
      <c r="P39" s="3528" t="str">
        <f>A39</f>
        <v>估价对象XX用房的比较价格（楼面单价，元/平方米）</v>
      </c>
      <c r="Q39" s="3529"/>
      <c r="R39" s="3614" t="e">
        <f>IF(F1="售价",ROUND(IF(D38="简单平均",AVERAGE(R38:W38),R38*F38+T38*H38+V38*J38),0),ROUND(IF(D38="简单平均",AVERAGE(R38:V38),R38*F38+T38*H38+V38*J38),1))</f>
        <v>#DIV/0!</v>
      </c>
      <c r="S39" s="3614"/>
      <c r="T39" s="3614"/>
      <c r="U39" s="3614"/>
      <c r="V39" s="3614"/>
      <c r="W39" s="3614"/>
      <c r="X39" s="1494"/>
      <c r="Y39" s="1494"/>
      <c r="Z39" s="1494"/>
      <c r="AA39" s="1494"/>
      <c r="AB39" s="1494"/>
      <c r="AC39" s="1494"/>
    </row>
    <row r="40" spans="1:29">
      <c r="A40" s="3208"/>
      <c r="B40" s="3208"/>
      <c r="C40" s="3208"/>
      <c r="D40" s="3208"/>
      <c r="E40" s="3208"/>
      <c r="F40" s="3208"/>
      <c r="G40" s="3210"/>
      <c r="H40" s="3208"/>
      <c r="I40" s="3208"/>
      <c r="J40" s="3208"/>
      <c r="K40" s="3211"/>
      <c r="L40" s="2029"/>
      <c r="M40" s="2025"/>
      <c r="N40" s="2025"/>
      <c r="O40" s="2025"/>
      <c r="P40" s="2025"/>
      <c r="Q40" s="2025"/>
      <c r="R40" s="2025"/>
      <c r="S40" s="2025"/>
      <c r="T40" s="2025"/>
      <c r="U40" s="2025"/>
      <c r="V40" s="2025"/>
      <c r="W40" s="2025"/>
      <c r="X40" s="2025"/>
      <c r="Y40" s="2025"/>
      <c r="Z40" s="2025"/>
      <c r="AA40" s="2025"/>
      <c r="AB40" s="2025"/>
      <c r="AC40" s="2025"/>
    </row>
    <row r="41" spans="1:29">
      <c r="A41" s="3208"/>
      <c r="B41" s="3208"/>
      <c r="C41" s="3208"/>
      <c r="D41" s="3208"/>
      <c r="E41" s="3208"/>
      <c r="F41" s="3208"/>
      <c r="G41" s="3208"/>
      <c r="H41" s="3208"/>
      <c r="I41" s="3208"/>
      <c r="J41" s="3208"/>
      <c r="K41" s="3211"/>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8"/>
      <c r="B42" s="3208"/>
      <c r="C42" s="615" t="s">
        <v>550</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1"/>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8"/>
      <c r="B43" s="3208"/>
      <c r="C43" s="615" t="s">
        <v>551</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1"/>
      <c r="L43" s="2029"/>
      <c r="M43" s="2025"/>
      <c r="N43" s="2025"/>
      <c r="O43" s="2025"/>
      <c r="P43" s="2025"/>
      <c r="Q43" s="2025"/>
      <c r="R43" s="2025"/>
      <c r="S43" s="2025"/>
      <c r="T43" s="2025"/>
      <c r="U43" s="2025"/>
      <c r="V43" s="2025"/>
      <c r="W43" s="2025"/>
      <c r="X43" s="2025"/>
      <c r="Y43" s="2025"/>
      <c r="Z43" s="2025"/>
      <c r="AA43" s="2025"/>
      <c r="AB43" s="2025"/>
      <c r="AC43" s="2025"/>
    </row>
    <row r="44" spans="1:29" s="1297" customFormat="1" ht="13.5" customHeight="1">
      <c r="A44" s="3209"/>
      <c r="B44" s="3209"/>
      <c r="C44" s="615" t="s">
        <v>552</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2"/>
      <c r="L44" s="2032"/>
      <c r="M44" s="2026"/>
      <c r="N44" s="2026"/>
      <c r="O44" s="2026"/>
      <c r="P44" s="2026"/>
      <c r="Q44" s="2026"/>
      <c r="R44" s="2026"/>
      <c r="S44" s="2026"/>
      <c r="T44" s="2026"/>
      <c r="U44" s="2026"/>
      <c r="V44" s="2026"/>
      <c r="W44" s="2026"/>
      <c r="X44" s="2026"/>
      <c r="Y44" s="2026"/>
      <c r="Z44" s="2026"/>
      <c r="AA44" s="2026"/>
      <c r="AB44" s="2026"/>
      <c r="AC44" s="2026"/>
    </row>
    <row r="45" spans="1:29" s="1297"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567</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9" customFormat="1" ht="15">
      <c r="A48" s="636" t="s">
        <v>522</v>
      </c>
      <c r="B48" s="637"/>
      <c r="C48" s="2517" t="str">
        <f>YEAR(C7)&amp;"-"&amp;MONTH(C7)</f>
        <v>2021-2</v>
      </c>
      <c r="D48" s="2519">
        <f>EDATE(C48,-1)</f>
        <v>44197</v>
      </c>
      <c r="E48" s="2519">
        <f t="shared" ref="E48:O48" si="16">EDATE(D48,-1)</f>
        <v>44166</v>
      </c>
      <c r="F48" s="2519">
        <f t="shared" si="16"/>
        <v>44136</v>
      </c>
      <c r="G48" s="2519">
        <f t="shared" si="16"/>
        <v>44105</v>
      </c>
      <c r="H48" s="2519">
        <f t="shared" si="16"/>
        <v>44075</v>
      </c>
      <c r="I48" s="2519">
        <f t="shared" si="16"/>
        <v>44044</v>
      </c>
      <c r="J48" s="2519">
        <f t="shared" si="16"/>
        <v>44013</v>
      </c>
      <c r="K48" s="2519">
        <f t="shared" si="16"/>
        <v>43983</v>
      </c>
      <c r="L48" s="2519">
        <f t="shared" si="16"/>
        <v>43952</v>
      </c>
      <c r="M48" s="2519">
        <f t="shared" si="16"/>
        <v>43922</v>
      </c>
      <c r="N48" s="2519">
        <f t="shared" si="16"/>
        <v>43891</v>
      </c>
      <c r="O48" s="2519">
        <f t="shared" si="16"/>
        <v>43862</v>
      </c>
      <c r="P48" s="2039"/>
      <c r="Q48" s="2040"/>
      <c r="R48" s="2040"/>
      <c r="S48" s="2040"/>
      <c r="T48" s="2040"/>
      <c r="U48" s="2040"/>
      <c r="V48" s="2040"/>
      <c r="W48" s="2040"/>
      <c r="X48" s="2040"/>
      <c r="Y48" s="2040"/>
      <c r="Z48" s="2040"/>
      <c r="AA48" s="2040"/>
      <c r="AB48" s="2040"/>
      <c r="AC48" s="2040"/>
    </row>
    <row r="49" spans="1:29" s="1202" customFormat="1" ht="15">
      <c r="A49" s="638"/>
      <c r="B49" s="639"/>
      <c r="C49" s="2518">
        <v>100</v>
      </c>
      <c r="D49" s="641"/>
      <c r="E49" s="641"/>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2" customFormat="1" ht="15.75" thickBot="1">
      <c r="A50" s="644" t="s">
        <v>568</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2" customFormat="1" ht="15">
      <c r="A51" s="650" t="s">
        <v>524</v>
      </c>
      <c r="B51" s="639"/>
      <c r="C51" s="651" t="s">
        <v>569</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2"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570</v>
      </c>
      <c r="B53" s="656" t="s">
        <v>527</v>
      </c>
      <c r="C53" s="695">
        <f>C9</f>
        <v>0</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530</v>
      </c>
      <c r="C55" s="665" t="s">
        <v>730</v>
      </c>
      <c r="D55" s="665" t="s">
        <v>731</v>
      </c>
      <c r="E55" s="665" t="s">
        <v>732</v>
      </c>
      <c r="F55" s="665" t="s">
        <v>733</v>
      </c>
      <c r="G55" s="665" t="s">
        <v>734</v>
      </c>
      <c r="H55" s="665" t="s">
        <v>735</v>
      </c>
      <c r="I55" s="665" t="s">
        <v>736</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2"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2"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2"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2"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532</v>
      </c>
      <c r="B63" s="656" t="s">
        <v>579</v>
      </c>
      <c r="C63" s="694" t="s">
        <v>572</v>
      </c>
      <c r="D63" s="694" t="s">
        <v>573</v>
      </c>
      <c r="E63" s="694" t="s">
        <v>574</v>
      </c>
      <c r="F63" s="694" t="s">
        <v>575</v>
      </c>
      <c r="G63" s="694" t="s">
        <v>576</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2538</v>
      </c>
      <c r="C65" s="699" t="s">
        <v>572</v>
      </c>
      <c r="D65" s="699" t="s">
        <v>573</v>
      </c>
      <c r="E65" s="699" t="s">
        <v>574</v>
      </c>
      <c r="F65" s="699" t="s">
        <v>575</v>
      </c>
      <c r="G65" s="699" t="s">
        <v>576</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2539</v>
      </c>
      <c r="C67" s="2440" t="s">
        <v>2540</v>
      </c>
      <c r="D67" s="2440" t="s">
        <v>2541</v>
      </c>
      <c r="E67" s="2440" t="s">
        <v>2542</v>
      </c>
      <c r="F67" s="2440" t="s">
        <v>2543</v>
      </c>
      <c r="G67" s="2440" t="s">
        <v>2544</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737</v>
      </c>
      <c r="C69" s="699" t="s">
        <v>572</v>
      </c>
      <c r="D69" s="699" t="s">
        <v>573</v>
      </c>
      <c r="E69" s="699" t="s">
        <v>574</v>
      </c>
      <c r="F69" s="699" t="s">
        <v>575</v>
      </c>
      <c r="G69" s="699" t="s">
        <v>576</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738</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2"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2"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2"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2"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2"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2"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544</v>
      </c>
      <c r="B79" s="656" t="s">
        <v>807</v>
      </c>
      <c r="C79" s="695">
        <f>C26</f>
        <v>0</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808</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2"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744</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809</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810</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5"/>
      <c r="O89" s="2045"/>
      <c r="P89" s="2044"/>
      <c r="Q89" s="2037"/>
      <c r="R89" s="2025"/>
      <c r="S89" s="2025"/>
      <c r="T89" s="2025"/>
      <c r="U89" s="2025"/>
      <c r="V89" s="2025"/>
      <c r="W89" s="2025"/>
      <c r="X89" s="2025"/>
      <c r="Y89" s="2025"/>
      <c r="Z89" s="2025"/>
      <c r="AA89" s="2025"/>
      <c r="AB89" s="2025"/>
      <c r="AC89" s="2025"/>
    </row>
    <row r="90" spans="1:29" s="1292" customFormat="1" ht="15" thickTop="1">
      <c r="A90" s="719"/>
      <c r="B90" s="664" t="s">
        <v>811</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2" customFormat="1">
      <c r="A91" s="719"/>
      <c r="B91" s="672"/>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2" customFormat="1" ht="15.75" thickBot="1">
      <c r="A92" s="678"/>
      <c r="B92" s="669"/>
      <c r="C92" s="683"/>
      <c r="D92" s="662"/>
      <c r="E92" s="662"/>
      <c r="F92" s="662"/>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812</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813</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2"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2"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1894</v>
      </c>
    </row>
    <row r="2" spans="1:4">
      <c r="A2" s="1692"/>
    </row>
    <row r="3" spans="1:4" ht="18.75">
      <c r="A3" s="1710" t="str">
        <f>项目基本情况!B5&amp;"："</f>
        <v>浙金信托：</v>
      </c>
    </row>
    <row r="4" spans="1:4" ht="37.5">
      <c r="A4" s="1704" t="str">
        <f>"受贵公司委托，我公司对"&amp;项目基本情况!K2&amp;项目基本情况!B9&amp;"进行了预评估。"</f>
        <v>受贵公司委托，我公司对四川省内江市内江经开区甜德街西侧，甜和街东侧A-5-2地块出让国有建设用地使用权抵押价格进行了预评估。</v>
      </c>
    </row>
    <row r="5" spans="1:4" ht="18.75">
      <c r="A5" s="1707" t="s">
        <v>1895</v>
      </c>
    </row>
    <row r="6" spans="1:4" ht="93.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内江祥澳置业有限公司使用的、位于四川省内江市内江经开区甜德街西侧，甜和街东侧A-5-2地块出让国有建设用地使用权。根据《国有土地使用证》[]，估价对象（分摊）出让国有建设用地使用权面积为59775.26平方米。根据《建设工程规划许可证》[]、《出让合同》[]，估价对象规划建筑面积为172032.86平方米。</v>
      </c>
    </row>
    <row r="7" spans="1:4" ht="93.75">
      <c r="A7" s="2588" t="s">
        <v>2728</v>
      </c>
    </row>
    <row r="8" spans="1:4" ht="18.75">
      <c r="A8" s="1707" t="s">
        <v>1896</v>
      </c>
    </row>
    <row r="9" spans="1:4" ht="56.25">
      <c r="A9" s="1709"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2014</v>
      </c>
    </row>
    <row r="11" spans="1:4" ht="18.75">
      <c r="A11" s="1693" t="str">
        <f>TEXT(项目基本情况!D3,"yyyy年m月d日;;")&amp;IF(项目基本情况!B3=项目基本情况!D3,"（评估专业人员勘察现场之日）","")</f>
        <v>2021年2月27日（评估专业人员勘察现场之日）</v>
      </c>
    </row>
    <row r="12" spans="1:4" ht="18.75">
      <c r="A12" s="1710" t="s">
        <v>2013</v>
      </c>
    </row>
    <row r="13" spans="1:4" ht="18.75">
      <c r="A13" s="1704" t="s">
        <v>2059</v>
      </c>
    </row>
    <row r="14" spans="1:4" ht="37.5">
      <c r="A14" s="1704" t="str">
        <f>"根据"&amp;项目基本情况!F12&amp;"，本次评估估价对象证载（地类）用途为"&amp;项目基本情况!B12&amp;"。"</f>
        <v>根据《国有土地使用证》[]，本次评估估价对象证载（地类）用途为住宅、商业。</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2061</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根据《国有土地使用证》[]，估价对象（分摊）出让国有建设用地使用权面积为59775.26平方米。根据《建设工程规划许可证》[]、《出让合同》[]，估价对象规划建筑面积为172032.86平方米。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2062</v>
      </c>
    </row>
    <row r="23" spans="1:1" ht="18.75">
      <c r="A23" s="2590" t="s">
        <v>2729</v>
      </c>
    </row>
    <row r="24" spans="1:1" ht="18.75">
      <c r="A24" s="1704" t="s">
        <v>2063</v>
      </c>
    </row>
    <row r="25" spans="1:1" ht="75">
      <c r="A25" s="1704" t="str">
        <f>定义!C53</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911"/>
      <c r="C1" s="497" t="s">
        <v>785</v>
      </c>
      <c r="D1" s="837"/>
      <c r="E1" s="499"/>
      <c r="F1" s="2522"/>
      <c r="G1" s="1529" t="s">
        <v>786</v>
      </c>
      <c r="H1" s="499"/>
      <c r="I1" s="499"/>
      <c r="J1" s="499"/>
      <c r="K1" s="500"/>
      <c r="L1" s="3204"/>
      <c r="M1" s="3205"/>
      <c r="N1" s="3205"/>
      <c r="O1" s="3205"/>
      <c r="P1" s="2012"/>
      <c r="Q1" s="2012"/>
      <c r="R1" s="2012"/>
      <c r="S1" s="2012"/>
      <c r="T1" s="2012"/>
      <c r="U1" s="2012"/>
      <c r="V1" s="2012"/>
      <c r="W1" s="2012"/>
      <c r="X1" s="2012"/>
      <c r="Y1" s="2012"/>
      <c r="Z1" s="2012"/>
      <c r="AA1" s="2012"/>
      <c r="AB1" s="2012"/>
      <c r="AC1" s="3206"/>
    </row>
    <row r="2" spans="1:29" s="1289" customFormat="1" ht="28.5" customHeight="1">
      <c r="A2" s="416" t="s">
        <v>787</v>
      </c>
      <c r="B2" s="838"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6"/>
    </row>
    <row r="3" spans="1:29" s="1289" customFormat="1" ht="28.5" customHeight="1" thickBot="1">
      <c r="A3" s="502" t="s">
        <v>788</v>
      </c>
      <c r="B3" s="503" t="e">
        <f>C37</f>
        <v>#DIV/0!</v>
      </c>
      <c r="C3" s="840" t="s">
        <v>789</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7"/>
      <c r="AC3" s="1942"/>
    </row>
    <row r="4" spans="1:29" ht="15">
      <c r="A4" s="505" t="s">
        <v>790</v>
      </c>
      <c r="B4" s="506"/>
      <c r="C4" s="3512" t="s">
        <v>791</v>
      </c>
      <c r="D4" s="3513"/>
      <c r="E4" s="3538" t="s">
        <v>792</v>
      </c>
      <c r="F4" s="3539"/>
      <c r="G4" s="3512" t="s">
        <v>793</v>
      </c>
      <c r="H4" s="3513"/>
      <c r="I4" s="3512" t="s">
        <v>794</v>
      </c>
      <c r="J4" s="3513"/>
      <c r="K4" s="507" t="s">
        <v>795</v>
      </c>
      <c r="L4" s="2013"/>
      <c r="M4" s="2014"/>
      <c r="N4" s="2014"/>
      <c r="O4" s="2014"/>
      <c r="P4" s="3514" t="s">
        <v>796</v>
      </c>
      <c r="Q4" s="3515"/>
      <c r="R4" s="3500" t="s">
        <v>792</v>
      </c>
      <c r="S4" s="3501"/>
      <c r="T4" s="3500" t="s">
        <v>793</v>
      </c>
      <c r="U4" s="3501"/>
      <c r="V4" s="3520" t="s">
        <v>794</v>
      </c>
      <c r="W4" s="3520"/>
      <c r="X4" s="1499"/>
      <c r="Y4" s="3500" t="s">
        <v>796</v>
      </c>
      <c r="Z4" s="3501"/>
      <c r="AA4" s="3495" t="s">
        <v>792</v>
      </c>
      <c r="AB4" s="3496" t="s">
        <v>793</v>
      </c>
      <c r="AC4" s="3495" t="s">
        <v>794</v>
      </c>
    </row>
    <row r="5" spans="1:29" ht="15">
      <c r="A5" s="508"/>
      <c r="B5" s="509"/>
      <c r="C5" s="3523" t="s">
        <v>2896</v>
      </c>
      <c r="D5" s="3524"/>
      <c r="E5" s="3540" t="s">
        <v>2897</v>
      </c>
      <c r="F5" s="3541"/>
      <c r="G5" s="3523" t="s">
        <v>2898</v>
      </c>
      <c r="H5" s="3524"/>
      <c r="I5" s="3523" t="s">
        <v>2899</v>
      </c>
      <c r="J5" s="3524"/>
      <c r="K5" s="507"/>
      <c r="L5" s="2013"/>
      <c r="M5" s="2014"/>
      <c r="N5" s="2014"/>
      <c r="O5" s="2014"/>
      <c r="P5" s="3516"/>
      <c r="Q5" s="3517"/>
      <c r="R5" s="3502"/>
      <c r="S5" s="3503"/>
      <c r="T5" s="3502"/>
      <c r="U5" s="3503"/>
      <c r="V5" s="3520"/>
      <c r="W5" s="3520"/>
      <c r="X5" s="1499"/>
      <c r="Y5" s="3502"/>
      <c r="Z5" s="3503"/>
      <c r="AA5" s="3496"/>
      <c r="AB5" s="3496"/>
      <c r="AC5" s="3496"/>
    </row>
    <row r="6" spans="1:29" ht="15.75" thickBot="1">
      <c r="A6" s="510"/>
      <c r="B6" s="511"/>
      <c r="C6" s="3521" t="s">
        <v>2900</v>
      </c>
      <c r="D6" s="3522"/>
      <c r="E6" s="3542" t="s">
        <v>2900</v>
      </c>
      <c r="F6" s="3543"/>
      <c r="G6" s="3521" t="s">
        <v>2900</v>
      </c>
      <c r="H6" s="3522"/>
      <c r="I6" s="3521" t="s">
        <v>2900</v>
      </c>
      <c r="J6" s="3522"/>
      <c r="K6" s="507" t="s">
        <v>521</v>
      </c>
      <c r="L6" s="2013"/>
      <c r="M6" s="2014"/>
      <c r="N6" s="2014"/>
      <c r="O6" s="2014"/>
      <c r="P6" s="3518"/>
      <c r="Q6" s="3519"/>
      <c r="R6" s="3502"/>
      <c r="S6" s="3503"/>
      <c r="T6" s="3504"/>
      <c r="U6" s="3505"/>
      <c r="V6" s="3520"/>
      <c r="W6" s="3520"/>
      <c r="X6" s="1499"/>
      <c r="Y6" s="3504"/>
      <c r="Z6" s="3505"/>
      <c r="AA6" s="3497"/>
      <c r="AB6" s="3497"/>
      <c r="AC6" s="3497"/>
    </row>
    <row r="7" spans="1:29" s="1202" customFormat="1" ht="15.75" thickBot="1">
      <c r="A7" s="2627"/>
      <c r="B7" s="2634" t="s">
        <v>522</v>
      </c>
      <c r="C7" s="512">
        <f>'数据-取费表'!B2</f>
        <v>44254</v>
      </c>
      <c r="D7" s="513">
        <v>100</v>
      </c>
      <c r="E7" s="514"/>
      <c r="F7" s="515">
        <f>SUMIF(46:46,YEAR(E7)&amp;"-"&amp;MONTH(E7),47:47)</f>
        <v>0</v>
      </c>
      <c r="G7" s="516"/>
      <c r="H7" s="513">
        <f>SUMIF(46:46,YEAR(G7)&amp;"-"&amp;MONTH(G7),47:47)</f>
        <v>0</v>
      </c>
      <c r="I7" s="516"/>
      <c r="J7" s="513">
        <f>SUMIF(46:46,YEAR(I7)&amp;"-"&amp;MONTH(I7),47:47)</f>
        <v>0</v>
      </c>
      <c r="K7" s="517"/>
      <c r="L7" s="2015"/>
      <c r="M7" s="2016"/>
      <c r="N7" s="2016"/>
      <c r="O7" s="2016"/>
      <c r="P7" s="3498" t="s">
        <v>523</v>
      </c>
      <c r="Q7" s="3507"/>
      <c r="R7" s="1500" t="s">
        <v>8</v>
      </c>
      <c r="S7" s="1501">
        <f t="shared" ref="S7:S14" si="0">F7</f>
        <v>0</v>
      </c>
      <c r="T7" s="1500" t="s">
        <v>8</v>
      </c>
      <c r="U7" s="1501">
        <f t="shared" ref="U7:U14" si="1">H7</f>
        <v>0</v>
      </c>
      <c r="V7" s="1500" t="s">
        <v>8</v>
      </c>
      <c r="W7" s="1501">
        <f t="shared" ref="W7:W14" si="2">J7</f>
        <v>0</v>
      </c>
      <c r="X7" s="1502"/>
      <c r="Y7" s="3498" t="s">
        <v>523</v>
      </c>
      <c r="Z7" s="3499"/>
      <c r="AA7" s="1503" t="e">
        <f>D7/F7</f>
        <v>#DIV/0!</v>
      </c>
      <c r="AB7" s="1503" t="e">
        <f>D7/H7</f>
        <v>#DIV/0!</v>
      </c>
      <c r="AC7" s="1503" t="e">
        <f>D7/J7</f>
        <v>#DIV/0!</v>
      </c>
    </row>
    <row r="8" spans="1:29" s="1202" customFormat="1" ht="15.75" thickBot="1">
      <c r="A8" s="2628"/>
      <c r="B8" s="2635" t="s">
        <v>524</v>
      </c>
      <c r="C8" s="518" t="s">
        <v>569</v>
      </c>
      <c r="D8" s="513">
        <v>100</v>
      </c>
      <c r="E8" s="518"/>
      <c r="F8" s="515">
        <f>SUMIF(49:49,E8,50:50)-SUMIF(49:49,C8,50:50)+100</f>
        <v>0</v>
      </c>
      <c r="G8" s="518"/>
      <c r="H8" s="513">
        <f>SUMIF(49:49,G8,50:50)-SUMIF(49:49,C8,50:50)+100</f>
        <v>0</v>
      </c>
      <c r="I8" s="518"/>
      <c r="J8" s="513">
        <f>SUMIF(49:49,I8,50:50)-SUMIF(49:49,C8,50:50)+100</f>
        <v>0</v>
      </c>
      <c r="K8" s="517"/>
      <c r="L8" s="2015"/>
      <c r="M8" s="2016"/>
      <c r="N8" s="2016"/>
      <c r="O8" s="2016"/>
      <c r="P8" s="3498" t="s">
        <v>526</v>
      </c>
      <c r="Q8" s="3499"/>
      <c r="R8" s="1500" t="s">
        <v>8</v>
      </c>
      <c r="S8" s="1501">
        <f t="shared" si="0"/>
        <v>0</v>
      </c>
      <c r="T8" s="1500" t="s">
        <v>8</v>
      </c>
      <c r="U8" s="1501">
        <f t="shared" si="1"/>
        <v>0</v>
      </c>
      <c r="V8" s="1500" t="s">
        <v>8</v>
      </c>
      <c r="W8" s="1501">
        <f t="shared" si="2"/>
        <v>0</v>
      </c>
      <c r="X8" s="1502"/>
      <c r="Y8" s="3498" t="s">
        <v>526</v>
      </c>
      <c r="Z8" s="3499"/>
      <c r="AA8" s="1503" t="e">
        <f t="shared" ref="AA8:AA34" si="3">D8/F8</f>
        <v>#DIV/0!</v>
      </c>
      <c r="AB8" s="1503" t="e">
        <f t="shared" ref="AB8:AB34" si="4">D8/H8</f>
        <v>#DIV/0!</v>
      </c>
      <c r="AC8" s="1503" t="e">
        <f t="shared" ref="AC8:AC34" si="5">D8/J8</f>
        <v>#DIV/0!</v>
      </c>
    </row>
    <row r="9" spans="1:29" s="1202" customFormat="1" ht="15">
      <c r="A9" s="2629"/>
      <c r="B9" s="2636" t="s">
        <v>2736</v>
      </c>
      <c r="C9" s="845"/>
      <c r="D9" s="251">
        <v>100</v>
      </c>
      <c r="E9" s="848"/>
      <c r="F9" s="251">
        <f>SUMIF(51:51,E9,52:52)-SUMIF(51:51,C9,52:52)+100</f>
        <v>100</v>
      </c>
      <c r="G9" s="848"/>
      <c r="H9" s="251">
        <f>SUMIF(51:51,G9,52:52)-SUMIF(51:51,C9,52:52)+100</f>
        <v>100</v>
      </c>
      <c r="I9" s="848"/>
      <c r="J9" s="251">
        <f>SUMIF(51:51,I9,52:52)-SUMIF(51:51,C9,52:52)+100</f>
        <v>100</v>
      </c>
      <c r="K9" s="517"/>
      <c r="L9" s="2015"/>
      <c r="M9" s="2016"/>
      <c r="N9" s="2016"/>
      <c r="O9" s="2017"/>
      <c r="P9" s="3506" t="s">
        <v>528</v>
      </c>
      <c r="Q9" s="1133" t="str">
        <f t="shared" ref="Q9:Q14" si="6">B9</f>
        <v>用途</v>
      </c>
      <c r="R9" s="1500" t="s">
        <v>8</v>
      </c>
      <c r="S9" s="1501">
        <f t="shared" si="0"/>
        <v>100</v>
      </c>
      <c r="T9" s="1500" t="s">
        <v>8</v>
      </c>
      <c r="U9" s="1501">
        <f t="shared" si="1"/>
        <v>100</v>
      </c>
      <c r="V9" s="1500" t="s">
        <v>8</v>
      </c>
      <c r="W9" s="1501">
        <f t="shared" si="2"/>
        <v>100</v>
      </c>
      <c r="X9" s="1502"/>
      <c r="Y9" s="3457" t="s">
        <v>529</v>
      </c>
      <c r="Z9" s="1132" t="str">
        <f t="shared" ref="Z9:Z14" si="7">Q9</f>
        <v>用途</v>
      </c>
      <c r="AA9" s="1503">
        <f t="shared" si="3"/>
        <v>1</v>
      </c>
      <c r="AB9" s="1503">
        <f t="shared" si="4"/>
        <v>1</v>
      </c>
      <c r="AC9" s="1503">
        <f t="shared" si="5"/>
        <v>1</v>
      </c>
    </row>
    <row r="10" spans="1:29" s="1291" customFormat="1" ht="27">
      <c r="A10" s="2630"/>
      <c r="B10" s="2635" t="s">
        <v>2737</v>
      </c>
      <c r="C10" s="849"/>
      <c r="D10" s="252">
        <v>100</v>
      </c>
      <c r="E10" s="849"/>
      <c r="F10" s="252">
        <f>SUMIF(53:53,E10,54:54)-SUMIF(53:53,C10,54:54)+100</f>
        <v>100</v>
      </c>
      <c r="G10" s="850"/>
      <c r="H10" s="252">
        <f>SUMIF(53:53,G10,54:54)-SUMIF(53:53,C10,54:54)+100</f>
        <v>100</v>
      </c>
      <c r="I10" s="849"/>
      <c r="J10" s="252">
        <f>SUMIF(53:53,I10,54:54)-SUMIF(53:53,C10,54:54)+100</f>
        <v>100</v>
      </c>
      <c r="K10" s="577"/>
      <c r="L10" s="2018"/>
      <c r="M10" s="2057"/>
      <c r="N10" s="2057"/>
      <c r="O10" s="2019"/>
      <c r="P10" s="3506"/>
      <c r="Q10" s="1133" t="str">
        <f t="shared" si="6"/>
        <v>土地使用年限（年）</v>
      </c>
      <c r="R10" s="1500" t="s">
        <v>8</v>
      </c>
      <c r="S10" s="1501">
        <f t="shared" si="0"/>
        <v>100</v>
      </c>
      <c r="T10" s="1500" t="s">
        <v>8</v>
      </c>
      <c r="U10" s="1501">
        <f t="shared" si="1"/>
        <v>100</v>
      </c>
      <c r="V10" s="1500" t="s">
        <v>8</v>
      </c>
      <c r="W10" s="1501">
        <f t="shared" si="2"/>
        <v>100</v>
      </c>
      <c r="X10" s="1502"/>
      <c r="Y10" s="3457"/>
      <c r="Z10" s="1132" t="str">
        <f t="shared" si="7"/>
        <v>土地使用年限（年）</v>
      </c>
      <c r="AA10" s="1503">
        <f t="shared" si="3"/>
        <v>1</v>
      </c>
      <c r="AB10" s="1503">
        <f t="shared" si="4"/>
        <v>1</v>
      </c>
      <c r="AC10" s="1503">
        <f t="shared" si="5"/>
        <v>1</v>
      </c>
    </row>
    <row r="11" spans="1:29" ht="15">
      <c r="A11" s="2632"/>
      <c r="B11" s="2638">
        <v>111</v>
      </c>
      <c r="C11" s="521"/>
      <c r="D11" s="252">
        <v>100</v>
      </c>
      <c r="E11" s="868"/>
      <c r="F11" s="252">
        <f>SUMIF(55:55,E11,56:56)-SUMIF(55:55,C11,56:56)+100</f>
        <v>100</v>
      </c>
      <c r="G11" s="868"/>
      <c r="H11" s="252">
        <f>SUMIF(55:55,G11,56:56)-SUMIF(55:55,C11,56:56)+100</f>
        <v>100</v>
      </c>
      <c r="I11" s="868"/>
      <c r="J11" s="252">
        <f>SUMIF(55:55,I11,56:56)-SUMIF(55:55,C11,56:56)+100</f>
        <v>100</v>
      </c>
      <c r="K11" s="574"/>
      <c r="L11" s="2020"/>
      <c r="M11" s="2014"/>
      <c r="N11" s="2014"/>
      <c r="O11" s="2021"/>
      <c r="P11" s="3506"/>
      <c r="Q11" s="1133">
        <f t="shared" si="6"/>
        <v>111</v>
      </c>
      <c r="R11" s="1500" t="s">
        <v>8</v>
      </c>
      <c r="S11" s="1501">
        <f t="shared" si="0"/>
        <v>100</v>
      </c>
      <c r="T11" s="1500" t="s">
        <v>8</v>
      </c>
      <c r="U11" s="1501">
        <f t="shared" si="1"/>
        <v>100</v>
      </c>
      <c r="V11" s="1500" t="s">
        <v>8</v>
      </c>
      <c r="W11" s="1501">
        <f t="shared" si="2"/>
        <v>100</v>
      </c>
      <c r="X11" s="1502"/>
      <c r="Y11" s="3457"/>
      <c r="Z11" s="1132">
        <f t="shared" si="7"/>
        <v>111</v>
      </c>
      <c r="AA11" s="1503">
        <f t="shared" si="3"/>
        <v>1</v>
      </c>
      <c r="AB11" s="1503">
        <f t="shared" si="4"/>
        <v>1</v>
      </c>
      <c r="AC11" s="1503">
        <f t="shared" si="5"/>
        <v>1</v>
      </c>
    </row>
    <row r="12" spans="1:29" s="1202" customFormat="1" ht="15">
      <c r="A12" s="2632"/>
      <c r="B12" s="2638">
        <v>111</v>
      </c>
      <c r="C12" s="521"/>
      <c r="D12" s="531">
        <v>100</v>
      </c>
      <c r="E12" s="868"/>
      <c r="F12" s="252">
        <f>SUMIF(57:57,E12,58:58)-SUMIF(57:57,C12,58:58)+100</f>
        <v>100</v>
      </c>
      <c r="G12" s="868"/>
      <c r="H12" s="252">
        <f>SUMIF(57:57,G12,58:58)-SUMIF(57:57,C12,58:58)+100</f>
        <v>100</v>
      </c>
      <c r="I12" s="868"/>
      <c r="J12" s="252">
        <f>SUMIF(57:57,I12,58:58)-SUMIF(57:57,C12,58:58)+100</f>
        <v>100</v>
      </c>
      <c r="K12" s="574"/>
      <c r="L12" s="2015"/>
      <c r="M12" s="2016"/>
      <c r="N12" s="2016"/>
      <c r="O12" s="2017"/>
      <c r="P12" s="3506"/>
      <c r="Q12" s="1133">
        <f t="shared" si="6"/>
        <v>111</v>
      </c>
      <c r="R12" s="1500" t="s">
        <v>8</v>
      </c>
      <c r="S12" s="1501">
        <f t="shared" si="0"/>
        <v>100</v>
      </c>
      <c r="T12" s="1500" t="s">
        <v>8</v>
      </c>
      <c r="U12" s="1501">
        <f t="shared" si="1"/>
        <v>100</v>
      </c>
      <c r="V12" s="1500" t="s">
        <v>8</v>
      </c>
      <c r="W12" s="1501">
        <f t="shared" si="2"/>
        <v>100</v>
      </c>
      <c r="X12" s="1502"/>
      <c r="Y12" s="3457"/>
      <c r="Z12" s="1132">
        <f t="shared" si="7"/>
        <v>111</v>
      </c>
      <c r="AA12" s="1503">
        <f>D12/F12</f>
        <v>1</v>
      </c>
      <c r="AB12" s="1503">
        <f>D12/H12</f>
        <v>1</v>
      </c>
      <c r="AC12" s="1503">
        <f>D12/J12</f>
        <v>1</v>
      </c>
    </row>
    <row r="13" spans="1:29" ht="15.75" thickBot="1">
      <c r="A13" s="2633"/>
      <c r="B13" s="2639">
        <v>111</v>
      </c>
      <c r="C13" s="532"/>
      <c r="D13" s="533">
        <v>100</v>
      </c>
      <c r="E13" s="868"/>
      <c r="F13" s="252">
        <f>SUMIF(59:59,E13,60:60)-SUMIF(59:59,C13,60:60)+100</f>
        <v>100</v>
      </c>
      <c r="G13" s="868"/>
      <c r="H13" s="533">
        <f>SUMIF(59:59,G13,60:60)-SUMIF(59:59,C13,60:60)+100</f>
        <v>100</v>
      </c>
      <c r="I13" s="868"/>
      <c r="J13" s="533">
        <f>SUMIF(59:59,I13,60:60)-SUMIF(59:59,C13,60:60)+100</f>
        <v>100</v>
      </c>
      <c r="K13" s="574"/>
      <c r="L13" s="2022"/>
      <c r="M13" s="2014"/>
      <c r="N13" s="2014"/>
      <c r="O13" s="2021"/>
      <c r="P13" s="3506"/>
      <c r="Q13" s="1133">
        <f t="shared" si="6"/>
        <v>111</v>
      </c>
      <c r="R13" s="1500" t="s">
        <v>8</v>
      </c>
      <c r="S13" s="1501">
        <f t="shared" si="0"/>
        <v>100</v>
      </c>
      <c r="T13" s="1500" t="s">
        <v>8</v>
      </c>
      <c r="U13" s="1501">
        <f t="shared" si="1"/>
        <v>100</v>
      </c>
      <c r="V13" s="1500" t="s">
        <v>8</v>
      </c>
      <c r="W13" s="1501">
        <f t="shared" si="2"/>
        <v>100</v>
      </c>
      <c r="X13" s="1502"/>
      <c r="Y13" s="3457"/>
      <c r="Z13" s="1132">
        <f t="shared" si="7"/>
        <v>111</v>
      </c>
      <c r="AA13" s="1503">
        <f t="shared" si="3"/>
        <v>1</v>
      </c>
      <c r="AB13" s="1503">
        <f t="shared" si="4"/>
        <v>1</v>
      </c>
      <c r="AC13" s="1503">
        <f t="shared" si="5"/>
        <v>1</v>
      </c>
    </row>
    <row r="14" spans="1:29" ht="85.5">
      <c r="A14" s="2625" t="s">
        <v>2734</v>
      </c>
      <c r="B14" s="164" t="s">
        <v>536</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2"/>
      <c r="M14" s="2014"/>
      <c r="N14" s="2014"/>
      <c r="O14" s="2021"/>
      <c r="P14" s="3508" t="s">
        <v>533</v>
      </c>
      <c r="Q14" s="1504" t="str">
        <f t="shared" si="6"/>
        <v>交通便捷度</v>
      </c>
      <c r="R14" s="1505" t="s">
        <v>8</v>
      </c>
      <c r="S14" s="1506">
        <f t="shared" si="0"/>
        <v>100</v>
      </c>
      <c r="T14" s="1505" t="s">
        <v>8</v>
      </c>
      <c r="U14" s="1506">
        <f t="shared" si="1"/>
        <v>100</v>
      </c>
      <c r="V14" s="1505" t="s">
        <v>8</v>
      </c>
      <c r="W14" s="1506">
        <f t="shared" si="2"/>
        <v>100</v>
      </c>
      <c r="X14" s="1499"/>
      <c r="Y14" s="3508" t="s">
        <v>533</v>
      </c>
      <c r="Z14" s="1507" t="str">
        <f t="shared" si="7"/>
        <v>交通便捷度</v>
      </c>
      <c r="AA14" s="1508">
        <f t="shared" si="3"/>
        <v>1</v>
      </c>
      <c r="AB14" s="1508">
        <f t="shared" si="4"/>
        <v>1</v>
      </c>
      <c r="AC14" s="1508">
        <f t="shared" si="5"/>
        <v>1</v>
      </c>
    </row>
    <row r="15" spans="1:29" ht="15">
      <c r="A15" s="525"/>
      <c r="B15" s="857"/>
      <c r="C15" s="569"/>
      <c r="D15" s="548"/>
      <c r="E15" s="569"/>
      <c r="F15" s="550"/>
      <c r="G15" s="569"/>
      <c r="H15" s="552"/>
      <c r="I15" s="569"/>
      <c r="J15" s="548"/>
      <c r="K15" s="887"/>
      <c r="L15" s="2022"/>
      <c r="M15" s="2014"/>
      <c r="N15" s="2014"/>
      <c r="O15" s="2021"/>
      <c r="P15" s="3509"/>
      <c r="Q15" s="1504"/>
      <c r="R15" s="1505"/>
      <c r="S15" s="1506"/>
      <c r="T15" s="1505"/>
      <c r="U15" s="1506"/>
      <c r="V15" s="1505"/>
      <c r="W15" s="1506"/>
      <c r="X15" s="1499"/>
      <c r="Y15" s="3509"/>
      <c r="Z15" s="1507"/>
      <c r="AA15" s="1508">
        <v>1</v>
      </c>
      <c r="AB15" s="1508">
        <v>1</v>
      </c>
      <c r="AC15" s="1508">
        <v>1</v>
      </c>
    </row>
    <row r="16" spans="1:29" ht="42.75">
      <c r="A16" s="525"/>
      <c r="B16" s="2445"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2"/>
      <c r="M16" s="2014"/>
      <c r="N16" s="2014"/>
      <c r="O16" s="2021"/>
      <c r="P16" s="3509"/>
      <c r="Q16" s="1504" t="str">
        <f>B16</f>
        <v>公共配套设施</v>
      </c>
      <c r="R16" s="1505" t="s">
        <v>8</v>
      </c>
      <c r="S16" s="1506">
        <f>F16</f>
        <v>100</v>
      </c>
      <c r="T16" s="1505" t="s">
        <v>8</v>
      </c>
      <c r="U16" s="1506">
        <f>H16</f>
        <v>100</v>
      </c>
      <c r="V16" s="1505" t="s">
        <v>8</v>
      </c>
      <c r="W16" s="1506">
        <f>J16</f>
        <v>100</v>
      </c>
      <c r="X16" s="1499"/>
      <c r="Y16" s="3509"/>
      <c r="Z16" s="1507" t="str">
        <f>Q16</f>
        <v>公共配套设施</v>
      </c>
      <c r="AA16" s="1508">
        <f t="shared" si="3"/>
        <v>1</v>
      </c>
      <c r="AB16" s="1508">
        <f t="shared" si="4"/>
        <v>1</v>
      </c>
      <c r="AC16" s="1508">
        <f t="shared" si="5"/>
        <v>1</v>
      </c>
    </row>
    <row r="17" spans="1:29" ht="15">
      <c r="A17" s="525"/>
      <c r="B17" s="559"/>
      <c r="C17" s="861"/>
      <c r="D17" s="548"/>
      <c r="E17" s="569"/>
      <c r="F17" s="550"/>
      <c r="G17" s="569"/>
      <c r="H17" s="548"/>
      <c r="I17" s="569"/>
      <c r="J17" s="548"/>
      <c r="K17" s="887"/>
      <c r="L17" s="2022"/>
      <c r="M17" s="2014"/>
      <c r="N17" s="2014"/>
      <c r="O17" s="2021"/>
      <c r="P17" s="3509"/>
      <c r="Q17" s="1504"/>
      <c r="R17" s="1505"/>
      <c r="S17" s="1506"/>
      <c r="T17" s="1505"/>
      <c r="U17" s="1506"/>
      <c r="V17" s="1505"/>
      <c r="W17" s="1506"/>
      <c r="X17" s="1499"/>
      <c r="Y17" s="3509"/>
      <c r="Z17" s="1507"/>
      <c r="AA17" s="1508">
        <v>1</v>
      </c>
      <c r="AB17" s="1508">
        <v>1</v>
      </c>
      <c r="AC17" s="1508">
        <v>1</v>
      </c>
    </row>
    <row r="18" spans="1:29" ht="28.5">
      <c r="A18" s="525"/>
      <c r="B18" s="2433"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2"/>
      <c r="M18" s="2014"/>
      <c r="N18" s="2014"/>
      <c r="O18" s="2021"/>
      <c r="P18" s="3509"/>
      <c r="Q18" s="2427" t="str">
        <f>B18</f>
        <v>基础设施水平</v>
      </c>
      <c r="R18" s="1505" t="s">
        <v>8</v>
      </c>
      <c r="S18" s="1506">
        <f>F18</f>
        <v>100</v>
      </c>
      <c r="T18" s="1505" t="s">
        <v>8</v>
      </c>
      <c r="U18" s="1506">
        <f>H18</f>
        <v>100</v>
      </c>
      <c r="V18" s="1505" t="s">
        <v>8</v>
      </c>
      <c r="W18" s="1506">
        <f>J18</f>
        <v>100</v>
      </c>
      <c r="X18" s="2429"/>
      <c r="Y18" s="3509"/>
      <c r="Z18" s="2428" t="str">
        <f>Q18</f>
        <v>基础设施水平</v>
      </c>
      <c r="AA18" s="1508">
        <f t="shared" ref="AA18" si="8">D18/F18</f>
        <v>1</v>
      </c>
      <c r="AB18" s="1508">
        <f t="shared" ref="AB18" si="9">D18/H18</f>
        <v>1</v>
      </c>
      <c r="AC18" s="1508">
        <f t="shared" ref="AC18" si="10">D18/J18</f>
        <v>1</v>
      </c>
    </row>
    <row r="19" spans="1:29" ht="15">
      <c r="A19" s="525"/>
      <c r="B19" s="571"/>
      <c r="C19" s="861"/>
      <c r="D19" s="552"/>
      <c r="E19" s="861"/>
      <c r="F19" s="556"/>
      <c r="G19" s="861"/>
      <c r="H19" s="548"/>
      <c r="I19" s="569"/>
      <c r="J19" s="548"/>
      <c r="K19" s="2444"/>
      <c r="L19" s="2022"/>
      <c r="M19" s="2014"/>
      <c r="N19" s="2014"/>
      <c r="O19" s="2021"/>
      <c r="P19" s="3509"/>
      <c r="Q19" s="2427"/>
      <c r="R19" s="1505"/>
      <c r="S19" s="1506"/>
      <c r="T19" s="1505"/>
      <c r="U19" s="1506"/>
      <c r="V19" s="1505"/>
      <c r="W19" s="1506"/>
      <c r="X19" s="2429"/>
      <c r="Y19" s="3509"/>
      <c r="Z19" s="2428"/>
      <c r="AA19" s="1508">
        <v>1</v>
      </c>
      <c r="AB19" s="1508">
        <v>1</v>
      </c>
      <c r="AC19" s="1508">
        <v>1</v>
      </c>
    </row>
    <row r="20" spans="1:29" ht="57">
      <c r="A20" s="525"/>
      <c r="B20" s="859" t="s">
        <v>797</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2"/>
      <c r="M20" s="2014"/>
      <c r="N20" s="2014"/>
      <c r="O20" s="2021"/>
      <c r="P20" s="3509"/>
      <c r="Q20" s="1504" t="str">
        <f>B20</f>
        <v>自然及人文环境</v>
      </c>
      <c r="R20" s="1505" t="s">
        <v>8</v>
      </c>
      <c r="S20" s="1506">
        <f>F20</f>
        <v>100</v>
      </c>
      <c r="T20" s="1505" t="s">
        <v>8</v>
      </c>
      <c r="U20" s="1506">
        <f>H20</f>
        <v>100</v>
      </c>
      <c r="V20" s="1505" t="s">
        <v>8</v>
      </c>
      <c r="W20" s="1506">
        <f>J20</f>
        <v>100</v>
      </c>
      <c r="X20" s="1499"/>
      <c r="Y20" s="3509"/>
      <c r="Z20" s="1507" t="str">
        <f>Q20</f>
        <v>自然及人文环境</v>
      </c>
      <c r="AA20" s="1508">
        <f t="shared" si="3"/>
        <v>1</v>
      </c>
      <c r="AB20" s="1508">
        <f t="shared" si="4"/>
        <v>1</v>
      </c>
      <c r="AC20" s="1508">
        <f t="shared" si="5"/>
        <v>1</v>
      </c>
    </row>
    <row r="21" spans="1:29" ht="15">
      <c r="A21" s="525"/>
      <c r="B21" s="588"/>
      <c r="C21" s="569"/>
      <c r="D21" s="548"/>
      <c r="E21" s="569"/>
      <c r="F21" s="550"/>
      <c r="G21" s="569"/>
      <c r="H21" s="548"/>
      <c r="I21" s="569"/>
      <c r="J21" s="548"/>
      <c r="K21" s="887"/>
      <c r="L21" s="2022"/>
      <c r="M21" s="2014"/>
      <c r="N21" s="2014"/>
      <c r="O21" s="2021"/>
      <c r="P21" s="3509"/>
      <c r="Q21" s="1504"/>
      <c r="R21" s="1505"/>
      <c r="S21" s="1506"/>
      <c r="T21" s="1505"/>
      <c r="U21" s="1506"/>
      <c r="V21" s="1505"/>
      <c r="W21" s="1506"/>
      <c r="X21" s="1499"/>
      <c r="Y21" s="3509"/>
      <c r="Z21" s="1507"/>
      <c r="AA21" s="1508">
        <v>1</v>
      </c>
      <c r="AB21" s="1508">
        <v>1</v>
      </c>
      <c r="AC21" s="1508">
        <v>1</v>
      </c>
    </row>
    <row r="22" spans="1:29" ht="15">
      <c r="A22" s="525"/>
      <c r="B22" s="859" t="s">
        <v>798</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509"/>
      <c r="Q22" s="1504" t="str">
        <f>B22</f>
        <v>楼层</v>
      </c>
      <c r="R22" s="1505" t="s">
        <v>8</v>
      </c>
      <c r="S22" s="1506">
        <f>F22</f>
        <v>100</v>
      </c>
      <c r="T22" s="1505" t="s">
        <v>8</v>
      </c>
      <c r="U22" s="1506">
        <f>H22</f>
        <v>100</v>
      </c>
      <c r="V22" s="1505" t="s">
        <v>8</v>
      </c>
      <c r="W22" s="1506">
        <f>J22</f>
        <v>100</v>
      </c>
      <c r="X22" s="1499"/>
      <c r="Y22" s="3509"/>
      <c r="Z22" s="1507" t="str">
        <f>Q22</f>
        <v>楼层</v>
      </c>
      <c r="AA22" s="1508">
        <f t="shared" si="3"/>
        <v>1</v>
      </c>
      <c r="AB22" s="1508">
        <f t="shared" si="4"/>
        <v>1</v>
      </c>
      <c r="AC22" s="1508">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509"/>
      <c r="Q23" s="1504">
        <f>B23</f>
        <v>111</v>
      </c>
      <c r="R23" s="1505" t="s">
        <v>8</v>
      </c>
      <c r="S23" s="1506">
        <f>F23</f>
        <v>100</v>
      </c>
      <c r="T23" s="1505" t="s">
        <v>8</v>
      </c>
      <c r="U23" s="1506">
        <f>H23</f>
        <v>100</v>
      </c>
      <c r="V23" s="1505" t="s">
        <v>8</v>
      </c>
      <c r="W23" s="1506">
        <f>J23</f>
        <v>100</v>
      </c>
      <c r="X23" s="1499"/>
      <c r="Y23" s="3509"/>
      <c r="Z23" s="1507">
        <f>Q23</f>
        <v>111</v>
      </c>
      <c r="AA23" s="1508">
        <f t="shared" si="3"/>
        <v>1</v>
      </c>
      <c r="AB23" s="1508">
        <f t="shared" si="4"/>
        <v>1</v>
      </c>
      <c r="AC23" s="1508">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509"/>
      <c r="Q24" s="1504">
        <f t="shared" ref="Q24:Q34" si="11">B24</f>
        <v>111</v>
      </c>
      <c r="R24" s="1505" t="s">
        <v>8</v>
      </c>
      <c r="S24" s="1506">
        <f>F24</f>
        <v>100</v>
      </c>
      <c r="T24" s="1505" t="s">
        <v>8</v>
      </c>
      <c r="U24" s="1506">
        <f>H24</f>
        <v>100</v>
      </c>
      <c r="V24" s="1505" t="s">
        <v>8</v>
      </c>
      <c r="W24" s="1506">
        <f>J24</f>
        <v>100</v>
      </c>
      <c r="X24" s="1499"/>
      <c r="Y24" s="3509"/>
      <c r="Z24" s="1507">
        <f>Q24</f>
        <v>111</v>
      </c>
      <c r="AA24" s="1508">
        <f t="shared" si="3"/>
        <v>1</v>
      </c>
      <c r="AB24" s="1508">
        <f t="shared" si="4"/>
        <v>1</v>
      </c>
      <c r="AC24" s="1508">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509"/>
      <c r="Q25" s="1133">
        <f t="shared" si="11"/>
        <v>111</v>
      </c>
      <c r="R25" s="1500" t="s">
        <v>8</v>
      </c>
      <c r="S25" s="1501">
        <f>F25</f>
        <v>100</v>
      </c>
      <c r="T25" s="1500" t="s">
        <v>8</v>
      </c>
      <c r="U25" s="1501">
        <f>H25</f>
        <v>100</v>
      </c>
      <c r="V25" s="1500" t="s">
        <v>8</v>
      </c>
      <c r="W25" s="1501">
        <f>J25</f>
        <v>100</v>
      </c>
      <c r="X25" s="1502"/>
      <c r="Y25" s="3509"/>
      <c r="Z25" s="1132">
        <f>Q25</f>
        <v>111</v>
      </c>
      <c r="AA25" s="1508">
        <f>D25/F25</f>
        <v>1</v>
      </c>
      <c r="AB25" s="1508">
        <f>D25/H25</f>
        <v>1</v>
      </c>
      <c r="AC25" s="1508">
        <f>D25/J25</f>
        <v>1</v>
      </c>
    </row>
    <row r="26" spans="1:29" ht="15">
      <c r="A26" s="2622" t="s">
        <v>2735</v>
      </c>
      <c r="B26" s="170" t="s">
        <v>801</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510" t="s">
        <v>814</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11" t="s">
        <v>814</v>
      </c>
      <c r="Z26" s="1507" t="str">
        <f t="shared" ref="Z26:Z34" si="15">Q26</f>
        <v>公共部分装修</v>
      </c>
      <c r="AA26" s="1508">
        <f t="shared" si="3"/>
        <v>1</v>
      </c>
      <c r="AB26" s="1508">
        <f t="shared" si="4"/>
        <v>1</v>
      </c>
      <c r="AC26" s="1508">
        <f t="shared" si="5"/>
        <v>1</v>
      </c>
    </row>
    <row r="27" spans="1:29" s="1292" customFormat="1" ht="15">
      <c r="A27" s="596"/>
      <c r="B27" s="520" t="s">
        <v>802</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0"/>
      <c r="M27" s="2050"/>
      <c r="N27" s="2050"/>
      <c r="O27" s="2023"/>
      <c r="P27" s="3511"/>
      <c r="Q27" s="1533" t="str">
        <f t="shared" si="11"/>
        <v>成新率</v>
      </c>
      <c r="R27" s="1509" t="s">
        <v>8</v>
      </c>
      <c r="S27" s="1510" t="e">
        <f t="shared" si="12"/>
        <v>#N/A</v>
      </c>
      <c r="T27" s="1509" t="s">
        <v>8</v>
      </c>
      <c r="U27" s="1510" t="e">
        <f t="shared" si="13"/>
        <v>#N/A</v>
      </c>
      <c r="V27" s="1509" t="s">
        <v>8</v>
      </c>
      <c r="W27" s="1510" t="e">
        <f t="shared" si="14"/>
        <v>#N/A</v>
      </c>
      <c r="X27" s="1511"/>
      <c r="Y27" s="3511"/>
      <c r="Z27" s="1512" t="str">
        <f t="shared" si="15"/>
        <v>成新率</v>
      </c>
      <c r="AA27" s="1508" t="e">
        <f t="shared" si="3"/>
        <v>#N/A</v>
      </c>
      <c r="AB27" s="1508" t="e">
        <f t="shared" si="4"/>
        <v>#N/A</v>
      </c>
      <c r="AC27" s="1508" t="e">
        <f t="shared" si="5"/>
        <v>#N/A</v>
      </c>
    </row>
    <row r="28" spans="1:29" ht="15">
      <c r="A28" s="587"/>
      <c r="B28" s="520" t="s">
        <v>803</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511"/>
      <c r="Q28" s="1504" t="str">
        <f t="shared" si="11"/>
        <v>物业等级</v>
      </c>
      <c r="R28" s="1505" t="s">
        <v>8</v>
      </c>
      <c r="S28" s="1506">
        <f t="shared" si="12"/>
        <v>100</v>
      </c>
      <c r="T28" s="1505" t="s">
        <v>8</v>
      </c>
      <c r="U28" s="1506">
        <f t="shared" si="13"/>
        <v>100</v>
      </c>
      <c r="V28" s="1505" t="s">
        <v>8</v>
      </c>
      <c r="W28" s="1506">
        <f t="shared" si="14"/>
        <v>100</v>
      </c>
      <c r="X28" s="1499"/>
      <c r="Y28" s="3511"/>
      <c r="Z28" s="1507" t="str">
        <f t="shared" si="15"/>
        <v>物业等级</v>
      </c>
      <c r="AA28" s="1508">
        <f t="shared" si="3"/>
        <v>1</v>
      </c>
      <c r="AB28" s="1508">
        <f t="shared" si="4"/>
        <v>1</v>
      </c>
      <c r="AC28" s="1508">
        <f t="shared" si="5"/>
        <v>1</v>
      </c>
    </row>
    <row r="29" spans="1:29" ht="15">
      <c r="A29" s="587"/>
      <c r="B29" s="520" t="s">
        <v>815</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511"/>
      <c r="Q29" s="1504" t="str">
        <f t="shared" si="11"/>
        <v>有无电梯</v>
      </c>
      <c r="R29" s="1505" t="s">
        <v>8</v>
      </c>
      <c r="S29" s="1506">
        <f t="shared" si="12"/>
        <v>100</v>
      </c>
      <c r="T29" s="1505" t="s">
        <v>8</v>
      </c>
      <c r="U29" s="1506">
        <f t="shared" si="13"/>
        <v>100</v>
      </c>
      <c r="V29" s="1505" t="s">
        <v>8</v>
      </c>
      <c r="W29" s="1506">
        <f t="shared" si="14"/>
        <v>100</v>
      </c>
      <c r="X29" s="1499"/>
      <c r="Y29" s="3511"/>
      <c r="Z29" s="1507" t="str">
        <f t="shared" si="15"/>
        <v>有无电梯</v>
      </c>
      <c r="AA29" s="1508">
        <f t="shared" si="3"/>
        <v>1</v>
      </c>
      <c r="AB29" s="1508">
        <f t="shared" si="4"/>
        <v>1</v>
      </c>
      <c r="AC29" s="1508">
        <f t="shared" si="5"/>
        <v>1</v>
      </c>
    </row>
    <row r="30" spans="1:29" ht="15">
      <c r="A30" s="587"/>
      <c r="B30" s="520" t="s">
        <v>816</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2"/>
      <c r="M30" s="2014"/>
      <c r="N30" s="2014"/>
      <c r="O30" s="2021"/>
      <c r="P30" s="3511"/>
      <c r="Q30" s="1504" t="str">
        <f t="shared" si="11"/>
        <v>建筑面积</v>
      </c>
      <c r="R30" s="1505" t="s">
        <v>8</v>
      </c>
      <c r="S30" s="1506" t="e">
        <f t="shared" si="12"/>
        <v>#N/A</v>
      </c>
      <c r="T30" s="1505" t="s">
        <v>8</v>
      </c>
      <c r="U30" s="1506" t="e">
        <f t="shared" si="13"/>
        <v>#N/A</v>
      </c>
      <c r="V30" s="1505" t="s">
        <v>8</v>
      </c>
      <c r="W30" s="1506" t="e">
        <f t="shared" si="14"/>
        <v>#N/A</v>
      </c>
      <c r="X30" s="1499"/>
      <c r="Y30" s="3511"/>
      <c r="Z30" s="1507" t="str">
        <f t="shared" si="15"/>
        <v>建筑面积</v>
      </c>
      <c r="AA30" s="1508" t="e">
        <f t="shared" si="3"/>
        <v>#N/A</v>
      </c>
      <c r="AB30" s="1508" t="e">
        <f t="shared" si="4"/>
        <v>#N/A</v>
      </c>
      <c r="AC30" s="1508" t="e">
        <f t="shared" si="5"/>
        <v>#N/A</v>
      </c>
    </row>
    <row r="31" spans="1:29" s="1202" customFormat="1" ht="15">
      <c r="A31" s="593"/>
      <c r="B31" s="520" t="s">
        <v>817</v>
      </c>
      <c r="C31" s="920"/>
      <c r="D31" s="252">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511"/>
      <c r="Q31" s="1133" t="str">
        <f t="shared" si="11"/>
        <v>是否封闭</v>
      </c>
      <c r="R31" s="1500" t="s">
        <v>8</v>
      </c>
      <c r="S31" s="1501">
        <f t="shared" si="12"/>
        <v>100</v>
      </c>
      <c r="T31" s="1500" t="s">
        <v>8</v>
      </c>
      <c r="U31" s="1501">
        <f t="shared" si="13"/>
        <v>100</v>
      </c>
      <c r="V31" s="1500" t="s">
        <v>8</v>
      </c>
      <c r="W31" s="1501">
        <f t="shared" si="14"/>
        <v>100</v>
      </c>
      <c r="X31" s="1502"/>
      <c r="Y31" s="3511"/>
      <c r="Z31" s="1132" t="str">
        <f t="shared" si="15"/>
        <v>是否封闭</v>
      </c>
      <c r="AA31" s="1503">
        <f t="shared" si="3"/>
        <v>1</v>
      </c>
      <c r="AB31" s="1503">
        <f t="shared" si="4"/>
        <v>1</v>
      </c>
      <c r="AC31" s="1503">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511" t="s">
        <v>543</v>
      </c>
      <c r="Q32" s="1504">
        <f t="shared" si="11"/>
        <v>111</v>
      </c>
      <c r="R32" s="1505" t="s">
        <v>8</v>
      </c>
      <c r="S32" s="1506">
        <f t="shared" si="12"/>
        <v>100</v>
      </c>
      <c r="T32" s="1505" t="s">
        <v>8</v>
      </c>
      <c r="U32" s="1506">
        <f t="shared" si="13"/>
        <v>100</v>
      </c>
      <c r="V32" s="1505" t="s">
        <v>8</v>
      </c>
      <c r="W32" s="1506">
        <f t="shared" si="14"/>
        <v>100</v>
      </c>
      <c r="X32" s="1499"/>
      <c r="Y32" s="3511" t="s">
        <v>543</v>
      </c>
      <c r="Z32" s="1507">
        <f t="shared" si="15"/>
        <v>111</v>
      </c>
      <c r="AA32" s="1508">
        <f t="shared" si="3"/>
        <v>1</v>
      </c>
      <c r="AB32" s="1508">
        <f t="shared" si="4"/>
        <v>1</v>
      </c>
      <c r="AC32" s="1508">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511"/>
      <c r="Q33" s="1504">
        <f t="shared" si="11"/>
        <v>111</v>
      </c>
      <c r="R33" s="1505" t="s">
        <v>8</v>
      </c>
      <c r="S33" s="1506">
        <f t="shared" si="12"/>
        <v>100</v>
      </c>
      <c r="T33" s="1505" t="s">
        <v>8</v>
      </c>
      <c r="U33" s="1506">
        <f t="shared" si="13"/>
        <v>100</v>
      </c>
      <c r="V33" s="1505" t="s">
        <v>8</v>
      </c>
      <c r="W33" s="1506">
        <f t="shared" si="14"/>
        <v>100</v>
      </c>
      <c r="X33" s="1499"/>
      <c r="Y33" s="3511"/>
      <c r="Z33" s="1507">
        <f t="shared" si="15"/>
        <v>111</v>
      </c>
      <c r="AA33" s="1508">
        <f t="shared" si="3"/>
        <v>1</v>
      </c>
      <c r="AB33" s="1508">
        <f t="shared" si="4"/>
        <v>1</v>
      </c>
      <c r="AC33" s="1508">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511"/>
      <c r="Q34" s="1504">
        <f t="shared" si="11"/>
        <v>111</v>
      </c>
      <c r="R34" s="1505" t="s">
        <v>8</v>
      </c>
      <c r="S34" s="1506">
        <f t="shared" si="12"/>
        <v>100</v>
      </c>
      <c r="T34" s="1505" t="s">
        <v>8</v>
      </c>
      <c r="U34" s="1506">
        <f t="shared" si="13"/>
        <v>100</v>
      </c>
      <c r="V34" s="1505" t="s">
        <v>8</v>
      </c>
      <c r="W34" s="1506">
        <f t="shared" si="14"/>
        <v>100</v>
      </c>
      <c r="X34" s="1499"/>
      <c r="Y34" s="3511"/>
      <c r="Z34" s="1507">
        <f t="shared" si="15"/>
        <v>111</v>
      </c>
      <c r="AA34" s="1508">
        <f t="shared" si="3"/>
        <v>1</v>
      </c>
      <c r="AB34" s="1508">
        <f t="shared" si="4"/>
        <v>1</v>
      </c>
      <c r="AC34" s="1508">
        <f t="shared" si="5"/>
        <v>1</v>
      </c>
    </row>
    <row r="35" spans="1:29" ht="15">
      <c r="A35" s="600" t="s">
        <v>729</v>
      </c>
      <c r="B35" s="875"/>
      <c r="C35" s="2468" t="s">
        <v>1</v>
      </c>
      <c r="D35" s="2469"/>
      <c r="E35" s="2470"/>
      <c r="F35" s="2471"/>
      <c r="G35" s="2472"/>
      <c r="H35" s="2473"/>
      <c r="I35" s="2470"/>
      <c r="J35" s="2473"/>
      <c r="K35" s="1538"/>
      <c r="L35" s="2024"/>
      <c r="M35" s="2025"/>
      <c r="N35" s="2014"/>
      <c r="O35" s="2025"/>
      <c r="P35" s="3506" t="str">
        <f>A35</f>
        <v>成交单价（元/平方米）</v>
      </c>
      <c r="Q35" s="3506"/>
      <c r="R35" s="3613">
        <f>E35</f>
        <v>0</v>
      </c>
      <c r="S35" s="3613"/>
      <c r="T35" s="3613">
        <f>G35</f>
        <v>0</v>
      </c>
      <c r="U35" s="3613"/>
      <c r="V35" s="3613">
        <f>I35</f>
        <v>0</v>
      </c>
      <c r="W35" s="3613"/>
      <c r="X35" s="1494"/>
      <c r="Y35" s="1513"/>
      <c r="Z35" s="1494"/>
      <c r="AA35" s="1494"/>
      <c r="AB35" s="1494"/>
      <c r="AC35" s="1494"/>
    </row>
    <row r="36" spans="1:29" ht="15.75" thickBot="1">
      <c r="A36" s="608" t="s">
        <v>2740</v>
      </c>
      <c r="B36" s="876"/>
      <c r="C36" s="2474" t="e">
        <f>R37</f>
        <v>#DIV/0!</v>
      </c>
      <c r="D36" s="3008" t="s">
        <v>2971</v>
      </c>
      <c r="E36" s="2475" t="e">
        <f>R36</f>
        <v>#DIV/0!</v>
      </c>
      <c r="F36" s="3009"/>
      <c r="G36" s="2474" t="e">
        <f>T36</f>
        <v>#DIV/0!</v>
      </c>
      <c r="H36" s="3009"/>
      <c r="I36" s="2475" t="e">
        <f>V36</f>
        <v>#DIV/0!</v>
      </c>
      <c r="J36" s="3009"/>
      <c r="K36" s="3017">
        <f>F36+H36+J36</f>
        <v>0</v>
      </c>
      <c r="L36" s="2024"/>
      <c r="M36" s="2025"/>
      <c r="N36" s="2014"/>
      <c r="O36" s="2025"/>
      <c r="P36" s="3506" t="str">
        <f>A36</f>
        <v>比较价格（元/平方米）</v>
      </c>
      <c r="Q36" s="3506"/>
      <c r="R36" s="3613" t="e">
        <f>IF(F1="售价",ROUND(PRODUCT(R35,AA7:AA34),0),ROUND(PRODUCT(R35,AA7:AA34),1))</f>
        <v>#DIV/0!</v>
      </c>
      <c r="S36" s="3613"/>
      <c r="T36" s="3613" t="e">
        <f>IF(F1="售价",ROUND(PRODUCT(T35,AB7:AB34),0),ROUND(PRODUCT(T35,AB7:AB34),1))</f>
        <v>#DIV/0!</v>
      </c>
      <c r="U36" s="3613"/>
      <c r="V36" s="3613" t="e">
        <f>IF(F1="售价",ROUND(PRODUCT(V35,AC7:AC34),0),ROUND(PRODUCT(V35,AC7:AC34),1))</f>
        <v>#DIV/0!</v>
      </c>
      <c r="W36" s="3613"/>
      <c r="X36" s="1494"/>
      <c r="Y36" s="1494"/>
      <c r="Z36" s="1494"/>
      <c r="AA36" s="1494"/>
      <c r="AB36" s="1494"/>
      <c r="AC36" s="1494"/>
    </row>
    <row r="37" spans="1:29" ht="15.75" thickBot="1">
      <c r="A37" s="612" t="s">
        <v>2902</v>
      </c>
      <c r="B37" s="613"/>
      <c r="C37" s="2476" t="e">
        <f>R37</f>
        <v>#DIV/0!</v>
      </c>
      <c r="D37" s="2476"/>
      <c r="E37" s="2476"/>
      <c r="F37" s="2476"/>
      <c r="G37" s="2476"/>
      <c r="H37" s="2476"/>
      <c r="I37" s="2476"/>
      <c r="J37" s="2476"/>
      <c r="K37" s="1539"/>
      <c r="L37" s="2024"/>
      <c r="M37" s="2025"/>
      <c r="N37" s="2025"/>
      <c r="O37" s="2025"/>
      <c r="P37" s="3528" t="str">
        <f>A37</f>
        <v>估价对象XX用房的比较价格（楼面单价，元/平方米）</v>
      </c>
      <c r="Q37" s="3529"/>
      <c r="R37" s="3614" t="e">
        <f>IF(F1="售价",ROUND(IF(D36="简单平均",AVERAGE(R36:W36),R36*F36+T36*H36+V36*J36),0),ROUND(IF(D36="简单平均",AVERAGE(R36:V36),R36*F36+T36*H36+V36*J36),1))</f>
        <v>#DIV/0!</v>
      </c>
      <c r="S37" s="3614"/>
      <c r="T37" s="3614"/>
      <c r="U37" s="3614"/>
      <c r="V37" s="3614"/>
      <c r="W37" s="3614"/>
      <c r="X37" s="1494"/>
      <c r="Y37" s="1494"/>
      <c r="Z37" s="1494"/>
      <c r="AA37" s="1494"/>
      <c r="AB37" s="1494"/>
      <c r="AC37" s="1494"/>
    </row>
    <row r="38" spans="1:29">
      <c r="A38" s="3208"/>
      <c r="B38" s="3208"/>
      <c r="C38" s="3208"/>
      <c r="D38" s="3208"/>
      <c r="E38" s="3208"/>
      <c r="F38" s="3208"/>
      <c r="G38" s="3210"/>
      <c r="H38" s="3208"/>
      <c r="I38" s="3208"/>
      <c r="J38" s="3208"/>
      <c r="K38" s="3211"/>
      <c r="L38" s="2029"/>
      <c r="M38" s="2025"/>
      <c r="N38" s="2025"/>
      <c r="O38" s="2025"/>
      <c r="P38" s="2025"/>
      <c r="Q38" s="2025"/>
      <c r="R38" s="2025"/>
      <c r="S38" s="2025"/>
      <c r="T38" s="2025"/>
      <c r="U38" s="2025"/>
      <c r="V38" s="2025"/>
      <c r="W38" s="2025"/>
      <c r="X38" s="2025"/>
      <c r="Y38" s="2025"/>
      <c r="Z38" s="2025"/>
      <c r="AA38" s="2025"/>
      <c r="AB38" s="2025"/>
      <c r="AC38" s="2025"/>
    </row>
    <row r="39" spans="1:29">
      <c r="A39" s="3208"/>
      <c r="B39" s="3208"/>
      <c r="C39" s="3208"/>
      <c r="D39" s="3208"/>
      <c r="E39" s="3208"/>
      <c r="F39" s="3208"/>
      <c r="G39" s="3208"/>
      <c r="H39" s="3208"/>
      <c r="I39" s="3208"/>
      <c r="J39" s="3208"/>
      <c r="K39" s="3211"/>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8"/>
      <c r="B40" s="3208"/>
      <c r="C40" s="615" t="s">
        <v>550</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1"/>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8"/>
      <c r="B41" s="3208"/>
      <c r="C41" s="615" t="s">
        <v>551</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1"/>
      <c r="L41" s="2029"/>
      <c r="M41" s="2025"/>
      <c r="N41" s="2025"/>
      <c r="O41" s="2025"/>
      <c r="P41" s="2025"/>
      <c r="Q41" s="2025"/>
      <c r="R41" s="2025"/>
      <c r="S41" s="2025"/>
      <c r="T41" s="2025"/>
      <c r="U41" s="2025"/>
      <c r="V41" s="2025"/>
      <c r="W41" s="2025"/>
      <c r="X41" s="2025"/>
      <c r="Y41" s="2025"/>
      <c r="Z41" s="2025"/>
      <c r="AA41" s="2025"/>
      <c r="AB41" s="2025"/>
      <c r="AC41" s="2025"/>
    </row>
    <row r="42" spans="1:29" s="1297" customFormat="1" ht="13.5" customHeight="1">
      <c r="A42" s="3209"/>
      <c r="B42" s="3209"/>
      <c r="C42" s="615" t="s">
        <v>552</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2"/>
      <c r="L42" s="2032"/>
      <c r="M42" s="2026"/>
      <c r="N42" s="2026"/>
      <c r="O42" s="2026"/>
      <c r="P42" s="2026"/>
      <c r="Q42" s="2026"/>
      <c r="R42" s="2026"/>
      <c r="S42" s="2026"/>
      <c r="T42" s="2026"/>
      <c r="U42" s="2026"/>
      <c r="V42" s="2026"/>
      <c r="W42" s="2026"/>
      <c r="X42" s="2026"/>
      <c r="Y42" s="2026"/>
      <c r="Z42" s="2026"/>
      <c r="AA42" s="2026"/>
      <c r="AB42" s="2026"/>
      <c r="AC42" s="2026"/>
    </row>
    <row r="43" spans="1:29" s="1297"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567</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9" customFormat="1" ht="15">
      <c r="A46" s="636" t="s">
        <v>522</v>
      </c>
      <c r="B46" s="637"/>
      <c r="C46" s="2517" t="str">
        <f>YEAR(C7)&amp;"-"&amp;MONTH(C7)</f>
        <v>2021-2</v>
      </c>
      <c r="D46" s="2519">
        <f>EDATE(C46,-1)</f>
        <v>44197</v>
      </c>
      <c r="E46" s="2519">
        <f t="shared" ref="E46:O46" si="16">EDATE(D46,-1)</f>
        <v>44166</v>
      </c>
      <c r="F46" s="2519">
        <f t="shared" si="16"/>
        <v>44136</v>
      </c>
      <c r="G46" s="2519">
        <f t="shared" si="16"/>
        <v>44105</v>
      </c>
      <c r="H46" s="2519">
        <f t="shared" si="16"/>
        <v>44075</v>
      </c>
      <c r="I46" s="2519">
        <f t="shared" si="16"/>
        <v>44044</v>
      </c>
      <c r="J46" s="2519">
        <f t="shared" si="16"/>
        <v>44013</v>
      </c>
      <c r="K46" s="2519">
        <f t="shared" si="16"/>
        <v>43983</v>
      </c>
      <c r="L46" s="2519">
        <f t="shared" si="16"/>
        <v>43952</v>
      </c>
      <c r="M46" s="2519">
        <f t="shared" si="16"/>
        <v>43922</v>
      </c>
      <c r="N46" s="2519">
        <f t="shared" si="16"/>
        <v>43891</v>
      </c>
      <c r="O46" s="2519">
        <f t="shared" si="16"/>
        <v>43862</v>
      </c>
      <c r="P46" s="2039"/>
      <c r="Q46" s="2040"/>
      <c r="R46" s="2040"/>
      <c r="S46" s="2040"/>
      <c r="T46" s="2040"/>
      <c r="U46" s="2040"/>
      <c r="V46" s="2040"/>
      <c r="W46" s="2040"/>
      <c r="X46" s="2040"/>
      <c r="Y46" s="2040"/>
      <c r="Z46" s="2040"/>
      <c r="AA46" s="2040"/>
      <c r="AB46" s="2040"/>
      <c r="AC46" s="2040"/>
    </row>
    <row r="47" spans="1:29" s="1202"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2" customFormat="1" ht="15.75" thickBot="1">
      <c r="A48" s="644" t="s">
        <v>568</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2" customFormat="1" ht="15">
      <c r="A49" s="650" t="s">
        <v>524</v>
      </c>
      <c r="B49" s="639"/>
      <c r="C49" s="651" t="s">
        <v>569</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2"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570</v>
      </c>
      <c r="B51" s="656" t="s">
        <v>527</v>
      </c>
      <c r="C51" s="695">
        <f>C9</f>
        <v>0</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530</v>
      </c>
      <c r="C53" s="665" t="s">
        <v>730</v>
      </c>
      <c r="D53" s="665" t="s">
        <v>731</v>
      </c>
      <c r="E53" s="665" t="s">
        <v>732</v>
      </c>
      <c r="F53" s="665" t="s">
        <v>733</v>
      </c>
      <c r="G53" s="665" t="s">
        <v>734</v>
      </c>
      <c r="H53" s="665" t="s">
        <v>735</v>
      </c>
      <c r="I53" s="665" t="s">
        <v>736</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2"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2"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2"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2"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532</v>
      </c>
      <c r="B61" s="656" t="s">
        <v>579</v>
      </c>
      <c r="C61" s="694" t="s">
        <v>572</v>
      </c>
      <c r="D61" s="694" t="s">
        <v>573</v>
      </c>
      <c r="E61" s="694" t="s">
        <v>574</v>
      </c>
      <c r="F61" s="694" t="s">
        <v>575</v>
      </c>
      <c r="G61" s="694" t="s">
        <v>576</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2538</v>
      </c>
      <c r="C63" s="699" t="s">
        <v>572</v>
      </c>
      <c r="D63" s="699" t="s">
        <v>573</v>
      </c>
      <c r="E63" s="699" t="s">
        <v>574</v>
      </c>
      <c r="F63" s="699" t="s">
        <v>575</v>
      </c>
      <c r="G63" s="699" t="s">
        <v>576</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2539</v>
      </c>
      <c r="C65" s="2440" t="s">
        <v>2540</v>
      </c>
      <c r="D65" s="2440" t="s">
        <v>2541</v>
      </c>
      <c r="E65" s="2440" t="s">
        <v>2542</v>
      </c>
      <c r="F65" s="2440" t="s">
        <v>2543</v>
      </c>
      <c r="G65" s="2440" t="s">
        <v>2544</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737</v>
      </c>
      <c r="C67" s="699" t="s">
        <v>572</v>
      </c>
      <c r="D67" s="699" t="s">
        <v>573</v>
      </c>
      <c r="E67" s="699" t="s">
        <v>574</v>
      </c>
      <c r="F67" s="699" t="s">
        <v>575</v>
      </c>
      <c r="G67" s="699" t="s">
        <v>576</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2"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2"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2"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2"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2"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2"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544</v>
      </c>
      <c r="B77" s="656" t="s">
        <v>744</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809</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810</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818</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819</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2" customFormat="1" ht="15" thickTop="1">
      <c r="A89" s="719"/>
      <c r="B89" s="664" t="s">
        <v>820</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2"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4"/>
      <selection pane="bottomLeft" activeCell="F7" sqref="F7:F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2"/>
    <col min="19" max="19" width="9" style="1203"/>
    <col min="20" max="35" width="9" style="254"/>
    <col min="36" max="16384" width="9" style="1203"/>
  </cols>
  <sheetData>
    <row r="1" spans="1:45" s="254" customFormat="1" ht="14.25" customHeight="1" thickBot="1">
      <c r="A1" s="362"/>
      <c r="B1" s="2112" t="s">
        <v>2290</v>
      </c>
      <c r="C1" s="3623" t="s">
        <v>2291</v>
      </c>
      <c r="D1" s="3624"/>
      <c r="E1" s="3624"/>
      <c r="F1" s="3624"/>
      <c r="G1" s="3624"/>
      <c r="H1" s="3624"/>
      <c r="I1" s="3624"/>
      <c r="J1" s="3624"/>
      <c r="K1" s="3624"/>
      <c r="L1" s="3624"/>
      <c r="M1" s="3624"/>
      <c r="N1" s="3624"/>
      <c r="O1" s="3624"/>
      <c r="P1" s="3624"/>
      <c r="Q1" s="3624"/>
      <c r="R1" s="3624"/>
      <c r="S1" s="3625"/>
      <c r="T1" s="2112" t="s">
        <v>2292</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4"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1" t="s">
        <v>2895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3" t="s">
        <v>2894</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3" t="s">
        <v>2893</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2"/>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1" t="s">
        <v>2906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1" t="s">
        <v>2892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1" t="s">
        <v>2891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2294</v>
      </c>
      <c r="B17" s="2156" t="s">
        <v>2295</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821</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822</v>
      </c>
      <c r="B22" s="53">
        <f>SUM(B24:B10000)</f>
        <v>0</v>
      </c>
      <c r="C22" s="3620" t="s">
        <v>20</v>
      </c>
      <c r="D22" s="3621"/>
      <c r="E22" s="3621"/>
      <c r="F22" s="3621"/>
      <c r="G22" s="3621"/>
      <c r="H22" s="3621"/>
      <c r="I22" s="3621"/>
      <c r="J22" s="3621"/>
      <c r="K22" s="3621"/>
      <c r="L22" s="3621"/>
      <c r="M22" s="3621"/>
      <c r="N22" s="3621"/>
      <c r="O22" s="3621"/>
      <c r="P22" s="3621"/>
      <c r="Q22" s="3622"/>
      <c r="R22" s="483" t="e">
        <f>ROUND(S22*10000/B22,0)</f>
        <v>#DIV/0!</v>
      </c>
      <c r="S22" s="53">
        <f>SUM(S24:S10000)</f>
        <v>0</v>
      </c>
    </row>
    <row r="23" spans="1:45" s="1540" customFormat="1" ht="24">
      <c r="A23" s="17" t="s">
        <v>823</v>
      </c>
      <c r="B23" s="2855" t="s">
        <v>2914</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4" t="s">
        <v>825</v>
      </c>
      <c r="S23" s="17" t="s">
        <v>826</v>
      </c>
      <c r="T23" s="18"/>
      <c r="U23" s="18"/>
      <c r="V23" s="18"/>
      <c r="W23" s="18"/>
      <c r="X23" s="18"/>
      <c r="Y23" s="18"/>
      <c r="Z23" s="18"/>
      <c r="AA23" s="18"/>
      <c r="AB23" s="18"/>
      <c r="AC23" s="18"/>
      <c r="AD23" s="18"/>
      <c r="AE23" s="18"/>
      <c r="AF23" s="18"/>
      <c r="AG23" s="18"/>
      <c r="AH23" s="18"/>
      <c r="AI23" s="18"/>
    </row>
    <row r="24" spans="1:45" s="1541" customFormat="1">
      <c r="A24" s="948" t="s">
        <v>827</v>
      </c>
      <c r="B24" s="948"/>
      <c r="C24" s="3270">
        <v>1</v>
      </c>
      <c r="D24" s="3271"/>
      <c r="E24" s="3270">
        <v>1</v>
      </c>
      <c r="F24" s="3271"/>
      <c r="G24" s="3270">
        <v>1</v>
      </c>
      <c r="H24" s="3271"/>
      <c r="I24" s="3270">
        <v>1</v>
      </c>
      <c r="J24" s="3271"/>
      <c r="K24" s="3270">
        <v>1</v>
      </c>
      <c r="L24" s="3271"/>
      <c r="M24" s="3270">
        <v>1</v>
      </c>
      <c r="N24" s="3271"/>
      <c r="O24" s="3270">
        <v>1</v>
      </c>
      <c r="P24" s="3271"/>
      <c r="Q24" s="3270">
        <v>1</v>
      </c>
      <c r="R24" s="951"/>
      <c r="S24" s="949">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4"/>
      <c r="S525" s="254"/>
    </row>
    <row r="526" spans="1:19">
      <c r="A526" s="254"/>
      <c r="B526" s="57"/>
      <c r="C526" s="57"/>
      <c r="D526" s="57"/>
      <c r="E526" s="57"/>
      <c r="F526" s="57"/>
      <c r="G526" s="57"/>
      <c r="H526" s="57"/>
      <c r="I526" s="57"/>
      <c r="J526" s="57"/>
      <c r="K526" s="57"/>
      <c r="L526" s="57"/>
      <c r="M526" s="57"/>
      <c r="N526" s="57"/>
      <c r="O526" s="57"/>
      <c r="P526" s="57"/>
      <c r="Q526" s="57"/>
      <c r="R526" s="2104"/>
      <c r="S526" s="254"/>
    </row>
    <row r="527" spans="1:19">
      <c r="A527" s="254"/>
      <c r="B527" s="57"/>
      <c r="C527" s="57"/>
      <c r="D527" s="57"/>
      <c r="E527" s="57"/>
      <c r="F527" s="57"/>
      <c r="G527" s="57"/>
      <c r="H527" s="57"/>
      <c r="I527" s="57"/>
      <c r="J527" s="57"/>
      <c r="K527" s="57"/>
      <c r="L527" s="57"/>
      <c r="M527" s="57"/>
      <c r="N527" s="57"/>
      <c r="O527" s="57"/>
      <c r="P527" s="57"/>
      <c r="Q527" s="57"/>
      <c r="R527" s="2104"/>
      <c r="S527" s="254"/>
    </row>
    <row r="528" spans="1:19">
      <c r="A528" s="254"/>
      <c r="B528" s="57"/>
      <c r="C528" s="57"/>
      <c r="D528" s="57"/>
      <c r="E528" s="57"/>
      <c r="F528" s="57"/>
      <c r="G528" s="57"/>
      <c r="H528" s="57"/>
      <c r="I528" s="57"/>
      <c r="J528" s="57"/>
      <c r="K528" s="57"/>
      <c r="L528" s="57"/>
      <c r="M528" s="57"/>
      <c r="N528" s="57"/>
      <c r="O528" s="57"/>
      <c r="P528" s="57"/>
      <c r="Q528" s="57"/>
      <c r="R528" s="2104"/>
      <c r="S528" s="254"/>
    </row>
    <row r="529" spans="1:19">
      <c r="A529" s="254"/>
      <c r="B529" s="57"/>
      <c r="C529" s="57"/>
      <c r="D529" s="57"/>
      <c r="E529" s="57"/>
      <c r="F529" s="57"/>
      <c r="G529" s="57"/>
      <c r="H529" s="57"/>
      <c r="I529" s="57"/>
      <c r="J529" s="57"/>
      <c r="K529" s="57"/>
      <c r="L529" s="57"/>
      <c r="M529" s="57"/>
      <c r="N529" s="57"/>
      <c r="O529" s="57"/>
      <c r="P529" s="57"/>
      <c r="Q529" s="57"/>
      <c r="R529" s="2104"/>
      <c r="S529" s="254"/>
    </row>
    <row r="530" spans="1:19">
      <c r="A530" s="254"/>
      <c r="B530" s="57"/>
      <c r="C530" s="57"/>
      <c r="D530" s="57"/>
      <c r="E530" s="57"/>
      <c r="F530" s="57"/>
      <c r="G530" s="57"/>
      <c r="H530" s="57"/>
      <c r="I530" s="57"/>
      <c r="J530" s="57"/>
      <c r="K530" s="57"/>
      <c r="L530" s="57"/>
      <c r="M530" s="57"/>
      <c r="N530" s="57"/>
      <c r="O530" s="57"/>
      <c r="P530" s="57"/>
      <c r="Q530" s="57"/>
      <c r="R530" s="2104"/>
      <c r="S530" s="254"/>
    </row>
    <row r="531" spans="1:19">
      <c r="A531" s="254"/>
      <c r="B531" s="57"/>
      <c r="C531" s="57"/>
      <c r="D531" s="57"/>
      <c r="E531" s="57"/>
      <c r="F531" s="57"/>
      <c r="G531" s="57"/>
      <c r="H531" s="57"/>
      <c r="I531" s="57"/>
      <c r="J531" s="57"/>
      <c r="K531" s="57"/>
      <c r="L531" s="57"/>
      <c r="M531" s="57"/>
      <c r="N531" s="57"/>
      <c r="O531" s="57"/>
      <c r="P531" s="57"/>
      <c r="Q531" s="57"/>
      <c r="R531" s="2104"/>
      <c r="S531" s="254"/>
    </row>
    <row r="532" spans="1:19">
      <c r="A532" s="254"/>
      <c r="B532" s="57"/>
      <c r="C532" s="57"/>
      <c r="D532" s="57"/>
      <c r="E532" s="57"/>
      <c r="F532" s="57"/>
      <c r="G532" s="57"/>
      <c r="H532" s="57"/>
      <c r="I532" s="57"/>
      <c r="J532" s="57"/>
      <c r="K532" s="57"/>
      <c r="L532" s="57"/>
      <c r="M532" s="57"/>
      <c r="N532" s="57"/>
      <c r="O532" s="57"/>
      <c r="P532" s="57"/>
      <c r="Q532" s="57"/>
      <c r="R532" s="2104"/>
      <c r="S532" s="254"/>
    </row>
    <row r="533" spans="1:19">
      <c r="A533" s="254"/>
      <c r="B533" s="57"/>
      <c r="C533" s="57"/>
      <c r="D533" s="57"/>
      <c r="E533" s="57"/>
      <c r="F533" s="57"/>
      <c r="G533" s="57"/>
      <c r="H533" s="57"/>
      <c r="I533" s="57"/>
      <c r="J533" s="57"/>
      <c r="K533" s="57"/>
      <c r="L533" s="57"/>
      <c r="M533" s="57"/>
      <c r="N533" s="57"/>
      <c r="O533" s="57"/>
      <c r="P533" s="57"/>
      <c r="Q533" s="57"/>
      <c r="R533" s="2104"/>
      <c r="S533" s="254"/>
    </row>
    <row r="534" spans="1:19">
      <c r="A534" s="254"/>
      <c r="B534" s="57"/>
      <c r="C534" s="57"/>
      <c r="D534" s="57"/>
      <c r="E534" s="57"/>
      <c r="F534" s="57"/>
      <c r="G534" s="57"/>
      <c r="H534" s="57"/>
      <c r="I534" s="57"/>
      <c r="J534" s="57"/>
      <c r="K534" s="57"/>
      <c r="L534" s="57"/>
      <c r="M534" s="57"/>
      <c r="N534" s="57"/>
      <c r="O534" s="57"/>
      <c r="P534" s="57"/>
      <c r="Q534" s="57"/>
      <c r="R534" s="2104"/>
      <c r="S534" s="254"/>
    </row>
    <row r="535" spans="1:19">
      <c r="A535" s="254"/>
      <c r="B535" s="57"/>
      <c r="C535" s="57"/>
      <c r="D535" s="57"/>
      <c r="E535" s="57"/>
      <c r="F535" s="57"/>
      <c r="G535" s="57"/>
      <c r="H535" s="57"/>
      <c r="I535" s="57"/>
      <c r="J535" s="57"/>
      <c r="K535" s="57"/>
      <c r="L535" s="57"/>
      <c r="M535" s="57"/>
      <c r="N535" s="57"/>
      <c r="O535" s="57"/>
      <c r="P535" s="57"/>
      <c r="Q535" s="57"/>
      <c r="R535" s="2104"/>
      <c r="S535" s="254"/>
    </row>
    <row r="536" spans="1:19">
      <c r="A536" s="254"/>
      <c r="B536" s="57"/>
      <c r="C536" s="57"/>
      <c r="D536" s="57"/>
      <c r="E536" s="57"/>
      <c r="F536" s="57"/>
      <c r="G536" s="57"/>
      <c r="H536" s="57"/>
      <c r="I536" s="57"/>
      <c r="J536" s="57"/>
      <c r="K536" s="57"/>
      <c r="L536" s="57"/>
      <c r="M536" s="57"/>
      <c r="N536" s="57"/>
      <c r="O536" s="57"/>
      <c r="P536" s="57"/>
      <c r="Q536" s="57"/>
      <c r="R536" s="2104"/>
      <c r="S536" s="254"/>
    </row>
    <row r="537" spans="1:19">
      <c r="A537" s="254"/>
      <c r="B537" s="57"/>
      <c r="C537" s="57"/>
      <c r="D537" s="57"/>
      <c r="E537" s="57"/>
      <c r="F537" s="57"/>
      <c r="G537" s="57"/>
      <c r="H537" s="57"/>
      <c r="I537" s="57"/>
      <c r="J537" s="57"/>
      <c r="K537" s="57"/>
      <c r="L537" s="57"/>
      <c r="M537" s="57"/>
      <c r="N537" s="57"/>
      <c r="O537" s="57"/>
      <c r="P537" s="57"/>
      <c r="Q537" s="57"/>
      <c r="R537" s="2104"/>
      <c r="S537" s="254"/>
    </row>
    <row r="538" spans="1:19">
      <c r="A538" s="254"/>
      <c r="B538" s="57"/>
      <c r="C538" s="57"/>
      <c r="D538" s="57"/>
      <c r="E538" s="57"/>
      <c r="F538" s="57"/>
      <c r="G538" s="57"/>
      <c r="H538" s="57"/>
      <c r="I538" s="57"/>
      <c r="J538" s="57"/>
      <c r="K538" s="57"/>
      <c r="L538" s="57"/>
      <c r="M538" s="57"/>
      <c r="N538" s="57"/>
      <c r="O538" s="57"/>
      <c r="P538" s="57"/>
      <c r="Q538" s="57"/>
      <c r="R538" s="2104"/>
      <c r="S538" s="254"/>
    </row>
    <row r="539" spans="1:19">
      <c r="A539" s="254"/>
      <c r="B539" s="57"/>
      <c r="C539" s="57"/>
      <c r="D539" s="57"/>
      <c r="E539" s="57"/>
      <c r="F539" s="57"/>
      <c r="G539" s="57"/>
      <c r="H539" s="57"/>
      <c r="I539" s="57"/>
      <c r="J539" s="57"/>
      <c r="K539" s="57"/>
      <c r="L539" s="57"/>
      <c r="M539" s="57"/>
      <c r="N539" s="57"/>
      <c r="O539" s="57"/>
      <c r="P539" s="57"/>
      <c r="Q539" s="57"/>
      <c r="R539" s="2104"/>
      <c r="S539" s="254"/>
    </row>
    <row r="540" spans="1:19">
      <c r="A540" s="254"/>
      <c r="B540" s="57"/>
      <c r="C540" s="57"/>
      <c r="D540" s="57"/>
      <c r="E540" s="57"/>
      <c r="F540" s="57"/>
      <c r="G540" s="57"/>
      <c r="H540" s="57"/>
      <c r="I540" s="57"/>
      <c r="J540" s="57"/>
      <c r="K540" s="57"/>
      <c r="L540" s="57"/>
      <c r="M540" s="57"/>
      <c r="N540" s="57"/>
      <c r="O540" s="57"/>
      <c r="P540" s="57"/>
      <c r="Q540" s="57"/>
      <c r="R540" s="2104"/>
      <c r="S540" s="254"/>
    </row>
    <row r="541" spans="1:19">
      <c r="A541" s="254"/>
      <c r="B541" s="57"/>
      <c r="C541" s="57"/>
      <c r="D541" s="57"/>
      <c r="E541" s="57"/>
      <c r="F541" s="57"/>
      <c r="G541" s="57"/>
      <c r="H541" s="57"/>
      <c r="I541" s="57"/>
      <c r="J541" s="57"/>
      <c r="K541" s="57"/>
      <c r="L541" s="57"/>
      <c r="M541" s="57"/>
      <c r="N541" s="57"/>
      <c r="O541" s="57"/>
      <c r="P541" s="57"/>
      <c r="Q541" s="57"/>
      <c r="R541" s="2104"/>
      <c r="S541" s="254"/>
    </row>
    <row r="542" spans="1:19">
      <c r="A542" s="254"/>
      <c r="B542" s="57"/>
      <c r="C542" s="57"/>
      <c r="D542" s="57"/>
      <c r="E542" s="57"/>
      <c r="F542" s="57"/>
      <c r="G542" s="57"/>
      <c r="H542" s="57"/>
      <c r="I542" s="57"/>
      <c r="J542" s="57"/>
      <c r="K542" s="57"/>
      <c r="L542" s="57"/>
      <c r="M542" s="57"/>
      <c r="N542" s="57"/>
      <c r="O542" s="57"/>
      <c r="P542" s="57"/>
      <c r="Q542" s="57"/>
      <c r="R542" s="2104"/>
      <c r="S542" s="254"/>
    </row>
    <row r="543" spans="1:19">
      <c r="A543" s="254"/>
      <c r="B543" s="57"/>
      <c r="C543" s="57"/>
      <c r="D543" s="57"/>
      <c r="E543" s="57"/>
      <c r="F543" s="57"/>
      <c r="G543" s="57"/>
      <c r="H543" s="57"/>
      <c r="I543" s="57"/>
      <c r="J543" s="57"/>
      <c r="K543" s="57"/>
      <c r="L543" s="57"/>
      <c r="M543" s="57"/>
      <c r="N543" s="57"/>
      <c r="O543" s="57"/>
      <c r="P543" s="57"/>
      <c r="Q543" s="57"/>
      <c r="R543" s="2104"/>
      <c r="S543" s="254"/>
    </row>
    <row r="544" spans="1:19">
      <c r="A544" s="254"/>
      <c r="B544" s="57"/>
      <c r="C544" s="57"/>
      <c r="D544" s="57"/>
      <c r="E544" s="57"/>
      <c r="F544" s="57"/>
      <c r="G544" s="57"/>
      <c r="H544" s="57"/>
      <c r="I544" s="57"/>
      <c r="J544" s="57"/>
      <c r="K544" s="57"/>
      <c r="L544" s="57"/>
      <c r="M544" s="57"/>
      <c r="N544" s="57"/>
      <c r="O544" s="57"/>
      <c r="P544" s="57"/>
      <c r="Q544" s="57"/>
      <c r="R544" s="2104"/>
      <c r="S544" s="254"/>
    </row>
    <row r="545" spans="1:19">
      <c r="A545" s="254"/>
      <c r="B545" s="57"/>
      <c r="C545" s="57"/>
      <c r="D545" s="57"/>
      <c r="E545" s="57"/>
      <c r="F545" s="57"/>
      <c r="G545" s="57"/>
      <c r="H545" s="57"/>
      <c r="I545" s="57"/>
      <c r="J545" s="57"/>
      <c r="K545" s="57"/>
      <c r="L545" s="57"/>
      <c r="M545" s="57"/>
      <c r="N545" s="57"/>
      <c r="O545" s="57"/>
      <c r="P545" s="57"/>
      <c r="Q545" s="57"/>
      <c r="R545" s="2104"/>
      <c r="S545" s="254"/>
    </row>
    <row r="546" spans="1:19">
      <c r="A546" s="254"/>
      <c r="B546" s="57"/>
      <c r="C546" s="57"/>
      <c r="D546" s="57"/>
      <c r="E546" s="57"/>
      <c r="F546" s="57"/>
      <c r="G546" s="57"/>
      <c r="H546" s="57"/>
      <c r="I546" s="57"/>
      <c r="J546" s="57"/>
      <c r="K546" s="57"/>
      <c r="L546" s="57"/>
      <c r="M546" s="57"/>
      <c r="N546" s="57"/>
      <c r="O546" s="57"/>
      <c r="P546" s="57"/>
      <c r="Q546" s="57"/>
      <c r="R546" s="2104"/>
      <c r="S546" s="254"/>
    </row>
    <row r="547" spans="1:19">
      <c r="A547" s="254"/>
      <c r="B547" s="57"/>
      <c r="C547" s="57"/>
      <c r="D547" s="57"/>
      <c r="E547" s="57"/>
      <c r="F547" s="57"/>
      <c r="G547" s="57"/>
      <c r="H547" s="57"/>
      <c r="I547" s="57"/>
      <c r="J547" s="57"/>
      <c r="K547" s="57"/>
      <c r="L547" s="57"/>
      <c r="M547" s="57"/>
      <c r="N547" s="57"/>
      <c r="O547" s="57"/>
      <c r="P547" s="57"/>
      <c r="Q547" s="57"/>
      <c r="R547" s="2104"/>
      <c r="S547" s="254"/>
    </row>
    <row r="548" spans="1:19">
      <c r="A548" s="254"/>
      <c r="B548" s="57"/>
      <c r="C548" s="57"/>
      <c r="D548" s="57"/>
      <c r="E548" s="57"/>
      <c r="F548" s="57"/>
      <c r="G548" s="57"/>
      <c r="H548" s="57"/>
      <c r="I548" s="57"/>
      <c r="J548" s="57"/>
      <c r="K548" s="57"/>
      <c r="L548" s="57"/>
      <c r="M548" s="57"/>
      <c r="N548" s="57"/>
      <c r="O548" s="57"/>
      <c r="P548" s="57"/>
      <c r="Q548" s="57"/>
      <c r="R548" s="2104"/>
      <c r="S548" s="254"/>
    </row>
    <row r="549" spans="1:19">
      <c r="A549" s="254"/>
      <c r="B549" s="57"/>
      <c r="C549" s="57"/>
      <c r="D549" s="57"/>
      <c r="E549" s="57"/>
      <c r="F549" s="57"/>
      <c r="G549" s="57"/>
      <c r="H549" s="57"/>
      <c r="I549" s="57"/>
      <c r="J549" s="57"/>
      <c r="K549" s="57"/>
      <c r="L549" s="57"/>
      <c r="M549" s="57"/>
      <c r="N549" s="57"/>
      <c r="O549" s="57"/>
      <c r="P549" s="57"/>
      <c r="Q549" s="57"/>
      <c r="R549" s="2104"/>
      <c r="S549" s="254"/>
    </row>
    <row r="550" spans="1:19">
      <c r="A550" s="254"/>
      <c r="B550" s="57"/>
      <c r="C550" s="57"/>
      <c r="D550" s="57"/>
      <c r="E550" s="57"/>
      <c r="F550" s="57"/>
      <c r="G550" s="57"/>
      <c r="H550" s="57"/>
      <c r="I550" s="57"/>
      <c r="J550" s="57"/>
      <c r="K550" s="57"/>
      <c r="L550" s="57"/>
      <c r="M550" s="57"/>
      <c r="N550" s="57"/>
      <c r="O550" s="57"/>
      <c r="P550" s="57"/>
      <c r="Q550" s="57"/>
      <c r="R550" s="2104"/>
      <c r="S550" s="254"/>
    </row>
    <row r="551" spans="1:19">
      <c r="A551" s="254"/>
      <c r="B551" s="57"/>
      <c r="C551" s="57"/>
      <c r="D551" s="57"/>
      <c r="E551" s="57"/>
      <c r="F551" s="57"/>
      <c r="G551" s="57"/>
      <c r="H551" s="57"/>
      <c r="I551" s="57"/>
      <c r="J551" s="57"/>
      <c r="K551" s="57"/>
      <c r="L551" s="57"/>
      <c r="M551" s="57"/>
      <c r="N551" s="57"/>
      <c r="O551" s="57"/>
      <c r="P551" s="57"/>
      <c r="Q551" s="57"/>
      <c r="R551" s="2104"/>
      <c r="S551" s="254"/>
    </row>
    <row r="552" spans="1:19">
      <c r="A552" s="254"/>
      <c r="B552" s="57"/>
      <c r="C552" s="57"/>
      <c r="D552" s="57"/>
      <c r="E552" s="57"/>
      <c r="F552" s="57"/>
      <c r="G552" s="57"/>
      <c r="H552" s="57"/>
      <c r="I552" s="57"/>
      <c r="J552" s="57"/>
      <c r="K552" s="57"/>
      <c r="L552" s="57"/>
      <c r="M552" s="57"/>
      <c r="N552" s="57"/>
      <c r="O552" s="57"/>
      <c r="P552" s="57"/>
      <c r="Q552" s="57"/>
      <c r="R552" s="2104"/>
      <c r="S552" s="254"/>
    </row>
    <row r="553" spans="1:19">
      <c r="A553" s="254"/>
      <c r="B553" s="57"/>
      <c r="C553" s="57"/>
      <c r="D553" s="57"/>
      <c r="E553" s="57"/>
      <c r="F553" s="57"/>
      <c r="G553" s="57"/>
      <c r="H553" s="57"/>
      <c r="I553" s="57"/>
      <c r="J553" s="57"/>
      <c r="K553" s="57"/>
      <c r="L553" s="57"/>
      <c r="M553" s="57"/>
      <c r="N553" s="57"/>
      <c r="O553" s="57"/>
      <c r="P553" s="57"/>
      <c r="Q553" s="57"/>
      <c r="R553" s="2104"/>
      <c r="S553" s="254"/>
    </row>
    <row r="554" spans="1:19">
      <c r="A554" s="254"/>
      <c r="B554" s="57"/>
      <c r="C554" s="57"/>
      <c r="D554" s="57"/>
      <c r="E554" s="57"/>
      <c r="F554" s="57"/>
      <c r="G554" s="57"/>
      <c r="H554" s="57"/>
      <c r="I554" s="57"/>
      <c r="J554" s="57"/>
      <c r="K554" s="57"/>
      <c r="L554" s="57"/>
      <c r="M554" s="57"/>
      <c r="N554" s="57"/>
      <c r="O554" s="57"/>
      <c r="P554" s="57"/>
      <c r="Q554" s="57"/>
      <c r="R554" s="2104"/>
      <c r="S554" s="254"/>
    </row>
    <row r="555" spans="1:19">
      <c r="A555" s="254"/>
      <c r="B555" s="57"/>
      <c r="C555" s="57"/>
      <c r="D555" s="57"/>
      <c r="E555" s="57"/>
      <c r="F555" s="57"/>
      <c r="G555" s="57"/>
      <c r="H555" s="57"/>
      <c r="I555" s="57"/>
      <c r="J555" s="57"/>
      <c r="K555" s="57"/>
      <c r="L555" s="57"/>
      <c r="M555" s="57"/>
      <c r="N555" s="57"/>
      <c r="O555" s="57"/>
      <c r="P555" s="57"/>
      <c r="Q555" s="57"/>
      <c r="R555" s="2104"/>
      <c r="S555" s="254"/>
    </row>
    <row r="556" spans="1:19">
      <c r="A556" s="254"/>
      <c r="B556" s="57"/>
      <c r="C556" s="57"/>
      <c r="D556" s="57"/>
      <c r="E556" s="57"/>
      <c r="F556" s="57"/>
      <c r="G556" s="57"/>
      <c r="H556" s="57"/>
      <c r="I556" s="57"/>
      <c r="J556" s="57"/>
      <c r="K556" s="57"/>
      <c r="L556" s="57"/>
      <c r="M556" s="57"/>
      <c r="N556" s="57"/>
      <c r="O556" s="57"/>
      <c r="P556" s="57"/>
      <c r="Q556" s="57"/>
      <c r="R556" s="2104"/>
      <c r="S556" s="254"/>
    </row>
    <row r="557" spans="1:19">
      <c r="A557" s="254"/>
      <c r="B557" s="57"/>
      <c r="C557" s="57"/>
      <c r="D557" s="57"/>
      <c r="E557" s="57"/>
      <c r="F557" s="57"/>
      <c r="G557" s="57"/>
      <c r="H557" s="57"/>
      <c r="I557" s="57"/>
      <c r="J557" s="57"/>
      <c r="K557" s="57"/>
      <c r="L557" s="57"/>
      <c r="M557" s="57"/>
      <c r="N557" s="57"/>
      <c r="O557" s="57"/>
      <c r="P557" s="57"/>
      <c r="Q557" s="57"/>
      <c r="R557" s="2104"/>
      <c r="S557" s="254"/>
    </row>
    <row r="558" spans="1:19">
      <c r="A558" s="254"/>
      <c r="B558" s="57"/>
      <c r="C558" s="57"/>
      <c r="D558" s="57"/>
      <c r="E558" s="57"/>
      <c r="F558" s="57"/>
      <c r="G558" s="57"/>
      <c r="H558" s="57"/>
      <c r="I558" s="57"/>
      <c r="J558" s="57"/>
      <c r="K558" s="57"/>
      <c r="L558" s="57"/>
      <c r="M558" s="57"/>
      <c r="N558" s="57"/>
      <c r="O558" s="57"/>
      <c r="P558" s="57"/>
      <c r="Q558" s="57"/>
      <c r="R558" s="2104"/>
      <c r="S558" s="254"/>
    </row>
    <row r="559" spans="1:19">
      <c r="A559" s="254"/>
      <c r="B559" s="57"/>
      <c r="C559" s="57"/>
      <c r="D559" s="57"/>
      <c r="E559" s="57"/>
      <c r="F559" s="57"/>
      <c r="G559" s="57"/>
      <c r="H559" s="57"/>
      <c r="I559" s="57"/>
      <c r="J559" s="57"/>
      <c r="K559" s="57"/>
      <c r="L559" s="57"/>
      <c r="M559" s="57"/>
      <c r="N559" s="57"/>
      <c r="O559" s="57"/>
      <c r="P559" s="57"/>
      <c r="Q559" s="57"/>
      <c r="R559" s="2104"/>
      <c r="S559" s="254"/>
    </row>
    <row r="560" spans="1:19">
      <c r="A560" s="254"/>
      <c r="B560" s="57"/>
      <c r="C560" s="57"/>
      <c r="D560" s="57"/>
      <c r="E560" s="57"/>
      <c r="F560" s="57"/>
      <c r="G560" s="57"/>
      <c r="H560" s="57"/>
      <c r="I560" s="57"/>
      <c r="J560" s="57"/>
      <c r="K560" s="57"/>
      <c r="L560" s="57"/>
      <c r="M560" s="57"/>
      <c r="N560" s="57"/>
      <c r="O560" s="57"/>
      <c r="P560" s="57"/>
      <c r="Q560" s="57"/>
      <c r="R560" s="2104"/>
      <c r="S560" s="254"/>
    </row>
    <row r="561" spans="1:19">
      <c r="A561" s="254"/>
      <c r="B561" s="57"/>
      <c r="C561" s="57"/>
      <c r="D561" s="57"/>
      <c r="E561" s="57"/>
      <c r="F561" s="57"/>
      <c r="G561" s="57"/>
      <c r="H561" s="57"/>
      <c r="I561" s="57"/>
      <c r="J561" s="57"/>
      <c r="K561" s="57"/>
      <c r="L561" s="57"/>
      <c r="M561" s="57"/>
      <c r="N561" s="57"/>
      <c r="O561" s="57"/>
      <c r="P561" s="57"/>
      <c r="Q561" s="57"/>
      <c r="R561" s="2104"/>
      <c r="S561" s="254"/>
    </row>
    <row r="562" spans="1:19">
      <c r="A562" s="254"/>
      <c r="B562" s="57"/>
      <c r="C562" s="57"/>
      <c r="D562" s="57"/>
      <c r="E562" s="57"/>
      <c r="F562" s="57"/>
      <c r="G562" s="57"/>
      <c r="H562" s="57"/>
      <c r="I562" s="57"/>
      <c r="J562" s="57"/>
      <c r="K562" s="57"/>
      <c r="L562" s="57"/>
      <c r="M562" s="57"/>
      <c r="N562" s="57"/>
      <c r="O562" s="57"/>
      <c r="P562" s="57"/>
      <c r="Q562" s="57"/>
      <c r="R562" s="2104"/>
      <c r="S562" s="254"/>
    </row>
    <row r="563" spans="1:19">
      <c r="A563" s="254"/>
      <c r="B563" s="57"/>
      <c r="C563" s="57"/>
      <c r="D563" s="57"/>
      <c r="E563" s="57"/>
      <c r="F563" s="57"/>
      <c r="G563" s="57"/>
      <c r="H563" s="57"/>
      <c r="I563" s="57"/>
      <c r="J563" s="57"/>
      <c r="K563" s="57"/>
      <c r="L563" s="57"/>
      <c r="M563" s="57"/>
      <c r="N563" s="57"/>
      <c r="O563" s="57"/>
      <c r="P563" s="57"/>
      <c r="Q563" s="57"/>
      <c r="R563" s="2104"/>
      <c r="S563" s="254"/>
    </row>
    <row r="564" spans="1:19">
      <c r="A564" s="254"/>
      <c r="B564" s="57"/>
      <c r="C564" s="57"/>
      <c r="D564" s="57"/>
      <c r="E564" s="57"/>
      <c r="F564" s="57"/>
      <c r="G564" s="57"/>
      <c r="H564" s="57"/>
      <c r="I564" s="57"/>
      <c r="J564" s="57"/>
      <c r="K564" s="57"/>
      <c r="L564" s="57"/>
      <c r="M564" s="57"/>
      <c r="N564" s="57"/>
      <c r="O564" s="57"/>
      <c r="P564" s="57"/>
      <c r="Q564" s="57"/>
      <c r="R564" s="2104"/>
      <c r="S564" s="254"/>
    </row>
    <row r="565" spans="1:19">
      <c r="A565" s="254"/>
      <c r="B565" s="57"/>
      <c r="C565" s="57"/>
      <c r="D565" s="57"/>
      <c r="E565" s="57"/>
      <c r="F565" s="57"/>
      <c r="G565" s="57"/>
      <c r="H565" s="57"/>
      <c r="I565" s="57"/>
      <c r="J565" s="57"/>
      <c r="K565" s="57"/>
      <c r="L565" s="57"/>
      <c r="M565" s="57"/>
      <c r="N565" s="57"/>
      <c r="O565" s="57"/>
      <c r="P565" s="57"/>
      <c r="Q565" s="57"/>
      <c r="R565" s="2104"/>
      <c r="S565" s="254"/>
    </row>
    <row r="566" spans="1:19">
      <c r="A566" s="254"/>
      <c r="B566" s="57"/>
      <c r="C566" s="57"/>
      <c r="D566" s="57"/>
      <c r="E566" s="57"/>
      <c r="F566" s="57"/>
      <c r="G566" s="57"/>
      <c r="H566" s="57"/>
      <c r="I566" s="57"/>
      <c r="J566" s="57"/>
      <c r="K566" s="57"/>
      <c r="L566" s="57"/>
      <c r="M566" s="57"/>
      <c r="N566" s="57"/>
      <c r="O566" s="57"/>
      <c r="P566" s="57"/>
      <c r="Q566" s="57"/>
      <c r="R566" s="2104"/>
      <c r="S566" s="254"/>
    </row>
    <row r="567" spans="1:19">
      <c r="A567" s="254"/>
      <c r="B567" s="57"/>
      <c r="C567" s="57"/>
      <c r="D567" s="57"/>
      <c r="E567" s="57"/>
      <c r="F567" s="57"/>
      <c r="G567" s="57"/>
      <c r="H567" s="57"/>
      <c r="I567" s="57"/>
      <c r="J567" s="57"/>
      <c r="K567" s="57"/>
      <c r="L567" s="57"/>
      <c r="M567" s="57"/>
      <c r="N567" s="57"/>
      <c r="O567" s="57"/>
      <c r="P567" s="57"/>
      <c r="Q567" s="57"/>
      <c r="R567" s="2104"/>
      <c r="S567" s="254"/>
    </row>
    <row r="568" spans="1:19">
      <c r="A568" s="254"/>
      <c r="B568" s="57"/>
      <c r="C568" s="57"/>
      <c r="D568" s="57"/>
      <c r="E568" s="57"/>
      <c r="F568" s="57"/>
      <c r="G568" s="57"/>
      <c r="H568" s="57"/>
      <c r="I568" s="57"/>
      <c r="J568" s="57"/>
      <c r="K568" s="57"/>
      <c r="L568" s="57"/>
      <c r="M568" s="57"/>
      <c r="N568" s="57"/>
      <c r="O568" s="57"/>
      <c r="P568" s="57"/>
      <c r="Q568" s="57"/>
      <c r="R568" s="2104"/>
      <c r="S568" s="254"/>
    </row>
    <row r="569" spans="1:19">
      <c r="A569" s="254"/>
      <c r="B569" s="57"/>
      <c r="C569" s="57"/>
      <c r="D569" s="57"/>
      <c r="E569" s="57"/>
      <c r="F569" s="57"/>
      <c r="G569" s="57"/>
      <c r="H569" s="57"/>
      <c r="I569" s="57"/>
      <c r="J569" s="57"/>
      <c r="K569" s="57"/>
      <c r="L569" s="57"/>
      <c r="M569" s="57"/>
      <c r="N569" s="57"/>
      <c r="O569" s="57"/>
      <c r="P569" s="57"/>
      <c r="Q569" s="57"/>
      <c r="R569" s="2104"/>
      <c r="S569" s="254"/>
    </row>
    <row r="570" spans="1:19">
      <c r="A570" s="254"/>
      <c r="B570" s="57"/>
      <c r="C570" s="57"/>
      <c r="D570" s="57"/>
      <c r="E570" s="57"/>
      <c r="F570" s="57"/>
      <c r="G570" s="57"/>
      <c r="H570" s="57"/>
      <c r="I570" s="57"/>
      <c r="J570" s="57"/>
      <c r="K570" s="57"/>
      <c r="L570" s="57"/>
      <c r="M570" s="57"/>
      <c r="N570" s="57"/>
      <c r="O570" s="57"/>
      <c r="P570" s="57"/>
      <c r="Q570" s="57"/>
      <c r="R570" s="2104"/>
      <c r="S570" s="254"/>
    </row>
    <row r="571" spans="1:19">
      <c r="A571" s="254"/>
      <c r="B571" s="57"/>
      <c r="C571" s="57"/>
      <c r="D571" s="57"/>
      <c r="E571" s="57"/>
      <c r="F571" s="57"/>
      <c r="G571" s="57"/>
      <c r="H571" s="57"/>
      <c r="I571" s="57"/>
      <c r="J571" s="57"/>
      <c r="K571" s="57"/>
      <c r="L571" s="57"/>
      <c r="M571" s="57"/>
      <c r="N571" s="57"/>
      <c r="O571" s="57"/>
      <c r="P571" s="57"/>
      <c r="Q571" s="57"/>
      <c r="R571" s="2104"/>
      <c r="S571" s="254"/>
    </row>
    <row r="572" spans="1:19">
      <c r="A572" s="254"/>
      <c r="B572" s="57"/>
      <c r="C572" s="57"/>
      <c r="D572" s="57"/>
      <c r="E572" s="57"/>
      <c r="F572" s="57"/>
      <c r="G572" s="57"/>
      <c r="H572" s="57"/>
      <c r="I572" s="57"/>
      <c r="J572" s="57"/>
      <c r="K572" s="57"/>
      <c r="L572" s="57"/>
      <c r="M572" s="57"/>
      <c r="N572" s="57"/>
      <c r="O572" s="57"/>
      <c r="P572" s="57"/>
      <c r="Q572" s="57"/>
      <c r="R572" s="2104"/>
      <c r="S572" s="254"/>
    </row>
    <row r="573" spans="1:19">
      <c r="A573" s="254"/>
      <c r="B573" s="57"/>
      <c r="C573" s="57"/>
      <c r="D573" s="57"/>
      <c r="E573" s="57"/>
      <c r="F573" s="57"/>
      <c r="G573" s="57"/>
      <c r="H573" s="57"/>
      <c r="I573" s="57"/>
      <c r="J573" s="57"/>
      <c r="K573" s="57"/>
      <c r="L573" s="57"/>
      <c r="M573" s="57"/>
      <c r="N573" s="57"/>
      <c r="O573" s="57"/>
      <c r="P573" s="57"/>
      <c r="Q573" s="57"/>
      <c r="R573" s="2104"/>
      <c r="S573" s="254"/>
    </row>
    <row r="574" spans="1:19">
      <c r="A574" s="254"/>
      <c r="B574" s="57"/>
      <c r="C574" s="57"/>
      <c r="D574" s="57"/>
      <c r="E574" s="57"/>
      <c r="F574" s="57"/>
      <c r="G574" s="57"/>
      <c r="H574" s="57"/>
      <c r="I574" s="57"/>
      <c r="J574" s="57"/>
      <c r="K574" s="57"/>
      <c r="L574" s="57"/>
      <c r="M574" s="57"/>
      <c r="N574" s="57"/>
      <c r="O574" s="57"/>
      <c r="P574" s="57"/>
      <c r="Q574" s="57"/>
      <c r="R574" s="2104"/>
      <c r="S574" s="254"/>
    </row>
    <row r="575" spans="1:19">
      <c r="A575" s="254"/>
      <c r="B575" s="57"/>
      <c r="C575" s="57"/>
      <c r="D575" s="57"/>
      <c r="E575" s="57"/>
      <c r="F575" s="57"/>
      <c r="G575" s="57"/>
      <c r="H575" s="57"/>
      <c r="I575" s="57"/>
      <c r="J575" s="57"/>
      <c r="K575" s="57"/>
      <c r="L575" s="57"/>
      <c r="M575" s="57"/>
      <c r="N575" s="57"/>
      <c r="O575" s="57"/>
      <c r="P575" s="57"/>
      <c r="Q575" s="57"/>
      <c r="R575" s="2104"/>
      <c r="S575" s="254"/>
    </row>
    <row r="576" spans="1:19">
      <c r="A576" s="254"/>
      <c r="B576" s="57"/>
      <c r="C576" s="57"/>
      <c r="D576" s="57"/>
      <c r="E576" s="57"/>
      <c r="F576" s="57"/>
      <c r="G576" s="57"/>
      <c r="H576" s="57"/>
      <c r="I576" s="57"/>
      <c r="J576" s="57"/>
      <c r="K576" s="57"/>
      <c r="L576" s="57"/>
      <c r="M576" s="57"/>
      <c r="N576" s="57"/>
      <c r="O576" s="57"/>
      <c r="P576" s="57"/>
      <c r="Q576" s="57"/>
      <c r="R576" s="2104"/>
      <c r="S576" s="254"/>
    </row>
    <row r="577" spans="1:19">
      <c r="A577" s="254"/>
      <c r="B577" s="57"/>
      <c r="C577" s="57"/>
      <c r="D577" s="57"/>
      <c r="E577" s="57"/>
      <c r="F577" s="57"/>
      <c r="G577" s="57"/>
      <c r="H577" s="57"/>
      <c r="I577" s="57"/>
      <c r="J577" s="57"/>
      <c r="K577" s="57"/>
      <c r="L577" s="57"/>
      <c r="M577" s="57"/>
      <c r="N577" s="57"/>
      <c r="O577" s="57"/>
      <c r="P577" s="57"/>
      <c r="Q577" s="57"/>
      <c r="R577" s="2104"/>
      <c r="S577" s="254"/>
    </row>
    <row r="578" spans="1:19">
      <c r="A578" s="254"/>
      <c r="B578" s="57"/>
      <c r="C578" s="57"/>
      <c r="D578" s="57"/>
      <c r="E578" s="57"/>
      <c r="F578" s="57"/>
      <c r="G578" s="57"/>
      <c r="H578" s="57"/>
      <c r="I578" s="57"/>
      <c r="J578" s="57"/>
      <c r="K578" s="57"/>
      <c r="L578" s="57"/>
      <c r="M578" s="57"/>
      <c r="N578" s="57"/>
      <c r="O578" s="57"/>
      <c r="P578" s="57"/>
      <c r="Q578" s="57"/>
      <c r="R578" s="2104"/>
      <c r="S578" s="254"/>
    </row>
    <row r="579" spans="1:19">
      <c r="A579" s="254"/>
      <c r="B579" s="57"/>
      <c r="C579" s="57"/>
      <c r="D579" s="57"/>
      <c r="E579" s="57"/>
      <c r="F579" s="57"/>
      <c r="G579" s="57"/>
      <c r="H579" s="57"/>
      <c r="I579" s="57"/>
      <c r="J579" s="57"/>
      <c r="K579" s="57"/>
      <c r="L579" s="57"/>
      <c r="M579" s="57"/>
      <c r="N579" s="57"/>
      <c r="O579" s="57"/>
      <c r="P579" s="57"/>
      <c r="Q579" s="57"/>
      <c r="R579" s="2104"/>
      <c r="S579" s="254"/>
    </row>
    <row r="580" spans="1:19">
      <c r="A580" s="254"/>
      <c r="B580" s="57"/>
      <c r="C580" s="57"/>
      <c r="D580" s="57"/>
      <c r="E580" s="57"/>
      <c r="F580" s="57"/>
      <c r="G580" s="57"/>
      <c r="H580" s="57"/>
      <c r="I580" s="57"/>
      <c r="J580" s="57"/>
      <c r="K580" s="57"/>
      <c r="L580" s="57"/>
      <c r="M580" s="57"/>
      <c r="N580" s="57"/>
      <c r="O580" s="57"/>
      <c r="P580" s="57"/>
      <c r="Q580" s="57"/>
      <c r="R580" s="2104"/>
      <c r="S580" s="254"/>
    </row>
    <row r="581" spans="1:19">
      <c r="A581" s="254"/>
      <c r="B581" s="57"/>
      <c r="C581" s="57"/>
      <c r="D581" s="57"/>
      <c r="E581" s="57"/>
      <c r="F581" s="57"/>
      <c r="G581" s="57"/>
      <c r="H581" s="57"/>
      <c r="I581" s="57"/>
      <c r="J581" s="57"/>
      <c r="K581" s="57"/>
      <c r="L581" s="57"/>
      <c r="M581" s="57"/>
      <c r="N581" s="57"/>
      <c r="O581" s="57"/>
      <c r="P581" s="57"/>
      <c r="Q581" s="57"/>
      <c r="R581" s="2104"/>
      <c r="S581" s="254"/>
    </row>
    <row r="582" spans="1:19">
      <c r="A582" s="254"/>
      <c r="B582" s="57"/>
      <c r="C582" s="57"/>
      <c r="D582" s="57"/>
      <c r="E582" s="57"/>
      <c r="F582" s="57"/>
      <c r="G582" s="57"/>
      <c r="H582" s="57"/>
      <c r="I582" s="57"/>
      <c r="J582" s="57"/>
      <c r="K582" s="57"/>
      <c r="L582" s="57"/>
      <c r="M582" s="57"/>
      <c r="N582" s="57"/>
      <c r="O582" s="57"/>
      <c r="P582" s="57"/>
      <c r="Q582" s="57"/>
      <c r="R582" s="2104"/>
      <c r="S582" s="254"/>
    </row>
    <row r="583" spans="1:19">
      <c r="A583" s="254"/>
      <c r="B583" s="57"/>
      <c r="C583" s="57"/>
      <c r="D583" s="57"/>
      <c r="E583" s="57"/>
      <c r="F583" s="57"/>
      <c r="G583" s="57"/>
      <c r="H583" s="57"/>
      <c r="I583" s="57"/>
      <c r="J583" s="57"/>
      <c r="K583" s="57"/>
      <c r="L583" s="57"/>
      <c r="M583" s="57"/>
      <c r="N583" s="57"/>
      <c r="O583" s="57"/>
      <c r="P583" s="57"/>
      <c r="Q583" s="57"/>
      <c r="R583" s="2104"/>
      <c r="S583" s="254"/>
    </row>
    <row r="584" spans="1:19">
      <c r="A584" s="254"/>
      <c r="B584" s="57"/>
      <c r="C584" s="57"/>
      <c r="D584" s="57"/>
      <c r="E584" s="57"/>
      <c r="F584" s="57"/>
      <c r="G584" s="57"/>
      <c r="H584" s="57"/>
      <c r="I584" s="57"/>
      <c r="J584" s="57"/>
      <c r="K584" s="57"/>
      <c r="L584" s="57"/>
      <c r="M584" s="57"/>
      <c r="N584" s="57"/>
      <c r="O584" s="57"/>
      <c r="P584" s="57"/>
      <c r="Q584" s="57"/>
      <c r="R584" s="2104"/>
      <c r="S584" s="254"/>
    </row>
    <row r="585" spans="1:19">
      <c r="A585" s="254"/>
      <c r="B585" s="57"/>
      <c r="C585" s="57"/>
      <c r="D585" s="57"/>
      <c r="E585" s="57"/>
      <c r="F585" s="57"/>
      <c r="G585" s="57"/>
      <c r="H585" s="57"/>
      <c r="I585" s="57"/>
      <c r="J585" s="57"/>
      <c r="K585" s="57"/>
      <c r="L585" s="57"/>
      <c r="M585" s="57"/>
      <c r="N585" s="57"/>
      <c r="O585" s="57"/>
      <c r="P585" s="57"/>
      <c r="Q585" s="57"/>
      <c r="R585" s="2104"/>
      <c r="S585" s="254"/>
    </row>
    <row r="586" spans="1:19">
      <c r="A586" s="254"/>
      <c r="B586" s="57"/>
      <c r="C586" s="57"/>
      <c r="D586" s="57"/>
      <c r="E586" s="57"/>
      <c r="F586" s="57"/>
      <c r="G586" s="57"/>
      <c r="H586" s="57"/>
      <c r="I586" s="57"/>
      <c r="J586" s="57"/>
      <c r="K586" s="57"/>
      <c r="L586" s="57"/>
      <c r="M586" s="57"/>
      <c r="N586" s="57"/>
      <c r="O586" s="57"/>
      <c r="P586" s="57"/>
      <c r="Q586" s="57"/>
      <c r="R586" s="2104"/>
      <c r="S586" s="254"/>
    </row>
    <row r="587" spans="1:19">
      <c r="A587" s="254"/>
      <c r="B587" s="57"/>
      <c r="C587" s="57"/>
      <c r="D587" s="57"/>
      <c r="E587" s="57"/>
      <c r="F587" s="57"/>
      <c r="G587" s="57"/>
      <c r="H587" s="57"/>
      <c r="I587" s="57"/>
      <c r="J587" s="57"/>
      <c r="K587" s="57"/>
      <c r="L587" s="57"/>
      <c r="M587" s="57"/>
      <c r="N587" s="57"/>
      <c r="O587" s="57"/>
      <c r="P587" s="57"/>
      <c r="Q587" s="57"/>
      <c r="R587" s="2104"/>
      <c r="S587" s="254"/>
    </row>
    <row r="588" spans="1:19">
      <c r="A588" s="254"/>
      <c r="B588" s="57"/>
      <c r="C588" s="57"/>
      <c r="D588" s="57"/>
      <c r="E588" s="57"/>
      <c r="F588" s="57"/>
      <c r="G588" s="57"/>
      <c r="H588" s="57"/>
      <c r="I588" s="57"/>
      <c r="J588" s="57"/>
      <c r="K588" s="57"/>
      <c r="L588" s="57"/>
      <c r="M588" s="57"/>
      <c r="N588" s="57"/>
      <c r="O588" s="57"/>
      <c r="P588" s="57"/>
      <c r="Q588" s="57"/>
      <c r="R588" s="2104"/>
      <c r="S588" s="254"/>
    </row>
    <row r="589" spans="1:19">
      <c r="A589" s="254"/>
      <c r="B589" s="57"/>
      <c r="C589" s="57"/>
      <c r="D589" s="57"/>
      <c r="E589" s="57"/>
      <c r="F589" s="57"/>
      <c r="G589" s="57"/>
      <c r="H589" s="57"/>
      <c r="I589" s="57"/>
      <c r="J589" s="57"/>
      <c r="K589" s="57"/>
      <c r="L589" s="57"/>
      <c r="M589" s="57"/>
      <c r="N589" s="57"/>
      <c r="O589" s="57"/>
      <c r="P589" s="57"/>
      <c r="Q589" s="57"/>
      <c r="R589" s="2104"/>
      <c r="S589" s="254"/>
    </row>
    <row r="590" spans="1:19">
      <c r="A590" s="254"/>
      <c r="B590" s="57"/>
      <c r="C590" s="57"/>
      <c r="D590" s="57"/>
      <c r="E590" s="57"/>
      <c r="F590" s="57"/>
      <c r="G590" s="57"/>
      <c r="H590" s="57"/>
      <c r="I590" s="57"/>
      <c r="J590" s="57"/>
      <c r="K590" s="57"/>
      <c r="L590" s="57"/>
      <c r="M590" s="57"/>
      <c r="N590" s="57"/>
      <c r="O590" s="57"/>
      <c r="P590" s="57"/>
      <c r="Q590" s="57"/>
      <c r="R590" s="2104"/>
      <c r="S590" s="254"/>
    </row>
    <row r="591" spans="1:19">
      <c r="A591" s="254"/>
      <c r="B591" s="57"/>
      <c r="C591" s="57"/>
      <c r="D591" s="57"/>
      <c r="E591" s="57"/>
      <c r="F591" s="57"/>
      <c r="G591" s="57"/>
      <c r="H591" s="57"/>
      <c r="I591" s="57"/>
      <c r="J591" s="57"/>
      <c r="K591" s="57"/>
      <c r="L591" s="57"/>
      <c r="M591" s="57"/>
      <c r="N591" s="57"/>
      <c r="O591" s="57"/>
      <c r="P591" s="57"/>
      <c r="Q591" s="57"/>
      <c r="R591" s="2104"/>
      <c r="S591" s="254"/>
    </row>
    <row r="592" spans="1:19">
      <c r="A592" s="254"/>
      <c r="B592" s="57"/>
      <c r="C592" s="57"/>
      <c r="D592" s="57"/>
      <c r="E592" s="57"/>
      <c r="F592" s="57"/>
      <c r="G592" s="57"/>
      <c r="H592" s="57"/>
      <c r="I592" s="57"/>
      <c r="J592" s="57"/>
      <c r="K592" s="57"/>
      <c r="L592" s="57"/>
      <c r="M592" s="57"/>
      <c r="N592" s="57"/>
      <c r="O592" s="57"/>
      <c r="P592" s="57"/>
      <c r="Q592" s="57"/>
      <c r="R592" s="2104"/>
      <c r="S592" s="254"/>
    </row>
    <row r="593" spans="1:19">
      <c r="A593" s="254"/>
      <c r="B593" s="57"/>
      <c r="C593" s="57"/>
      <c r="D593" s="57"/>
      <c r="E593" s="57"/>
      <c r="F593" s="57"/>
      <c r="G593" s="57"/>
      <c r="H593" s="57"/>
      <c r="I593" s="57"/>
      <c r="J593" s="57"/>
      <c r="K593" s="57"/>
      <c r="L593" s="57"/>
      <c r="M593" s="57"/>
      <c r="N593" s="57"/>
      <c r="O593" s="57"/>
      <c r="P593" s="57"/>
      <c r="Q593" s="57"/>
      <c r="R593" s="2104"/>
      <c r="S593" s="254"/>
    </row>
    <row r="594" spans="1:19">
      <c r="A594" s="254"/>
      <c r="B594" s="57"/>
      <c r="C594" s="57"/>
      <c r="D594" s="57"/>
      <c r="E594" s="57"/>
      <c r="F594" s="57"/>
      <c r="G594" s="57"/>
      <c r="H594" s="57"/>
      <c r="I594" s="57"/>
      <c r="J594" s="57"/>
      <c r="K594" s="57"/>
      <c r="L594" s="57"/>
      <c r="M594" s="57"/>
      <c r="N594" s="57"/>
      <c r="O594" s="57"/>
      <c r="P594" s="57"/>
      <c r="Q594" s="57"/>
      <c r="R594" s="2104"/>
      <c r="S594" s="254"/>
    </row>
    <row r="595" spans="1:19">
      <c r="A595" s="254"/>
      <c r="B595" s="57"/>
      <c r="C595" s="57"/>
      <c r="D595" s="57"/>
      <c r="E595" s="57"/>
      <c r="F595" s="57"/>
      <c r="G595" s="57"/>
      <c r="H595" s="57"/>
      <c r="I595" s="57"/>
      <c r="J595" s="57"/>
      <c r="K595" s="57"/>
      <c r="L595" s="57"/>
      <c r="M595" s="57"/>
      <c r="N595" s="57"/>
      <c r="O595" s="57"/>
      <c r="P595" s="57"/>
      <c r="Q595" s="57"/>
      <c r="R595" s="2104"/>
      <c r="S595" s="254"/>
    </row>
    <row r="596" spans="1:19">
      <c r="A596" s="254"/>
      <c r="B596" s="57"/>
      <c r="C596" s="57"/>
      <c r="D596" s="57"/>
      <c r="E596" s="57"/>
      <c r="F596" s="57"/>
      <c r="G596" s="57"/>
      <c r="H596" s="57"/>
      <c r="I596" s="57"/>
      <c r="J596" s="57"/>
      <c r="K596" s="57"/>
      <c r="L596" s="57"/>
      <c r="M596" s="57"/>
      <c r="N596" s="57"/>
      <c r="O596" s="57"/>
      <c r="P596" s="57"/>
      <c r="Q596" s="57"/>
      <c r="R596" s="2104"/>
      <c r="S596" s="254"/>
    </row>
    <row r="597" spans="1:19">
      <c r="A597" s="254"/>
      <c r="B597" s="57"/>
      <c r="C597" s="57"/>
      <c r="D597" s="57"/>
      <c r="E597" s="57"/>
      <c r="F597" s="57"/>
      <c r="G597" s="57"/>
      <c r="H597" s="57"/>
      <c r="I597" s="57"/>
      <c r="J597" s="57"/>
      <c r="K597" s="57"/>
      <c r="L597" s="57"/>
      <c r="M597" s="57"/>
      <c r="N597" s="57"/>
      <c r="O597" s="57"/>
      <c r="P597" s="57"/>
      <c r="Q597" s="57"/>
      <c r="R597" s="2104"/>
      <c r="S597" s="254"/>
    </row>
    <row r="598" spans="1:19">
      <c r="A598" s="254"/>
      <c r="B598" s="57"/>
      <c r="C598" s="57"/>
      <c r="D598" s="57"/>
      <c r="E598" s="57"/>
      <c r="F598" s="57"/>
      <c r="G598" s="57"/>
      <c r="H598" s="57"/>
      <c r="I598" s="57"/>
      <c r="J598" s="57"/>
      <c r="K598" s="57"/>
      <c r="L598" s="57"/>
      <c r="M598" s="57"/>
      <c r="N598" s="57"/>
      <c r="O598" s="57"/>
      <c r="P598" s="57"/>
      <c r="Q598" s="57"/>
      <c r="R598" s="2104"/>
      <c r="S598" s="254"/>
    </row>
    <row r="599" spans="1:19">
      <c r="A599" s="254"/>
      <c r="B599" s="57"/>
      <c r="C599" s="57"/>
      <c r="D599" s="57"/>
      <c r="E599" s="57"/>
      <c r="F599" s="57"/>
      <c r="G599" s="57"/>
      <c r="H599" s="57"/>
      <c r="I599" s="57"/>
      <c r="J599" s="57"/>
      <c r="K599" s="57"/>
      <c r="L599" s="57"/>
      <c r="M599" s="57"/>
      <c r="N599" s="57"/>
      <c r="O599" s="57"/>
      <c r="P599" s="57"/>
      <c r="Q599" s="57"/>
      <c r="R599" s="2104"/>
      <c r="S599" s="254"/>
    </row>
    <row r="600" spans="1:19">
      <c r="A600" s="254"/>
      <c r="B600" s="57"/>
      <c r="C600" s="57"/>
      <c r="D600" s="57"/>
      <c r="E600" s="57"/>
      <c r="F600" s="57"/>
      <c r="G600" s="57"/>
      <c r="H600" s="57"/>
      <c r="I600" s="57"/>
      <c r="J600" s="57"/>
      <c r="K600" s="57"/>
      <c r="L600" s="57"/>
      <c r="M600" s="57"/>
      <c r="N600" s="57"/>
      <c r="O600" s="57"/>
      <c r="P600" s="57"/>
      <c r="Q600" s="57"/>
      <c r="R600" s="2104"/>
      <c r="S600" s="254"/>
    </row>
    <row r="601" spans="1:19">
      <c r="A601" s="254"/>
      <c r="B601" s="57"/>
      <c r="C601" s="57"/>
      <c r="D601" s="57"/>
      <c r="E601" s="57"/>
      <c r="F601" s="57"/>
      <c r="G601" s="57"/>
      <c r="H601" s="57"/>
      <c r="I601" s="57"/>
      <c r="J601" s="57"/>
      <c r="K601" s="57"/>
      <c r="L601" s="57"/>
      <c r="M601" s="57"/>
      <c r="N601" s="57"/>
      <c r="O601" s="57"/>
      <c r="P601" s="57"/>
      <c r="Q601" s="57"/>
      <c r="R601" s="2104"/>
      <c r="S601" s="254"/>
    </row>
    <row r="602" spans="1:19">
      <c r="A602" s="254"/>
      <c r="B602" s="57"/>
      <c r="C602" s="57"/>
      <c r="D602" s="57"/>
      <c r="E602" s="57"/>
      <c r="F602" s="57"/>
      <c r="G602" s="57"/>
      <c r="H602" s="57"/>
      <c r="I602" s="57"/>
      <c r="J602" s="57"/>
      <c r="K602" s="57"/>
      <c r="L602" s="57"/>
      <c r="M602" s="57"/>
      <c r="N602" s="57"/>
      <c r="O602" s="57"/>
      <c r="P602" s="57"/>
      <c r="Q602" s="57"/>
      <c r="R602" s="2104"/>
      <c r="S602" s="254"/>
    </row>
    <row r="603" spans="1:19">
      <c r="A603" s="254"/>
      <c r="B603" s="57"/>
      <c r="C603" s="57"/>
      <c r="D603" s="57"/>
      <c r="E603" s="57"/>
      <c r="F603" s="57"/>
      <c r="G603" s="57"/>
      <c r="H603" s="57"/>
      <c r="I603" s="57"/>
      <c r="J603" s="57"/>
      <c r="K603" s="57"/>
      <c r="L603" s="57"/>
      <c r="M603" s="57"/>
      <c r="N603" s="57"/>
      <c r="O603" s="57"/>
      <c r="P603" s="57"/>
      <c r="Q603" s="57"/>
      <c r="R603" s="2104"/>
      <c r="S603" s="254"/>
    </row>
    <row r="604" spans="1:19">
      <c r="A604" s="254"/>
      <c r="B604" s="57"/>
      <c r="C604" s="57"/>
      <c r="D604" s="57"/>
      <c r="E604" s="57"/>
      <c r="F604" s="57"/>
      <c r="G604" s="57"/>
      <c r="H604" s="57"/>
      <c r="I604" s="57"/>
      <c r="J604" s="57"/>
      <c r="K604" s="57"/>
      <c r="L604" s="57"/>
      <c r="M604" s="57"/>
      <c r="N604" s="57"/>
      <c r="O604" s="57"/>
      <c r="P604" s="57"/>
      <c r="Q604" s="57"/>
      <c r="R604" s="2104"/>
      <c r="S604" s="254"/>
    </row>
    <row r="605" spans="1:19">
      <c r="A605" s="254"/>
      <c r="B605" s="57"/>
      <c r="C605" s="57"/>
      <c r="D605" s="57"/>
      <c r="E605" s="57"/>
      <c r="F605" s="57"/>
      <c r="G605" s="57"/>
      <c r="H605" s="57"/>
      <c r="I605" s="57"/>
      <c r="J605" s="57"/>
      <c r="K605" s="57"/>
      <c r="L605" s="57"/>
      <c r="M605" s="57"/>
      <c r="N605" s="57"/>
      <c r="O605" s="57"/>
      <c r="P605" s="57"/>
      <c r="Q605" s="57"/>
      <c r="R605" s="2104"/>
      <c r="S605" s="254"/>
    </row>
    <row r="606" spans="1:19">
      <c r="A606" s="254"/>
      <c r="B606" s="57"/>
      <c r="C606" s="57"/>
      <c r="D606" s="57"/>
      <c r="E606" s="57"/>
      <c r="F606" s="57"/>
      <c r="G606" s="57"/>
      <c r="H606" s="57"/>
      <c r="I606" s="57"/>
      <c r="J606" s="57"/>
      <c r="K606" s="57"/>
      <c r="L606" s="57"/>
      <c r="M606" s="57"/>
      <c r="N606" s="57"/>
      <c r="O606" s="57"/>
      <c r="P606" s="57"/>
      <c r="Q606" s="57"/>
      <c r="R606" s="2104"/>
      <c r="S606" s="254"/>
    </row>
    <row r="607" spans="1:19">
      <c r="A607" s="254"/>
      <c r="B607" s="57"/>
      <c r="C607" s="57"/>
      <c r="D607" s="57"/>
      <c r="E607" s="57"/>
      <c r="F607" s="57"/>
      <c r="G607" s="57"/>
      <c r="H607" s="57"/>
      <c r="I607" s="57"/>
      <c r="J607" s="57"/>
      <c r="K607" s="57"/>
      <c r="L607" s="57"/>
      <c r="M607" s="57"/>
      <c r="N607" s="57"/>
      <c r="O607" s="57"/>
      <c r="P607" s="57"/>
      <c r="Q607" s="57"/>
      <c r="R607" s="2104"/>
      <c r="S607" s="254"/>
    </row>
    <row r="608" spans="1:19">
      <c r="A608" s="254"/>
      <c r="B608" s="57"/>
      <c r="C608" s="57"/>
      <c r="D608" s="57"/>
      <c r="E608" s="57"/>
      <c r="F608" s="57"/>
      <c r="G608" s="57"/>
      <c r="H608" s="57"/>
      <c r="I608" s="57"/>
      <c r="J608" s="57"/>
      <c r="K608" s="57"/>
      <c r="L608" s="57"/>
      <c r="M608" s="57"/>
      <c r="N608" s="57"/>
      <c r="O608" s="57"/>
      <c r="P608" s="57"/>
      <c r="Q608" s="57"/>
      <c r="R608" s="2104"/>
      <c r="S608" s="254"/>
    </row>
    <row r="609" spans="1:19">
      <c r="A609" s="254"/>
      <c r="B609" s="57"/>
      <c r="C609" s="57"/>
      <c r="D609" s="57"/>
      <c r="E609" s="57"/>
      <c r="F609" s="57"/>
      <c r="G609" s="57"/>
      <c r="H609" s="57"/>
      <c r="I609" s="57"/>
      <c r="J609" s="57"/>
      <c r="K609" s="57"/>
      <c r="L609" s="57"/>
      <c r="M609" s="57"/>
      <c r="N609" s="57"/>
      <c r="O609" s="57"/>
      <c r="P609" s="57"/>
      <c r="Q609" s="57"/>
      <c r="R609" s="2104"/>
      <c r="S609" s="254"/>
    </row>
    <row r="610" spans="1:19">
      <c r="A610" s="254"/>
      <c r="B610" s="57"/>
      <c r="C610" s="57"/>
      <c r="D610" s="57"/>
      <c r="E610" s="57"/>
      <c r="F610" s="57"/>
      <c r="G610" s="57"/>
      <c r="H610" s="57"/>
      <c r="I610" s="57"/>
      <c r="J610" s="57"/>
      <c r="K610" s="57"/>
      <c r="L610" s="57"/>
      <c r="M610" s="57"/>
      <c r="N610" s="57"/>
      <c r="O610" s="57"/>
      <c r="P610" s="57"/>
      <c r="Q610" s="57"/>
      <c r="R610" s="2104"/>
      <c r="S610" s="254"/>
    </row>
    <row r="611" spans="1:19">
      <c r="A611" s="254"/>
      <c r="B611" s="57"/>
      <c r="C611" s="57"/>
      <c r="D611" s="57"/>
      <c r="E611" s="57"/>
      <c r="F611" s="57"/>
      <c r="G611" s="57"/>
      <c r="H611" s="57"/>
      <c r="I611" s="57"/>
      <c r="J611" s="57"/>
      <c r="K611" s="57"/>
      <c r="L611" s="57"/>
      <c r="M611" s="57"/>
      <c r="N611" s="57"/>
      <c r="O611" s="57"/>
      <c r="P611" s="57"/>
      <c r="Q611" s="57"/>
      <c r="R611" s="2104"/>
      <c r="S611" s="254"/>
    </row>
    <row r="612" spans="1:19">
      <c r="A612" s="254"/>
      <c r="B612" s="57"/>
      <c r="C612" s="57"/>
      <c r="D612" s="57"/>
      <c r="E612" s="57"/>
      <c r="F612" s="57"/>
      <c r="G612" s="57"/>
      <c r="H612" s="57"/>
      <c r="I612" s="57"/>
      <c r="J612" s="57"/>
      <c r="K612" s="57"/>
      <c r="L612" s="57"/>
      <c r="M612" s="57"/>
      <c r="N612" s="57"/>
      <c r="O612" s="57"/>
      <c r="P612" s="57"/>
      <c r="Q612" s="57"/>
      <c r="R612" s="2104"/>
      <c r="S612" s="254"/>
    </row>
    <row r="613" spans="1:19">
      <c r="A613" s="254"/>
      <c r="B613" s="57"/>
      <c r="C613" s="57"/>
      <c r="D613" s="57"/>
      <c r="E613" s="57"/>
      <c r="F613" s="57"/>
      <c r="G613" s="57"/>
      <c r="H613" s="57"/>
      <c r="I613" s="57"/>
      <c r="J613" s="57"/>
      <c r="K613" s="57"/>
      <c r="L613" s="57"/>
      <c r="M613" s="57"/>
      <c r="N613" s="57"/>
      <c r="O613" s="57"/>
      <c r="P613" s="57"/>
      <c r="Q613" s="57"/>
      <c r="R613" s="2104"/>
      <c r="S613" s="254"/>
    </row>
    <row r="614" spans="1:19">
      <c r="A614" s="254"/>
      <c r="B614" s="57"/>
      <c r="C614" s="57"/>
      <c r="D614" s="57"/>
      <c r="E614" s="57"/>
      <c r="F614" s="57"/>
      <c r="G614" s="57"/>
      <c r="H614" s="57"/>
      <c r="I614" s="57"/>
      <c r="J614" s="57"/>
      <c r="K614" s="57"/>
      <c r="L614" s="57"/>
      <c r="M614" s="57"/>
      <c r="N614" s="57"/>
      <c r="O614" s="57"/>
      <c r="P614" s="57"/>
      <c r="Q614" s="57"/>
      <c r="R614" s="2104"/>
      <c r="S614" s="254"/>
    </row>
    <row r="615" spans="1:19">
      <c r="A615" s="254"/>
      <c r="B615" s="57"/>
      <c r="C615" s="57"/>
      <c r="D615" s="57"/>
      <c r="E615" s="57"/>
      <c r="F615" s="57"/>
      <c r="G615" s="57"/>
      <c r="H615" s="57"/>
      <c r="I615" s="57"/>
      <c r="J615" s="57"/>
      <c r="K615" s="57"/>
      <c r="L615" s="57"/>
      <c r="M615" s="57"/>
      <c r="N615" s="57"/>
      <c r="O615" s="57"/>
      <c r="P615" s="57"/>
      <c r="Q615" s="57"/>
      <c r="R615" s="2104"/>
      <c r="S615" s="254"/>
    </row>
    <row r="616" spans="1:19">
      <c r="A616" s="254"/>
      <c r="B616" s="57"/>
      <c r="C616" s="57"/>
      <c r="D616" s="57"/>
      <c r="E616" s="57"/>
      <c r="F616" s="57"/>
      <c r="G616" s="57"/>
      <c r="H616" s="57"/>
      <c r="I616" s="57"/>
      <c r="J616" s="57"/>
      <c r="K616" s="57"/>
      <c r="L616" s="57"/>
      <c r="M616" s="57"/>
      <c r="N616" s="57"/>
      <c r="O616" s="57"/>
      <c r="P616" s="57"/>
      <c r="Q616" s="57"/>
      <c r="R616" s="2104"/>
      <c r="S616" s="254"/>
    </row>
    <row r="617" spans="1:19">
      <c r="A617" s="254"/>
      <c r="B617" s="57"/>
      <c r="C617" s="57"/>
      <c r="D617" s="57"/>
      <c r="E617" s="57"/>
      <c r="F617" s="57"/>
      <c r="G617" s="57"/>
      <c r="H617" s="57"/>
      <c r="I617" s="57"/>
      <c r="J617" s="57"/>
      <c r="K617" s="57"/>
      <c r="L617" s="57"/>
      <c r="M617" s="57"/>
      <c r="N617" s="57"/>
      <c r="O617" s="57"/>
      <c r="P617" s="57"/>
      <c r="Q617" s="57"/>
      <c r="R617" s="2104"/>
      <c r="S617" s="254"/>
    </row>
    <row r="618" spans="1:19">
      <c r="A618" s="254"/>
      <c r="B618" s="57"/>
      <c r="C618" s="57"/>
      <c r="D618" s="57"/>
      <c r="E618" s="57"/>
      <c r="F618" s="57"/>
      <c r="G618" s="57"/>
      <c r="H618" s="57"/>
      <c r="I618" s="57"/>
      <c r="J618" s="57"/>
      <c r="K618" s="57"/>
      <c r="L618" s="57"/>
      <c r="M618" s="57"/>
      <c r="N618" s="57"/>
      <c r="O618" s="57"/>
      <c r="P618" s="57"/>
      <c r="Q618" s="57"/>
      <c r="R618" s="2104"/>
      <c r="S618" s="254"/>
    </row>
    <row r="619" spans="1:19">
      <c r="A619" s="254"/>
      <c r="B619" s="57"/>
      <c r="C619" s="57"/>
      <c r="D619" s="57"/>
      <c r="E619" s="57"/>
      <c r="F619" s="57"/>
      <c r="G619" s="57"/>
      <c r="H619" s="57"/>
      <c r="I619" s="57"/>
      <c r="J619" s="57"/>
      <c r="K619" s="57"/>
      <c r="L619" s="57"/>
      <c r="M619" s="57"/>
      <c r="N619" s="57"/>
      <c r="O619" s="57"/>
      <c r="P619" s="57"/>
      <c r="Q619" s="57"/>
      <c r="R619" s="2104"/>
      <c r="S619" s="254"/>
    </row>
    <row r="620" spans="1:19">
      <c r="A620" s="254"/>
      <c r="B620" s="57"/>
      <c r="C620" s="57"/>
      <c r="D620" s="57"/>
      <c r="E620" s="57"/>
      <c r="F620" s="57"/>
      <c r="G620" s="57"/>
      <c r="H620" s="57"/>
      <c r="I620" s="57"/>
      <c r="J620" s="57"/>
      <c r="K620" s="57"/>
      <c r="L620" s="57"/>
      <c r="M620" s="57"/>
      <c r="N620" s="57"/>
      <c r="O620" s="57"/>
      <c r="P620" s="57"/>
      <c r="Q620" s="57"/>
      <c r="R620" s="2104"/>
      <c r="S620" s="254"/>
    </row>
    <row r="621" spans="1:19">
      <c r="A621" s="254"/>
      <c r="B621" s="57"/>
      <c r="C621" s="57"/>
      <c r="D621" s="57"/>
      <c r="E621" s="57"/>
      <c r="F621" s="57"/>
      <c r="G621" s="57"/>
      <c r="H621" s="57"/>
      <c r="I621" s="57"/>
      <c r="J621" s="57"/>
      <c r="K621" s="57"/>
      <c r="L621" s="57"/>
      <c r="M621" s="57"/>
      <c r="N621" s="57"/>
      <c r="O621" s="57"/>
      <c r="P621" s="57"/>
      <c r="Q621" s="57"/>
      <c r="R621" s="2104"/>
      <c r="S621" s="254"/>
    </row>
    <row r="622" spans="1:19">
      <c r="A622" s="254"/>
      <c r="B622" s="57"/>
      <c r="C622" s="57"/>
      <c r="D622" s="57"/>
      <c r="E622" s="57"/>
      <c r="F622" s="57"/>
      <c r="G622" s="57"/>
      <c r="H622" s="57"/>
      <c r="I622" s="57"/>
      <c r="J622" s="57"/>
      <c r="K622" s="57"/>
      <c r="L622" s="57"/>
      <c r="M622" s="57"/>
      <c r="N622" s="57"/>
      <c r="O622" s="57"/>
      <c r="P622" s="57"/>
      <c r="Q622" s="57"/>
      <c r="R622" s="2104"/>
      <c r="S622" s="254"/>
    </row>
    <row r="623" spans="1:19">
      <c r="A623" s="254"/>
      <c r="B623" s="57"/>
      <c r="C623" s="57"/>
      <c r="D623" s="57"/>
      <c r="E623" s="57"/>
      <c r="F623" s="57"/>
      <c r="G623" s="57"/>
      <c r="H623" s="57"/>
      <c r="I623" s="57"/>
      <c r="J623" s="57"/>
      <c r="K623" s="57"/>
      <c r="L623" s="57"/>
      <c r="M623" s="57"/>
      <c r="N623" s="57"/>
      <c r="O623" s="57"/>
      <c r="P623" s="57"/>
      <c r="Q623" s="57"/>
      <c r="R623" s="2104"/>
      <c r="S623" s="254"/>
    </row>
    <row r="624" spans="1:19">
      <c r="A624" s="254"/>
      <c r="B624" s="57"/>
      <c r="C624" s="57"/>
      <c r="D624" s="57"/>
      <c r="E624" s="57"/>
      <c r="F624" s="57"/>
      <c r="G624" s="57"/>
      <c r="H624" s="57"/>
      <c r="I624" s="57"/>
      <c r="J624" s="57"/>
      <c r="K624" s="57"/>
      <c r="L624" s="57"/>
      <c r="M624" s="57"/>
      <c r="N624" s="57"/>
      <c r="O624" s="57"/>
      <c r="P624" s="57"/>
      <c r="Q624" s="57"/>
      <c r="R624" s="2104"/>
      <c r="S624" s="254"/>
    </row>
    <row r="625" spans="1:19">
      <c r="A625" s="254"/>
      <c r="B625" s="57"/>
      <c r="C625" s="57"/>
      <c r="D625" s="57"/>
      <c r="E625" s="57"/>
      <c r="F625" s="57"/>
      <c r="G625" s="57"/>
      <c r="H625" s="57"/>
      <c r="I625" s="57"/>
      <c r="J625" s="57"/>
      <c r="K625" s="57"/>
      <c r="L625" s="57"/>
      <c r="M625" s="57"/>
      <c r="N625" s="57"/>
      <c r="O625" s="57"/>
      <c r="P625" s="57"/>
      <c r="Q625" s="57"/>
      <c r="R625" s="2104"/>
      <c r="S625" s="254"/>
    </row>
    <row r="626" spans="1:19">
      <c r="A626" s="254"/>
      <c r="B626" s="57"/>
      <c r="C626" s="57"/>
      <c r="D626" s="57"/>
      <c r="E626" s="57"/>
      <c r="F626" s="57"/>
      <c r="G626" s="57"/>
      <c r="H626" s="57"/>
      <c r="I626" s="57"/>
      <c r="J626" s="57"/>
      <c r="K626" s="57"/>
      <c r="L626" s="57"/>
      <c r="M626" s="57"/>
      <c r="N626" s="57"/>
      <c r="O626" s="57"/>
      <c r="P626" s="57"/>
      <c r="Q626" s="57"/>
      <c r="R626" s="2104"/>
      <c r="S626" s="254"/>
    </row>
    <row r="627" spans="1:19">
      <c r="A627" s="254"/>
      <c r="B627" s="57"/>
      <c r="C627" s="57"/>
      <c r="D627" s="57"/>
      <c r="E627" s="57"/>
      <c r="F627" s="57"/>
      <c r="G627" s="57"/>
      <c r="H627" s="57"/>
      <c r="I627" s="57"/>
      <c r="J627" s="57"/>
      <c r="K627" s="57"/>
      <c r="L627" s="57"/>
      <c r="M627" s="57"/>
      <c r="N627" s="57"/>
      <c r="O627" s="57"/>
      <c r="P627" s="57"/>
      <c r="Q627" s="57"/>
      <c r="R627" s="2104"/>
      <c r="S627" s="254"/>
    </row>
    <row r="628" spans="1:19">
      <c r="A628" s="254"/>
      <c r="B628" s="57"/>
      <c r="C628" s="57"/>
      <c r="D628" s="57"/>
      <c r="E628" s="57"/>
      <c r="F628" s="57"/>
      <c r="G628" s="57"/>
      <c r="H628" s="57"/>
      <c r="I628" s="57"/>
      <c r="J628" s="57"/>
      <c r="K628" s="57"/>
      <c r="L628" s="57"/>
      <c r="M628" s="57"/>
      <c r="N628" s="57"/>
      <c r="O628" s="57"/>
      <c r="P628" s="57"/>
      <c r="Q628" s="57"/>
      <c r="R628" s="2104"/>
      <c r="S628" s="254"/>
    </row>
    <row r="629" spans="1:19">
      <c r="A629" s="254"/>
      <c r="B629" s="57"/>
      <c r="C629" s="57"/>
      <c r="D629" s="57"/>
      <c r="E629" s="57"/>
      <c r="F629" s="57"/>
      <c r="G629" s="57"/>
      <c r="H629" s="57"/>
      <c r="I629" s="57"/>
      <c r="J629" s="57"/>
      <c r="K629" s="57"/>
      <c r="L629" s="57"/>
      <c r="M629" s="57"/>
      <c r="N629" s="57"/>
      <c r="O629" s="57"/>
      <c r="P629" s="57"/>
      <c r="Q629" s="57"/>
      <c r="R629" s="2104"/>
      <c r="S629" s="254"/>
    </row>
    <row r="630" spans="1:19">
      <c r="A630" s="254"/>
      <c r="B630" s="57"/>
      <c r="C630" s="57"/>
      <c r="D630" s="57"/>
      <c r="E630" s="57"/>
      <c r="F630" s="57"/>
      <c r="G630" s="57"/>
      <c r="H630" s="57"/>
      <c r="I630" s="57"/>
      <c r="J630" s="57"/>
      <c r="K630" s="57"/>
      <c r="L630" s="57"/>
      <c r="M630" s="57"/>
      <c r="N630" s="57"/>
      <c r="O630" s="57"/>
      <c r="P630" s="57"/>
      <c r="Q630" s="57"/>
      <c r="R630" s="2104"/>
      <c r="S630" s="254"/>
    </row>
    <row r="631" spans="1:19">
      <c r="A631" s="254"/>
      <c r="B631" s="57"/>
      <c r="C631" s="57"/>
      <c r="D631" s="57"/>
      <c r="E631" s="57"/>
      <c r="F631" s="57"/>
      <c r="G631" s="57"/>
      <c r="H631" s="57"/>
      <c r="I631" s="57"/>
      <c r="J631" s="57"/>
      <c r="K631" s="57"/>
      <c r="L631" s="57"/>
      <c r="M631" s="57"/>
      <c r="N631" s="57"/>
      <c r="O631" s="57"/>
      <c r="P631" s="57"/>
      <c r="Q631" s="57"/>
      <c r="R631" s="2104"/>
      <c r="S631" s="254"/>
    </row>
    <row r="632" spans="1:19">
      <c r="A632" s="254"/>
      <c r="B632" s="57"/>
      <c r="C632" s="57"/>
      <c r="D632" s="57"/>
      <c r="E632" s="57"/>
      <c r="F632" s="57"/>
      <c r="G632" s="57"/>
      <c r="H632" s="57"/>
      <c r="I632" s="57"/>
      <c r="J632" s="57"/>
      <c r="K632" s="57"/>
      <c r="L632" s="57"/>
      <c r="M632" s="57"/>
      <c r="N632" s="57"/>
      <c r="O632" s="57"/>
      <c r="P632" s="57"/>
      <c r="Q632" s="57"/>
      <c r="R632" s="2104"/>
      <c r="S632" s="254"/>
    </row>
    <row r="633" spans="1:19">
      <c r="A633" s="254"/>
      <c r="B633" s="57"/>
      <c r="C633" s="57"/>
      <c r="D633" s="57"/>
      <c r="E633" s="57"/>
      <c r="F633" s="57"/>
      <c r="G633" s="57"/>
      <c r="H633" s="57"/>
      <c r="I633" s="57"/>
      <c r="J633" s="57"/>
      <c r="K633" s="57"/>
      <c r="L633" s="57"/>
      <c r="M633" s="57"/>
      <c r="N633" s="57"/>
      <c r="O633" s="57"/>
      <c r="P633" s="57"/>
      <c r="Q633" s="57"/>
      <c r="R633" s="2104"/>
      <c r="S633" s="254"/>
    </row>
    <row r="634" spans="1:19">
      <c r="A634" s="254"/>
      <c r="B634" s="57"/>
      <c r="C634" s="57"/>
      <c r="D634" s="57"/>
      <c r="E634" s="57"/>
      <c r="F634" s="57"/>
      <c r="G634" s="57"/>
      <c r="H634" s="57"/>
      <c r="I634" s="57"/>
      <c r="J634" s="57"/>
      <c r="K634" s="57"/>
      <c r="L634" s="57"/>
      <c r="M634" s="57"/>
      <c r="N634" s="57"/>
      <c r="O634" s="57"/>
      <c r="P634" s="57"/>
      <c r="Q634" s="57"/>
      <c r="R634" s="2104"/>
      <c r="S634" s="254"/>
    </row>
    <row r="635" spans="1:19">
      <c r="A635" s="254"/>
      <c r="B635" s="57"/>
      <c r="C635" s="57"/>
      <c r="D635" s="57"/>
      <c r="E635" s="57"/>
      <c r="F635" s="57"/>
      <c r="G635" s="57"/>
      <c r="H635" s="57"/>
      <c r="I635" s="57"/>
      <c r="J635" s="57"/>
      <c r="K635" s="57"/>
      <c r="L635" s="57"/>
      <c r="M635" s="57"/>
      <c r="N635" s="57"/>
      <c r="O635" s="57"/>
      <c r="P635" s="57"/>
      <c r="Q635" s="57"/>
      <c r="R635" s="2104"/>
      <c r="S635" s="254"/>
    </row>
    <row r="636" spans="1:19">
      <c r="A636" s="254"/>
      <c r="B636" s="57"/>
      <c r="C636" s="57"/>
      <c r="D636" s="57"/>
      <c r="E636" s="57"/>
      <c r="F636" s="57"/>
      <c r="G636" s="57"/>
      <c r="H636" s="57"/>
      <c r="I636" s="57"/>
      <c r="J636" s="57"/>
      <c r="K636" s="57"/>
      <c r="L636" s="57"/>
      <c r="M636" s="57"/>
      <c r="N636" s="57"/>
      <c r="O636" s="57"/>
      <c r="P636" s="57"/>
      <c r="Q636" s="57"/>
      <c r="R636" s="2104"/>
      <c r="S636" s="254"/>
    </row>
    <row r="637" spans="1:19">
      <c r="A637" s="254"/>
      <c r="B637" s="57"/>
      <c r="C637" s="57"/>
      <c r="D637" s="57"/>
      <c r="E637" s="57"/>
      <c r="F637" s="57"/>
      <c r="G637" s="57"/>
      <c r="H637" s="57"/>
      <c r="I637" s="57"/>
      <c r="J637" s="57"/>
      <c r="K637" s="57"/>
      <c r="L637" s="57"/>
      <c r="M637" s="57"/>
      <c r="N637" s="57"/>
      <c r="O637" s="57"/>
      <c r="P637" s="57"/>
      <c r="Q637" s="57"/>
      <c r="R637" s="2104"/>
      <c r="S637" s="254"/>
    </row>
    <row r="638" spans="1:19">
      <c r="A638" s="254"/>
      <c r="B638" s="57"/>
      <c r="C638" s="57"/>
      <c r="D638" s="57"/>
      <c r="E638" s="57"/>
      <c r="F638" s="57"/>
      <c r="G638" s="57"/>
      <c r="H638" s="57"/>
      <c r="I638" s="57"/>
      <c r="J638" s="57"/>
      <c r="K638" s="57"/>
      <c r="L638" s="57"/>
      <c r="M638" s="57"/>
      <c r="N638" s="57"/>
      <c r="O638" s="57"/>
      <c r="P638" s="57"/>
      <c r="Q638" s="57"/>
      <c r="R638" s="2104"/>
      <c r="S638" s="254"/>
    </row>
    <row r="639" spans="1:19">
      <c r="A639" s="254"/>
      <c r="B639" s="57"/>
      <c r="C639" s="57"/>
      <c r="D639" s="57"/>
      <c r="E639" s="57"/>
      <c r="F639" s="57"/>
      <c r="G639" s="57"/>
      <c r="H639" s="57"/>
      <c r="I639" s="57"/>
      <c r="J639" s="57"/>
      <c r="K639" s="57"/>
      <c r="L639" s="57"/>
      <c r="M639" s="57"/>
      <c r="N639" s="57"/>
      <c r="O639" s="57"/>
      <c r="P639" s="57"/>
      <c r="Q639" s="57"/>
      <c r="R639" s="2104"/>
      <c r="S639" s="254"/>
    </row>
    <row r="640" spans="1:19">
      <c r="A640" s="254"/>
      <c r="B640" s="57"/>
      <c r="C640" s="57"/>
      <c r="D640" s="57"/>
      <c r="E640" s="57"/>
      <c r="F640" s="57"/>
      <c r="G640" s="57"/>
      <c r="H640" s="57"/>
      <c r="I640" s="57"/>
      <c r="J640" s="57"/>
      <c r="K640" s="57"/>
      <c r="L640" s="57"/>
      <c r="M640" s="57"/>
      <c r="N640" s="57"/>
      <c r="O640" s="57"/>
      <c r="P640" s="57"/>
      <c r="Q640" s="57"/>
      <c r="R640" s="2104"/>
      <c r="S640" s="254"/>
    </row>
    <row r="641" spans="1:19">
      <c r="A641" s="254"/>
      <c r="B641" s="57"/>
      <c r="C641" s="57"/>
      <c r="D641" s="57"/>
      <c r="E641" s="57"/>
      <c r="F641" s="57"/>
      <c r="G641" s="57"/>
      <c r="H641" s="57"/>
      <c r="I641" s="57"/>
      <c r="J641" s="57"/>
      <c r="K641" s="57"/>
      <c r="L641" s="57"/>
      <c r="M641" s="57"/>
      <c r="N641" s="57"/>
      <c r="O641" s="57"/>
      <c r="P641" s="57"/>
      <c r="Q641" s="57"/>
      <c r="R641" s="2104"/>
      <c r="S641" s="254"/>
    </row>
    <row r="642" spans="1:19">
      <c r="A642" s="254"/>
      <c r="B642" s="57"/>
      <c r="C642" s="57"/>
      <c r="D642" s="57"/>
      <c r="E642" s="57"/>
      <c r="F642" s="57"/>
      <c r="G642" s="57"/>
      <c r="H642" s="57"/>
      <c r="I642" s="57"/>
      <c r="J642" s="57"/>
      <c r="K642" s="57"/>
      <c r="L642" s="57"/>
      <c r="M642" s="57"/>
      <c r="N642" s="57"/>
      <c r="O642" s="57"/>
      <c r="P642" s="57"/>
      <c r="Q642" s="57"/>
      <c r="R642" s="2104"/>
      <c r="S642" s="254"/>
    </row>
    <row r="643" spans="1:19">
      <c r="A643" s="254"/>
      <c r="B643" s="57"/>
      <c r="C643" s="57"/>
      <c r="D643" s="57"/>
      <c r="E643" s="57"/>
      <c r="F643" s="57"/>
      <c r="G643" s="57"/>
      <c r="H643" s="57"/>
      <c r="I643" s="57"/>
      <c r="J643" s="57"/>
      <c r="K643" s="57"/>
      <c r="L643" s="57"/>
      <c r="M643" s="57"/>
      <c r="N643" s="57"/>
      <c r="O643" s="57"/>
      <c r="P643" s="57"/>
      <c r="Q643" s="57"/>
      <c r="R643" s="2104"/>
      <c r="S643" s="254"/>
    </row>
    <row r="644" spans="1:19">
      <c r="A644" s="254"/>
      <c r="B644" s="57"/>
      <c r="C644" s="57"/>
      <c r="D644" s="57"/>
      <c r="E644" s="57"/>
      <c r="F644" s="57"/>
      <c r="G644" s="57"/>
      <c r="H644" s="57"/>
      <c r="I644" s="57"/>
      <c r="J644" s="57"/>
      <c r="K644" s="57"/>
      <c r="L644" s="57"/>
      <c r="M644" s="57"/>
      <c r="N644" s="57"/>
      <c r="O644" s="57"/>
      <c r="P644" s="57"/>
      <c r="Q644" s="57"/>
      <c r="R644" s="2104"/>
      <c r="S644" s="254"/>
    </row>
    <row r="645" spans="1:19">
      <c r="A645" s="254"/>
      <c r="B645" s="57"/>
      <c r="C645" s="57"/>
      <c r="D645" s="57"/>
      <c r="E645" s="57"/>
      <c r="F645" s="57"/>
      <c r="G645" s="57"/>
      <c r="H645" s="57"/>
      <c r="I645" s="57"/>
      <c r="J645" s="57"/>
      <c r="K645" s="57"/>
      <c r="L645" s="57"/>
      <c r="M645" s="57"/>
      <c r="N645" s="57"/>
      <c r="O645" s="57"/>
      <c r="P645" s="57"/>
      <c r="Q645" s="57"/>
      <c r="R645" s="2104"/>
      <c r="S645" s="254"/>
    </row>
    <row r="646" spans="1:19">
      <c r="A646" s="254"/>
      <c r="B646" s="57"/>
      <c r="C646" s="57"/>
      <c r="D646" s="57"/>
      <c r="E646" s="57"/>
      <c r="F646" s="57"/>
      <c r="G646" s="57"/>
      <c r="H646" s="57"/>
      <c r="I646" s="57"/>
      <c r="J646" s="57"/>
      <c r="K646" s="57"/>
      <c r="L646" s="57"/>
      <c r="M646" s="57"/>
      <c r="N646" s="57"/>
      <c r="O646" s="57"/>
      <c r="P646" s="57"/>
      <c r="Q646" s="57"/>
      <c r="R646" s="2104"/>
      <c r="S646" s="254"/>
    </row>
    <row r="647" spans="1:19">
      <c r="A647" s="254"/>
      <c r="B647" s="57"/>
      <c r="C647" s="57"/>
      <c r="D647" s="57"/>
      <c r="E647" s="57"/>
      <c r="F647" s="57"/>
      <c r="G647" s="57"/>
      <c r="H647" s="57"/>
      <c r="I647" s="57"/>
      <c r="J647" s="57"/>
      <c r="K647" s="57"/>
      <c r="L647" s="57"/>
      <c r="M647" s="57"/>
      <c r="N647" s="57"/>
      <c r="O647" s="57"/>
      <c r="P647" s="57"/>
      <c r="Q647" s="57"/>
      <c r="R647" s="2104"/>
      <c r="S647" s="254"/>
    </row>
    <row r="648" spans="1:19">
      <c r="A648" s="254"/>
      <c r="B648" s="57"/>
      <c r="C648" s="57"/>
      <c r="D648" s="57"/>
      <c r="E648" s="57"/>
      <c r="F648" s="57"/>
      <c r="G648" s="57"/>
      <c r="H648" s="57"/>
      <c r="I648" s="57"/>
      <c r="J648" s="57"/>
      <c r="K648" s="57"/>
      <c r="L648" s="57"/>
      <c r="M648" s="57"/>
      <c r="N648" s="57"/>
      <c r="O648" s="57"/>
      <c r="P648" s="57"/>
      <c r="Q648" s="57"/>
      <c r="R648" s="2104"/>
      <c r="S648" s="254"/>
    </row>
    <row r="649" spans="1:19">
      <c r="A649" s="254"/>
      <c r="B649" s="57"/>
      <c r="C649" s="57"/>
      <c r="D649" s="57"/>
      <c r="E649" s="57"/>
      <c r="F649" s="57"/>
      <c r="G649" s="57"/>
      <c r="H649" s="57"/>
      <c r="I649" s="57"/>
      <c r="J649" s="57"/>
      <c r="K649" s="57"/>
      <c r="L649" s="57"/>
      <c r="M649" s="57"/>
      <c r="N649" s="57"/>
      <c r="O649" s="57"/>
      <c r="P649" s="57"/>
      <c r="Q649" s="57"/>
      <c r="R649" s="2104"/>
      <c r="S649" s="254"/>
    </row>
    <row r="650" spans="1:19">
      <c r="A650" s="254"/>
      <c r="B650" s="57"/>
      <c r="C650" s="57"/>
      <c r="D650" s="57"/>
      <c r="E650" s="57"/>
      <c r="F650" s="57"/>
      <c r="G650" s="57"/>
      <c r="H650" s="57"/>
      <c r="I650" s="57"/>
      <c r="J650" s="57"/>
      <c r="K650" s="57"/>
      <c r="L650" s="57"/>
      <c r="M650" s="57"/>
      <c r="N650" s="57"/>
      <c r="O650" s="57"/>
      <c r="P650" s="57"/>
      <c r="Q650" s="57"/>
      <c r="R650" s="2104"/>
      <c r="S650" s="254"/>
    </row>
    <row r="651" spans="1:19">
      <c r="A651" s="254"/>
      <c r="B651" s="57"/>
      <c r="C651" s="57"/>
      <c r="D651" s="57"/>
      <c r="E651" s="57"/>
      <c r="F651" s="57"/>
      <c r="G651" s="57"/>
      <c r="H651" s="57"/>
      <c r="I651" s="57"/>
      <c r="J651" s="57"/>
      <c r="K651" s="57"/>
      <c r="L651" s="57"/>
      <c r="M651" s="57"/>
      <c r="N651" s="57"/>
      <c r="O651" s="57"/>
      <c r="P651" s="57"/>
      <c r="Q651" s="57"/>
      <c r="R651" s="2104"/>
      <c r="S651" s="254"/>
    </row>
    <row r="652" spans="1:19">
      <c r="A652" s="254"/>
      <c r="B652" s="57"/>
      <c r="C652" s="57"/>
      <c r="D652" s="57"/>
      <c r="E652" s="57"/>
      <c r="F652" s="57"/>
      <c r="G652" s="57"/>
      <c r="H652" s="57"/>
      <c r="I652" s="57"/>
      <c r="J652" s="57"/>
      <c r="K652" s="57"/>
      <c r="L652" s="57"/>
      <c r="M652" s="57"/>
      <c r="N652" s="57"/>
      <c r="O652" s="57"/>
      <c r="P652" s="57"/>
      <c r="Q652" s="57"/>
      <c r="R652" s="2104"/>
      <c r="S652" s="254"/>
    </row>
    <row r="653" spans="1:19">
      <c r="A653" s="254"/>
      <c r="B653" s="57"/>
      <c r="C653" s="57"/>
      <c r="D653" s="57"/>
      <c r="E653" s="57"/>
      <c r="F653" s="57"/>
      <c r="G653" s="57"/>
      <c r="H653" s="57"/>
      <c r="I653" s="57"/>
      <c r="J653" s="57"/>
      <c r="K653" s="57"/>
      <c r="L653" s="57"/>
      <c r="M653" s="57"/>
      <c r="N653" s="57"/>
      <c r="O653" s="57"/>
      <c r="P653" s="57"/>
      <c r="Q653" s="57"/>
      <c r="R653" s="2104"/>
      <c r="S653" s="254"/>
    </row>
    <row r="654" spans="1:19">
      <c r="A654" s="254"/>
      <c r="B654" s="57"/>
      <c r="C654" s="57"/>
      <c r="D654" s="57"/>
      <c r="E654" s="57"/>
      <c r="F654" s="57"/>
      <c r="G654" s="57"/>
      <c r="H654" s="57"/>
      <c r="I654" s="57"/>
      <c r="J654" s="57"/>
      <c r="K654" s="57"/>
      <c r="L654" s="57"/>
      <c r="M654" s="57"/>
      <c r="N654" s="57"/>
      <c r="O654" s="57"/>
      <c r="P654" s="57"/>
      <c r="Q654" s="57"/>
      <c r="R654" s="2104"/>
      <c r="S654" s="254"/>
    </row>
    <row r="655" spans="1:19">
      <c r="A655" s="254"/>
      <c r="B655" s="57"/>
      <c r="C655" s="57"/>
      <c r="D655" s="57"/>
      <c r="E655" s="57"/>
      <c r="F655" s="57"/>
      <c r="G655" s="57"/>
      <c r="H655" s="57"/>
      <c r="I655" s="57"/>
      <c r="J655" s="57"/>
      <c r="K655" s="57"/>
      <c r="L655" s="57"/>
      <c r="M655" s="57"/>
      <c r="N655" s="57"/>
      <c r="O655" s="57"/>
      <c r="P655" s="57"/>
      <c r="Q655" s="57"/>
      <c r="R655" s="2104"/>
      <c r="S655" s="254"/>
    </row>
    <row r="656" spans="1:19">
      <c r="A656" s="254"/>
      <c r="B656" s="57"/>
      <c r="C656" s="57"/>
      <c r="D656" s="57"/>
      <c r="E656" s="57"/>
      <c r="F656" s="57"/>
      <c r="G656" s="57"/>
      <c r="H656" s="57"/>
      <c r="I656" s="57"/>
      <c r="J656" s="57"/>
      <c r="K656" s="57"/>
      <c r="L656" s="57"/>
      <c r="M656" s="57"/>
      <c r="N656" s="57"/>
      <c r="O656" s="57"/>
      <c r="P656" s="57"/>
      <c r="Q656" s="57"/>
      <c r="R656" s="2104"/>
      <c r="S656" s="254"/>
    </row>
    <row r="657" spans="1:19">
      <c r="A657" s="254"/>
      <c r="B657" s="57"/>
      <c r="C657" s="57"/>
      <c r="D657" s="57"/>
      <c r="E657" s="57"/>
      <c r="F657" s="57"/>
      <c r="G657" s="57"/>
      <c r="H657" s="57"/>
      <c r="I657" s="57"/>
      <c r="J657" s="57"/>
      <c r="K657" s="57"/>
      <c r="L657" s="57"/>
      <c r="M657" s="57"/>
      <c r="N657" s="57"/>
      <c r="O657" s="57"/>
      <c r="P657" s="57"/>
      <c r="Q657" s="57"/>
      <c r="R657" s="2104"/>
      <c r="S657" s="254"/>
    </row>
    <row r="658" spans="1:19">
      <c r="A658" s="254"/>
      <c r="B658" s="57"/>
      <c r="C658" s="57"/>
      <c r="D658" s="57"/>
      <c r="E658" s="57"/>
      <c r="F658" s="57"/>
      <c r="G658" s="57"/>
      <c r="H658" s="57"/>
      <c r="I658" s="57"/>
      <c r="J658" s="57"/>
      <c r="K658" s="57"/>
      <c r="L658" s="57"/>
      <c r="M658" s="57"/>
      <c r="N658" s="57"/>
      <c r="O658" s="57"/>
      <c r="P658" s="57"/>
      <c r="Q658" s="57"/>
      <c r="R658" s="2104"/>
      <c r="S658" s="254"/>
    </row>
    <row r="659" spans="1:19">
      <c r="A659" s="254"/>
      <c r="B659" s="57"/>
      <c r="C659" s="57"/>
      <c r="D659" s="57"/>
      <c r="E659" s="57"/>
      <c r="F659" s="57"/>
      <c r="G659" s="57"/>
      <c r="H659" s="57"/>
      <c r="I659" s="57"/>
      <c r="J659" s="57"/>
      <c r="K659" s="57"/>
      <c r="L659" s="57"/>
      <c r="M659" s="57"/>
      <c r="N659" s="57"/>
      <c r="O659" s="57"/>
      <c r="P659" s="57"/>
      <c r="Q659" s="57"/>
      <c r="R659" s="2104"/>
      <c r="S659" s="254"/>
    </row>
    <row r="660" spans="1:19">
      <c r="A660" s="254"/>
      <c r="B660" s="57"/>
      <c r="C660" s="57"/>
      <c r="D660" s="57"/>
      <c r="E660" s="57"/>
      <c r="F660" s="57"/>
      <c r="G660" s="57"/>
      <c r="H660" s="57"/>
      <c r="I660" s="57"/>
      <c r="J660" s="57"/>
      <c r="K660" s="57"/>
      <c r="L660" s="57"/>
      <c r="M660" s="57"/>
      <c r="N660" s="57"/>
      <c r="O660" s="57"/>
      <c r="P660" s="57"/>
      <c r="Q660" s="57"/>
      <c r="R660" s="2104"/>
      <c r="S660" s="254"/>
    </row>
    <row r="661" spans="1:19">
      <c r="A661" s="254"/>
      <c r="B661" s="57"/>
      <c r="C661" s="57"/>
      <c r="D661" s="57"/>
      <c r="E661" s="57"/>
      <c r="F661" s="57"/>
      <c r="G661" s="57"/>
      <c r="H661" s="57"/>
      <c r="I661" s="57"/>
      <c r="J661" s="57"/>
      <c r="K661" s="57"/>
      <c r="L661" s="57"/>
      <c r="M661" s="57"/>
      <c r="N661" s="57"/>
      <c r="O661" s="57"/>
      <c r="P661" s="57"/>
      <c r="Q661" s="57"/>
      <c r="R661" s="2104"/>
      <c r="S661" s="254"/>
    </row>
    <row r="662" spans="1:19">
      <c r="A662" s="254"/>
      <c r="B662" s="57"/>
      <c r="C662" s="57"/>
      <c r="D662" s="57"/>
      <c r="E662" s="57"/>
      <c r="F662" s="57"/>
      <c r="G662" s="57"/>
      <c r="H662" s="57"/>
      <c r="I662" s="57"/>
      <c r="J662" s="57"/>
      <c r="K662" s="57"/>
      <c r="L662" s="57"/>
      <c r="M662" s="57"/>
      <c r="N662" s="57"/>
      <c r="O662" s="57"/>
      <c r="P662" s="57"/>
      <c r="Q662" s="57"/>
      <c r="R662" s="2104"/>
      <c r="S662" s="254"/>
    </row>
    <row r="663" spans="1:19">
      <c r="A663" s="254"/>
      <c r="B663" s="57"/>
      <c r="C663" s="57"/>
      <c r="D663" s="57"/>
      <c r="E663" s="57"/>
      <c r="F663" s="57"/>
      <c r="G663" s="57"/>
      <c r="H663" s="57"/>
      <c r="I663" s="57"/>
      <c r="J663" s="57"/>
      <c r="K663" s="57"/>
      <c r="L663" s="57"/>
      <c r="M663" s="57"/>
      <c r="N663" s="57"/>
      <c r="O663" s="57"/>
      <c r="P663" s="57"/>
      <c r="Q663" s="57"/>
      <c r="R663" s="2104"/>
      <c r="S663" s="254"/>
    </row>
    <row r="664" spans="1:19">
      <c r="A664" s="254"/>
      <c r="B664" s="57"/>
      <c r="C664" s="57"/>
      <c r="D664" s="57"/>
      <c r="E664" s="57"/>
      <c r="F664" s="57"/>
      <c r="G664" s="57"/>
      <c r="H664" s="57"/>
      <c r="I664" s="57"/>
      <c r="J664" s="57"/>
      <c r="K664" s="57"/>
      <c r="L664" s="57"/>
      <c r="M664" s="57"/>
      <c r="N664" s="57"/>
      <c r="O664" s="57"/>
      <c r="P664" s="57"/>
      <c r="Q664" s="57"/>
      <c r="R664" s="2104"/>
      <c r="S664" s="254"/>
    </row>
    <row r="665" spans="1:19">
      <c r="A665" s="254"/>
      <c r="B665" s="57"/>
      <c r="C665" s="57"/>
      <c r="D665" s="57"/>
      <c r="E665" s="57"/>
      <c r="F665" s="57"/>
      <c r="G665" s="57"/>
      <c r="H665" s="57"/>
      <c r="I665" s="57"/>
      <c r="J665" s="57"/>
      <c r="K665" s="57"/>
      <c r="L665" s="57"/>
      <c r="M665" s="57"/>
      <c r="N665" s="57"/>
      <c r="O665" s="57"/>
      <c r="P665" s="57"/>
      <c r="Q665" s="57"/>
      <c r="R665" s="2104"/>
      <c r="S665" s="254"/>
    </row>
    <row r="666" spans="1:19">
      <c r="A666" s="254"/>
      <c r="B666" s="57"/>
      <c r="C666" s="57"/>
      <c r="D666" s="57"/>
      <c r="E666" s="57"/>
      <c r="F666" s="57"/>
      <c r="G666" s="57"/>
      <c r="H666" s="57"/>
      <c r="I666" s="57"/>
      <c r="J666" s="57"/>
      <c r="K666" s="57"/>
      <c r="L666" s="57"/>
      <c r="M666" s="57"/>
      <c r="N666" s="57"/>
      <c r="O666" s="57"/>
      <c r="P666" s="57"/>
      <c r="Q666" s="57"/>
      <c r="R666" s="2104"/>
      <c r="S666" s="254"/>
    </row>
    <row r="667" spans="1:19">
      <c r="A667" s="254"/>
      <c r="B667" s="57"/>
      <c r="C667" s="57"/>
      <c r="D667" s="57"/>
      <c r="E667" s="57"/>
      <c r="F667" s="57"/>
      <c r="G667" s="57"/>
      <c r="H667" s="57"/>
      <c r="I667" s="57"/>
      <c r="J667" s="57"/>
      <c r="K667" s="57"/>
      <c r="L667" s="57"/>
      <c r="M667" s="57"/>
      <c r="N667" s="57"/>
      <c r="O667" s="57"/>
      <c r="P667" s="57"/>
      <c r="Q667" s="57"/>
      <c r="R667" s="2104"/>
      <c r="S667" s="254"/>
    </row>
    <row r="668" spans="1:19">
      <c r="A668" s="254"/>
      <c r="B668" s="57"/>
      <c r="C668" s="57"/>
      <c r="D668" s="57"/>
      <c r="E668" s="57"/>
      <c r="F668" s="57"/>
      <c r="G668" s="57"/>
      <c r="H668" s="57"/>
      <c r="I668" s="57"/>
      <c r="J668" s="57"/>
      <c r="K668" s="57"/>
      <c r="L668" s="57"/>
      <c r="M668" s="57"/>
      <c r="N668" s="57"/>
      <c r="O668" s="57"/>
      <c r="P668" s="57"/>
      <c r="Q668" s="57"/>
      <c r="R668" s="2104"/>
      <c r="S668" s="254"/>
    </row>
    <row r="669" spans="1:19">
      <c r="A669" s="254"/>
      <c r="B669" s="57"/>
      <c r="C669" s="57"/>
      <c r="D669" s="57"/>
      <c r="E669" s="57"/>
      <c r="F669" s="57"/>
      <c r="G669" s="57"/>
      <c r="H669" s="57"/>
      <c r="I669" s="57"/>
      <c r="J669" s="57"/>
      <c r="K669" s="57"/>
      <c r="L669" s="57"/>
      <c r="M669" s="57"/>
      <c r="N669" s="57"/>
      <c r="O669" s="57"/>
      <c r="P669" s="57"/>
      <c r="Q669" s="57"/>
      <c r="R669" s="2104"/>
      <c r="S669" s="254"/>
    </row>
    <row r="670" spans="1:19">
      <c r="A670" s="254"/>
      <c r="B670" s="57"/>
      <c r="C670" s="57"/>
      <c r="D670" s="57"/>
      <c r="E670" s="57"/>
      <c r="F670" s="57"/>
      <c r="G670" s="57"/>
      <c r="H670" s="57"/>
      <c r="I670" s="57"/>
      <c r="J670" s="57"/>
      <c r="K670" s="57"/>
      <c r="L670" s="57"/>
      <c r="M670" s="57"/>
      <c r="N670" s="57"/>
      <c r="O670" s="57"/>
      <c r="P670" s="57"/>
      <c r="Q670" s="57"/>
      <c r="R670" s="2104"/>
      <c r="S670" s="254"/>
    </row>
    <row r="671" spans="1:19">
      <c r="A671" s="254"/>
      <c r="B671" s="57"/>
      <c r="C671" s="57"/>
      <c r="D671" s="57"/>
      <c r="E671" s="57"/>
      <c r="F671" s="57"/>
      <c r="G671" s="57"/>
      <c r="H671" s="57"/>
      <c r="I671" s="57"/>
      <c r="J671" s="57"/>
      <c r="K671" s="57"/>
      <c r="L671" s="57"/>
      <c r="M671" s="57"/>
      <c r="N671" s="57"/>
      <c r="O671" s="57"/>
      <c r="P671" s="57"/>
      <c r="Q671" s="57"/>
      <c r="R671" s="2104"/>
      <c r="S671" s="254"/>
    </row>
    <row r="672" spans="1:19">
      <c r="A672" s="254"/>
      <c r="B672" s="57"/>
      <c r="C672" s="57"/>
      <c r="D672" s="57"/>
      <c r="E672" s="57"/>
      <c r="F672" s="57"/>
      <c r="G672" s="57"/>
      <c r="H672" s="57"/>
      <c r="I672" s="57"/>
      <c r="J672" s="57"/>
      <c r="K672" s="57"/>
      <c r="L672" s="57"/>
      <c r="M672" s="57"/>
      <c r="N672" s="57"/>
      <c r="O672" s="57"/>
      <c r="P672" s="57"/>
      <c r="Q672" s="57"/>
      <c r="R672" s="2104"/>
      <c r="S672" s="254"/>
    </row>
    <row r="673" spans="1:19">
      <c r="A673" s="254"/>
      <c r="B673" s="57"/>
      <c r="C673" s="57"/>
      <c r="D673" s="57"/>
      <c r="E673" s="57"/>
      <c r="F673" s="57"/>
      <c r="G673" s="57"/>
      <c r="H673" s="57"/>
      <c r="I673" s="57"/>
      <c r="J673" s="57"/>
      <c r="K673" s="57"/>
      <c r="L673" s="57"/>
      <c r="M673" s="57"/>
      <c r="N673" s="57"/>
      <c r="O673" s="57"/>
      <c r="P673" s="57"/>
      <c r="Q673" s="57"/>
      <c r="R673" s="2104"/>
      <c r="S673" s="254"/>
    </row>
    <row r="674" spans="1:19">
      <c r="A674" s="254"/>
      <c r="B674" s="57"/>
      <c r="C674" s="57"/>
      <c r="D674" s="57"/>
      <c r="E674" s="57"/>
      <c r="F674" s="57"/>
      <c r="G674" s="57"/>
      <c r="H674" s="57"/>
      <c r="I674" s="57"/>
      <c r="J674" s="57"/>
      <c r="K674" s="57"/>
      <c r="L674" s="57"/>
      <c r="M674" s="57"/>
      <c r="N674" s="57"/>
      <c r="O674" s="57"/>
      <c r="P674" s="57"/>
      <c r="Q674" s="57"/>
      <c r="R674" s="2104"/>
      <c r="S674" s="254"/>
    </row>
    <row r="675" spans="1:19">
      <c r="A675" s="254"/>
      <c r="B675" s="57"/>
      <c r="C675" s="57"/>
      <c r="D675" s="57"/>
      <c r="E675" s="57"/>
      <c r="F675" s="57"/>
      <c r="G675" s="57"/>
      <c r="H675" s="57"/>
      <c r="I675" s="57"/>
      <c r="J675" s="57"/>
      <c r="K675" s="57"/>
      <c r="L675" s="57"/>
      <c r="M675" s="57"/>
      <c r="N675" s="57"/>
      <c r="O675" s="57"/>
      <c r="P675" s="57"/>
      <c r="Q675" s="57"/>
      <c r="R675" s="2104"/>
      <c r="S675" s="254"/>
    </row>
    <row r="676" spans="1:19">
      <c r="A676" s="254"/>
      <c r="B676" s="57"/>
      <c r="C676" s="57"/>
      <c r="D676" s="57"/>
      <c r="E676" s="57"/>
      <c r="F676" s="57"/>
      <c r="G676" s="57"/>
      <c r="H676" s="57"/>
      <c r="I676" s="57"/>
      <c r="J676" s="57"/>
      <c r="K676" s="57"/>
      <c r="L676" s="57"/>
      <c r="M676" s="57"/>
      <c r="N676" s="57"/>
      <c r="O676" s="57"/>
      <c r="P676" s="57"/>
      <c r="Q676" s="57"/>
      <c r="R676" s="2104"/>
      <c r="S676" s="254"/>
    </row>
    <row r="677" spans="1:19">
      <c r="A677" s="254"/>
      <c r="B677" s="57"/>
      <c r="C677" s="57"/>
      <c r="D677" s="57"/>
      <c r="E677" s="57"/>
      <c r="F677" s="57"/>
      <c r="G677" s="57"/>
      <c r="H677" s="57"/>
      <c r="I677" s="57"/>
      <c r="J677" s="57"/>
      <c r="K677" s="57"/>
      <c r="L677" s="57"/>
      <c r="M677" s="57"/>
      <c r="N677" s="57"/>
      <c r="O677" s="57"/>
      <c r="P677" s="57"/>
      <c r="Q677" s="57"/>
      <c r="R677" s="2104"/>
      <c r="S677" s="254"/>
    </row>
    <row r="678" spans="1:19">
      <c r="A678" s="254"/>
      <c r="B678" s="57"/>
      <c r="C678" s="57"/>
      <c r="D678" s="57"/>
      <c r="E678" s="57"/>
      <c r="F678" s="57"/>
      <c r="G678" s="57"/>
      <c r="H678" s="57"/>
      <c r="I678" s="57"/>
      <c r="J678" s="57"/>
      <c r="K678" s="57"/>
      <c r="L678" s="57"/>
      <c r="M678" s="57"/>
      <c r="N678" s="57"/>
      <c r="O678" s="57"/>
      <c r="P678" s="57"/>
      <c r="Q678" s="57"/>
      <c r="R678" s="2104"/>
      <c r="S678" s="254"/>
    </row>
    <row r="679" spans="1:19">
      <c r="A679" s="254"/>
      <c r="B679" s="57"/>
      <c r="C679" s="57"/>
      <c r="D679" s="57"/>
      <c r="E679" s="57"/>
      <c r="F679" s="57"/>
      <c r="G679" s="57"/>
      <c r="H679" s="57"/>
      <c r="I679" s="57"/>
      <c r="J679" s="57"/>
      <c r="K679" s="57"/>
      <c r="L679" s="57"/>
      <c r="M679" s="57"/>
      <c r="N679" s="57"/>
      <c r="O679" s="57"/>
      <c r="P679" s="57"/>
      <c r="Q679" s="57"/>
      <c r="R679" s="2104"/>
      <c r="S679" s="254"/>
    </row>
    <row r="680" spans="1:19">
      <c r="A680" s="254"/>
      <c r="B680" s="57"/>
      <c r="C680" s="57"/>
      <c r="D680" s="57"/>
      <c r="E680" s="57"/>
      <c r="F680" s="57"/>
      <c r="G680" s="57"/>
      <c r="H680" s="57"/>
      <c r="I680" s="57"/>
      <c r="J680" s="57"/>
      <c r="K680" s="57"/>
      <c r="L680" s="57"/>
      <c r="M680" s="57"/>
      <c r="N680" s="57"/>
      <c r="O680" s="57"/>
      <c r="P680" s="57"/>
      <c r="Q680" s="57"/>
      <c r="R680" s="2104"/>
      <c r="S680" s="254"/>
    </row>
    <row r="681" spans="1:19">
      <c r="A681" s="254"/>
      <c r="B681" s="57"/>
      <c r="C681" s="57"/>
      <c r="D681" s="57"/>
      <c r="E681" s="57"/>
      <c r="F681" s="57"/>
      <c r="G681" s="57"/>
      <c r="H681" s="57"/>
      <c r="I681" s="57"/>
      <c r="J681" s="57"/>
      <c r="K681" s="57"/>
      <c r="L681" s="57"/>
      <c r="M681" s="57"/>
      <c r="N681" s="57"/>
      <c r="O681" s="57"/>
      <c r="P681" s="57"/>
      <c r="Q681" s="57"/>
      <c r="R681" s="2104"/>
      <c r="S681" s="254"/>
    </row>
    <row r="682" spans="1:19">
      <c r="A682" s="254"/>
      <c r="B682" s="57"/>
      <c r="C682" s="57"/>
      <c r="D682" s="57"/>
      <c r="E682" s="57"/>
      <c r="F682" s="57"/>
      <c r="G682" s="57"/>
      <c r="H682" s="57"/>
      <c r="I682" s="57"/>
      <c r="J682" s="57"/>
      <c r="K682" s="57"/>
      <c r="L682" s="57"/>
      <c r="M682" s="57"/>
      <c r="N682" s="57"/>
      <c r="O682" s="57"/>
      <c r="P682" s="57"/>
      <c r="Q682" s="57"/>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44254</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2.5</v>
      </c>
      <c r="D2" s="2715" t="s">
        <v>2768</v>
      </c>
      <c r="E2" s="2718">
        <f ca="1">INDIRECT("I"&amp;$I$1)/100</f>
        <v>4.7500000000000001E-2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42301</v>
      </c>
      <c r="D13" s="2701">
        <v>4.3499999999999996</v>
      </c>
      <c r="E13" s="2701">
        <v>4.3499999999999996</v>
      </c>
      <c r="F13" s="2701">
        <v>4.75</v>
      </c>
      <c r="G13" s="2701">
        <v>4.75</v>
      </c>
      <c r="H13" s="2701">
        <v>4.9000000000000004</v>
      </c>
      <c r="I13" s="2701">
        <v>2.75</v>
      </c>
      <c r="J13" s="2701">
        <v>3.25</v>
      </c>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2797</v>
      </c>
      <c r="J55" s="2705" t="s">
        <v>2797</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zoomScale="70" zoomScaleNormal="70" workbookViewId="0">
      <selection activeCell="A11" sqref="A11"/>
    </sheetView>
  </sheetViews>
  <sheetFormatPr defaultRowHeight="12"/>
  <cols>
    <col min="1" max="1" width="39.75" style="3298" customWidth="1"/>
    <col min="2" max="2" width="6.25" style="3298" hidden="1" customWidth="1"/>
    <col min="3" max="3" width="13.875" style="3298" hidden="1" customWidth="1"/>
    <col min="4" max="4" width="6.25" style="3298" hidden="1" customWidth="1"/>
    <col min="5" max="5" width="9.625" style="3298" hidden="1" customWidth="1"/>
    <col min="6" max="6" width="76.5" style="3298" hidden="1" customWidth="1"/>
    <col min="7" max="7" width="7.875" style="3298" hidden="1" customWidth="1"/>
    <col min="8" max="8" width="19.625" style="3298" hidden="1" customWidth="1"/>
    <col min="9" max="9" width="22.25" style="3298" customWidth="1"/>
    <col min="10" max="11" width="13.875" style="3298" customWidth="1"/>
    <col min="12" max="12" width="24" style="3298" customWidth="1"/>
    <col min="13" max="13" width="7.875" style="3298" hidden="1" customWidth="1"/>
    <col min="14" max="14" width="11.25" style="3298" hidden="1" customWidth="1"/>
    <col min="15" max="15" width="12.125" style="3298" hidden="1" customWidth="1"/>
    <col min="16" max="16" width="9.625" style="3298" hidden="1" customWidth="1"/>
    <col min="17" max="18" width="15.5" style="3298" hidden="1" customWidth="1"/>
    <col min="19" max="19" width="12.875" style="3298" hidden="1" customWidth="1"/>
    <col min="20" max="21" width="11.25" style="3298" hidden="1" customWidth="1"/>
    <col min="22" max="22" width="17.875" style="3298" hidden="1" customWidth="1"/>
    <col min="23" max="23" width="7.875" style="3298" hidden="1" customWidth="1"/>
    <col min="24" max="26" width="9" style="3298" hidden="1" customWidth="1"/>
    <col min="27" max="27" width="9" style="3298" customWidth="1"/>
    <col min="28" max="28" width="64.25" style="3298" hidden="1" customWidth="1"/>
    <col min="29" max="29" width="7.875" style="3298" hidden="1" customWidth="1"/>
    <col min="30" max="30" width="17.75" style="3298" customWidth="1"/>
    <col min="31" max="31" width="41.375" style="3298" customWidth="1"/>
    <col min="32" max="34" width="10.625" style="3298" customWidth="1"/>
    <col min="35" max="35" width="16" style="3298" hidden="1" customWidth="1"/>
    <col min="36" max="36" width="16" style="3298" customWidth="1"/>
    <col min="37" max="37" width="14.375" style="3298" hidden="1" customWidth="1"/>
    <col min="38" max="38" width="14.375" style="3298" customWidth="1"/>
    <col min="39" max="40" width="21.875" style="3298" hidden="1" customWidth="1"/>
    <col min="41" max="41" width="6.25" style="3298" customWidth="1"/>
    <col min="42" max="42" width="26.625" style="3298" customWidth="1"/>
    <col min="43" max="43" width="16.875" style="3298" hidden="1" customWidth="1"/>
    <col min="44" max="45" width="20.125" style="3298" hidden="1" customWidth="1"/>
    <col min="46" max="46" width="7.875" style="3298" hidden="1" customWidth="1"/>
    <col min="47" max="256" width="9" style="3298"/>
    <col min="257" max="257" width="39.75" style="3298" customWidth="1"/>
    <col min="258" max="259" width="0" style="3298" hidden="1" customWidth="1"/>
    <col min="260" max="260" width="6.25" style="3298" customWidth="1"/>
    <col min="261" max="262" width="0" style="3298" hidden="1" customWidth="1"/>
    <col min="263" max="263" width="7.875" style="3298" customWidth="1"/>
    <col min="264" max="264" width="0" style="3298" hidden="1" customWidth="1"/>
    <col min="265" max="265" width="22.25" style="3298" customWidth="1"/>
    <col min="266" max="267" width="13.875" style="3298" customWidth="1"/>
    <col min="268" max="268" width="24" style="3298" customWidth="1"/>
    <col min="269" max="282" width="0" style="3298" hidden="1" customWidth="1"/>
    <col min="283" max="283" width="9" style="3298" customWidth="1"/>
    <col min="284" max="285" width="0" style="3298" hidden="1" customWidth="1"/>
    <col min="286" max="286" width="17.75" style="3298" customWidth="1"/>
    <col min="287" max="289" width="0" style="3298" hidden="1" customWidth="1"/>
    <col min="290" max="290" width="10.625" style="3298" customWidth="1"/>
    <col min="291" max="291" width="0" style="3298" hidden="1" customWidth="1"/>
    <col min="292" max="292" width="16" style="3298" customWidth="1"/>
    <col min="293" max="293" width="0" style="3298" hidden="1" customWidth="1"/>
    <col min="294" max="294" width="14.375" style="3298" customWidth="1"/>
    <col min="295" max="296" width="0" style="3298" hidden="1" customWidth="1"/>
    <col min="297" max="297" width="6.25" style="3298" customWidth="1"/>
    <col min="298" max="298" width="26.625" style="3298" customWidth="1"/>
    <col min="299" max="302" width="0" style="3298" hidden="1" customWidth="1"/>
    <col min="303" max="512" width="9" style="3298"/>
    <col min="513" max="513" width="39.75" style="3298" customWidth="1"/>
    <col min="514" max="515" width="0" style="3298" hidden="1" customWidth="1"/>
    <col min="516" max="516" width="6.25" style="3298" customWidth="1"/>
    <col min="517" max="518" width="0" style="3298" hidden="1" customWidth="1"/>
    <col min="519" max="519" width="7.875" style="3298" customWidth="1"/>
    <col min="520" max="520" width="0" style="3298" hidden="1" customWidth="1"/>
    <col min="521" max="521" width="22.25" style="3298" customWidth="1"/>
    <col min="522" max="523" width="13.875" style="3298" customWidth="1"/>
    <col min="524" max="524" width="24" style="3298" customWidth="1"/>
    <col min="525" max="538" width="0" style="3298" hidden="1" customWidth="1"/>
    <col min="539" max="539" width="9" style="3298" customWidth="1"/>
    <col min="540" max="541" width="0" style="3298" hidden="1" customWidth="1"/>
    <col min="542" max="542" width="17.75" style="3298" customWidth="1"/>
    <col min="543" max="545" width="0" style="3298" hidden="1" customWidth="1"/>
    <col min="546" max="546" width="10.625" style="3298" customWidth="1"/>
    <col min="547" max="547" width="0" style="3298" hidden="1" customWidth="1"/>
    <col min="548" max="548" width="16" style="3298" customWidth="1"/>
    <col min="549" max="549" width="0" style="3298" hidden="1" customWidth="1"/>
    <col min="550" max="550" width="14.375" style="3298" customWidth="1"/>
    <col min="551" max="552" width="0" style="3298" hidden="1" customWidth="1"/>
    <col min="553" max="553" width="6.25" style="3298" customWidth="1"/>
    <col min="554" max="554" width="26.625" style="3298" customWidth="1"/>
    <col min="555" max="558" width="0" style="3298" hidden="1" customWidth="1"/>
    <col min="559" max="768" width="9" style="3298"/>
    <col min="769" max="769" width="39.75" style="3298" customWidth="1"/>
    <col min="770" max="771" width="0" style="3298" hidden="1" customWidth="1"/>
    <col min="772" max="772" width="6.25" style="3298" customWidth="1"/>
    <col min="773" max="774" width="0" style="3298" hidden="1" customWidth="1"/>
    <col min="775" max="775" width="7.875" style="3298" customWidth="1"/>
    <col min="776" max="776" width="0" style="3298" hidden="1" customWidth="1"/>
    <col min="777" max="777" width="22.25" style="3298" customWidth="1"/>
    <col min="778" max="779" width="13.875" style="3298" customWidth="1"/>
    <col min="780" max="780" width="24" style="3298" customWidth="1"/>
    <col min="781" max="794" width="0" style="3298" hidden="1" customWidth="1"/>
    <col min="795" max="795" width="9" style="3298" customWidth="1"/>
    <col min="796" max="797" width="0" style="3298" hidden="1" customWidth="1"/>
    <col min="798" max="798" width="17.75" style="3298" customWidth="1"/>
    <col min="799" max="801" width="0" style="3298" hidden="1" customWidth="1"/>
    <col min="802" max="802" width="10.625" style="3298" customWidth="1"/>
    <col min="803" max="803" width="0" style="3298" hidden="1" customWidth="1"/>
    <col min="804" max="804" width="16" style="3298" customWidth="1"/>
    <col min="805" max="805" width="0" style="3298" hidden="1" customWidth="1"/>
    <col min="806" max="806" width="14.375" style="3298" customWidth="1"/>
    <col min="807" max="808" width="0" style="3298" hidden="1" customWidth="1"/>
    <col min="809" max="809" width="6.25" style="3298" customWidth="1"/>
    <col min="810" max="810" width="26.625" style="3298" customWidth="1"/>
    <col min="811" max="814" width="0" style="3298" hidden="1" customWidth="1"/>
    <col min="815" max="1024" width="9" style="3298"/>
    <col min="1025" max="1025" width="39.75" style="3298" customWidth="1"/>
    <col min="1026" max="1027" width="0" style="3298" hidden="1" customWidth="1"/>
    <col min="1028" max="1028" width="6.25" style="3298" customWidth="1"/>
    <col min="1029" max="1030" width="0" style="3298" hidden="1" customWidth="1"/>
    <col min="1031" max="1031" width="7.875" style="3298" customWidth="1"/>
    <col min="1032" max="1032" width="0" style="3298" hidden="1" customWidth="1"/>
    <col min="1033" max="1033" width="22.25" style="3298" customWidth="1"/>
    <col min="1034" max="1035" width="13.875" style="3298" customWidth="1"/>
    <col min="1036" max="1036" width="24" style="3298" customWidth="1"/>
    <col min="1037" max="1050" width="0" style="3298" hidden="1" customWidth="1"/>
    <col min="1051" max="1051" width="9" style="3298" customWidth="1"/>
    <col min="1052" max="1053" width="0" style="3298" hidden="1" customWidth="1"/>
    <col min="1054" max="1054" width="17.75" style="3298" customWidth="1"/>
    <col min="1055" max="1057" width="0" style="3298" hidden="1" customWidth="1"/>
    <col min="1058" max="1058" width="10.625" style="3298" customWidth="1"/>
    <col min="1059" max="1059" width="0" style="3298" hidden="1" customWidth="1"/>
    <col min="1060" max="1060" width="16" style="3298" customWidth="1"/>
    <col min="1061" max="1061" width="0" style="3298" hidden="1" customWidth="1"/>
    <col min="1062" max="1062" width="14.375" style="3298" customWidth="1"/>
    <col min="1063" max="1064" width="0" style="3298" hidden="1" customWidth="1"/>
    <col min="1065" max="1065" width="6.25" style="3298" customWidth="1"/>
    <col min="1066" max="1066" width="26.625" style="3298" customWidth="1"/>
    <col min="1067" max="1070" width="0" style="3298" hidden="1" customWidth="1"/>
    <col min="1071" max="1280" width="9" style="3298"/>
    <col min="1281" max="1281" width="39.75" style="3298" customWidth="1"/>
    <col min="1282" max="1283" width="0" style="3298" hidden="1" customWidth="1"/>
    <col min="1284" max="1284" width="6.25" style="3298" customWidth="1"/>
    <col min="1285" max="1286" width="0" style="3298" hidden="1" customWidth="1"/>
    <col min="1287" max="1287" width="7.875" style="3298" customWidth="1"/>
    <col min="1288" max="1288" width="0" style="3298" hidden="1" customWidth="1"/>
    <col min="1289" max="1289" width="22.25" style="3298" customWidth="1"/>
    <col min="1290" max="1291" width="13.875" style="3298" customWidth="1"/>
    <col min="1292" max="1292" width="24" style="3298" customWidth="1"/>
    <col min="1293" max="1306" width="0" style="3298" hidden="1" customWidth="1"/>
    <col min="1307" max="1307" width="9" style="3298" customWidth="1"/>
    <col min="1308" max="1309" width="0" style="3298" hidden="1" customWidth="1"/>
    <col min="1310" max="1310" width="17.75" style="3298" customWidth="1"/>
    <col min="1311" max="1313" width="0" style="3298" hidden="1" customWidth="1"/>
    <col min="1314" max="1314" width="10.625" style="3298" customWidth="1"/>
    <col min="1315" max="1315" width="0" style="3298" hidden="1" customWidth="1"/>
    <col min="1316" max="1316" width="16" style="3298" customWidth="1"/>
    <col min="1317" max="1317" width="0" style="3298" hidden="1" customWidth="1"/>
    <col min="1318" max="1318" width="14.375" style="3298" customWidth="1"/>
    <col min="1319" max="1320" width="0" style="3298" hidden="1" customWidth="1"/>
    <col min="1321" max="1321" width="6.25" style="3298" customWidth="1"/>
    <col min="1322" max="1322" width="26.625" style="3298" customWidth="1"/>
    <col min="1323" max="1326" width="0" style="3298" hidden="1" customWidth="1"/>
    <col min="1327" max="1536" width="9" style="3298"/>
    <col min="1537" max="1537" width="39.75" style="3298" customWidth="1"/>
    <col min="1538" max="1539" width="0" style="3298" hidden="1" customWidth="1"/>
    <col min="1540" max="1540" width="6.25" style="3298" customWidth="1"/>
    <col min="1541" max="1542" width="0" style="3298" hidden="1" customWidth="1"/>
    <col min="1543" max="1543" width="7.875" style="3298" customWidth="1"/>
    <col min="1544" max="1544" width="0" style="3298" hidden="1" customWidth="1"/>
    <col min="1545" max="1545" width="22.25" style="3298" customWidth="1"/>
    <col min="1546" max="1547" width="13.875" style="3298" customWidth="1"/>
    <col min="1548" max="1548" width="24" style="3298" customWidth="1"/>
    <col min="1549" max="1562" width="0" style="3298" hidden="1" customWidth="1"/>
    <col min="1563" max="1563" width="9" style="3298" customWidth="1"/>
    <col min="1564" max="1565" width="0" style="3298" hidden="1" customWidth="1"/>
    <col min="1566" max="1566" width="17.75" style="3298" customWidth="1"/>
    <col min="1567" max="1569" width="0" style="3298" hidden="1" customWidth="1"/>
    <col min="1570" max="1570" width="10.625" style="3298" customWidth="1"/>
    <col min="1571" max="1571" width="0" style="3298" hidden="1" customWidth="1"/>
    <col min="1572" max="1572" width="16" style="3298" customWidth="1"/>
    <col min="1573" max="1573" width="0" style="3298" hidden="1" customWidth="1"/>
    <col min="1574" max="1574" width="14.375" style="3298" customWidth="1"/>
    <col min="1575" max="1576" width="0" style="3298" hidden="1" customWidth="1"/>
    <col min="1577" max="1577" width="6.25" style="3298" customWidth="1"/>
    <col min="1578" max="1578" width="26.625" style="3298" customWidth="1"/>
    <col min="1579" max="1582" width="0" style="3298" hidden="1" customWidth="1"/>
    <col min="1583" max="1792" width="9" style="3298"/>
    <col min="1793" max="1793" width="39.75" style="3298" customWidth="1"/>
    <col min="1794" max="1795" width="0" style="3298" hidden="1" customWidth="1"/>
    <col min="1796" max="1796" width="6.25" style="3298" customWidth="1"/>
    <col min="1797" max="1798" width="0" style="3298" hidden="1" customWidth="1"/>
    <col min="1799" max="1799" width="7.875" style="3298" customWidth="1"/>
    <col min="1800" max="1800" width="0" style="3298" hidden="1" customWidth="1"/>
    <col min="1801" max="1801" width="22.25" style="3298" customWidth="1"/>
    <col min="1802" max="1803" width="13.875" style="3298" customWidth="1"/>
    <col min="1804" max="1804" width="24" style="3298" customWidth="1"/>
    <col min="1805" max="1818" width="0" style="3298" hidden="1" customWidth="1"/>
    <col min="1819" max="1819" width="9" style="3298" customWidth="1"/>
    <col min="1820" max="1821" width="0" style="3298" hidden="1" customWidth="1"/>
    <col min="1822" max="1822" width="17.75" style="3298" customWidth="1"/>
    <col min="1823" max="1825" width="0" style="3298" hidden="1" customWidth="1"/>
    <col min="1826" max="1826" width="10.625" style="3298" customWidth="1"/>
    <col min="1827" max="1827" width="0" style="3298" hidden="1" customWidth="1"/>
    <col min="1828" max="1828" width="16" style="3298" customWidth="1"/>
    <col min="1829" max="1829" width="0" style="3298" hidden="1" customWidth="1"/>
    <col min="1830" max="1830" width="14.375" style="3298" customWidth="1"/>
    <col min="1831" max="1832" width="0" style="3298" hidden="1" customWidth="1"/>
    <col min="1833" max="1833" width="6.25" style="3298" customWidth="1"/>
    <col min="1834" max="1834" width="26.625" style="3298" customWidth="1"/>
    <col min="1835" max="1838" width="0" style="3298" hidden="1" customWidth="1"/>
    <col min="1839" max="2048" width="9" style="3298"/>
    <col min="2049" max="2049" width="39.75" style="3298" customWidth="1"/>
    <col min="2050" max="2051" width="0" style="3298" hidden="1" customWidth="1"/>
    <col min="2052" max="2052" width="6.25" style="3298" customWidth="1"/>
    <col min="2053" max="2054" width="0" style="3298" hidden="1" customWidth="1"/>
    <col min="2055" max="2055" width="7.875" style="3298" customWidth="1"/>
    <col min="2056" max="2056" width="0" style="3298" hidden="1" customWidth="1"/>
    <col min="2057" max="2057" width="22.25" style="3298" customWidth="1"/>
    <col min="2058" max="2059" width="13.875" style="3298" customWidth="1"/>
    <col min="2060" max="2060" width="24" style="3298" customWidth="1"/>
    <col min="2061" max="2074" width="0" style="3298" hidden="1" customWidth="1"/>
    <col min="2075" max="2075" width="9" style="3298" customWidth="1"/>
    <col min="2076" max="2077" width="0" style="3298" hidden="1" customWidth="1"/>
    <col min="2078" max="2078" width="17.75" style="3298" customWidth="1"/>
    <col min="2079" max="2081" width="0" style="3298" hidden="1" customWidth="1"/>
    <col min="2082" max="2082" width="10.625" style="3298" customWidth="1"/>
    <col min="2083" max="2083" width="0" style="3298" hidden="1" customWidth="1"/>
    <col min="2084" max="2084" width="16" style="3298" customWidth="1"/>
    <col min="2085" max="2085" width="0" style="3298" hidden="1" customWidth="1"/>
    <col min="2086" max="2086" width="14.375" style="3298" customWidth="1"/>
    <col min="2087" max="2088" width="0" style="3298" hidden="1" customWidth="1"/>
    <col min="2089" max="2089" width="6.25" style="3298" customWidth="1"/>
    <col min="2090" max="2090" width="26.625" style="3298" customWidth="1"/>
    <col min="2091" max="2094" width="0" style="3298" hidden="1" customWidth="1"/>
    <col min="2095" max="2304" width="9" style="3298"/>
    <col min="2305" max="2305" width="39.75" style="3298" customWidth="1"/>
    <col min="2306" max="2307" width="0" style="3298" hidden="1" customWidth="1"/>
    <col min="2308" max="2308" width="6.25" style="3298" customWidth="1"/>
    <col min="2309" max="2310" width="0" style="3298" hidden="1" customWidth="1"/>
    <col min="2311" max="2311" width="7.875" style="3298" customWidth="1"/>
    <col min="2312" max="2312" width="0" style="3298" hidden="1" customWidth="1"/>
    <col min="2313" max="2313" width="22.25" style="3298" customWidth="1"/>
    <col min="2314" max="2315" width="13.875" style="3298" customWidth="1"/>
    <col min="2316" max="2316" width="24" style="3298" customWidth="1"/>
    <col min="2317" max="2330" width="0" style="3298" hidden="1" customWidth="1"/>
    <col min="2331" max="2331" width="9" style="3298" customWidth="1"/>
    <col min="2332" max="2333" width="0" style="3298" hidden="1" customWidth="1"/>
    <col min="2334" max="2334" width="17.75" style="3298" customWidth="1"/>
    <col min="2335" max="2337" width="0" style="3298" hidden="1" customWidth="1"/>
    <col min="2338" max="2338" width="10.625" style="3298" customWidth="1"/>
    <col min="2339" max="2339" width="0" style="3298" hidden="1" customWidth="1"/>
    <col min="2340" max="2340" width="16" style="3298" customWidth="1"/>
    <col min="2341" max="2341" width="0" style="3298" hidden="1" customWidth="1"/>
    <col min="2342" max="2342" width="14.375" style="3298" customWidth="1"/>
    <col min="2343" max="2344" width="0" style="3298" hidden="1" customWidth="1"/>
    <col min="2345" max="2345" width="6.25" style="3298" customWidth="1"/>
    <col min="2346" max="2346" width="26.625" style="3298" customWidth="1"/>
    <col min="2347" max="2350" width="0" style="3298" hidden="1" customWidth="1"/>
    <col min="2351" max="2560" width="9" style="3298"/>
    <col min="2561" max="2561" width="39.75" style="3298" customWidth="1"/>
    <col min="2562" max="2563" width="0" style="3298" hidden="1" customWidth="1"/>
    <col min="2564" max="2564" width="6.25" style="3298" customWidth="1"/>
    <col min="2565" max="2566" width="0" style="3298" hidden="1" customWidth="1"/>
    <col min="2567" max="2567" width="7.875" style="3298" customWidth="1"/>
    <col min="2568" max="2568" width="0" style="3298" hidden="1" customWidth="1"/>
    <col min="2569" max="2569" width="22.25" style="3298" customWidth="1"/>
    <col min="2570" max="2571" width="13.875" style="3298" customWidth="1"/>
    <col min="2572" max="2572" width="24" style="3298" customWidth="1"/>
    <col min="2573" max="2586" width="0" style="3298" hidden="1" customWidth="1"/>
    <col min="2587" max="2587" width="9" style="3298" customWidth="1"/>
    <col min="2588" max="2589" width="0" style="3298" hidden="1" customWidth="1"/>
    <col min="2590" max="2590" width="17.75" style="3298" customWidth="1"/>
    <col min="2591" max="2593" width="0" style="3298" hidden="1" customWidth="1"/>
    <col min="2594" max="2594" width="10.625" style="3298" customWidth="1"/>
    <col min="2595" max="2595" width="0" style="3298" hidden="1" customWidth="1"/>
    <col min="2596" max="2596" width="16" style="3298" customWidth="1"/>
    <col min="2597" max="2597" width="0" style="3298" hidden="1" customWidth="1"/>
    <col min="2598" max="2598" width="14.375" style="3298" customWidth="1"/>
    <col min="2599" max="2600" width="0" style="3298" hidden="1" customWidth="1"/>
    <col min="2601" max="2601" width="6.25" style="3298" customWidth="1"/>
    <col min="2602" max="2602" width="26.625" style="3298" customWidth="1"/>
    <col min="2603" max="2606" width="0" style="3298" hidden="1" customWidth="1"/>
    <col min="2607" max="2816" width="9" style="3298"/>
    <col min="2817" max="2817" width="39.75" style="3298" customWidth="1"/>
    <col min="2818" max="2819" width="0" style="3298" hidden="1" customWidth="1"/>
    <col min="2820" max="2820" width="6.25" style="3298" customWidth="1"/>
    <col min="2821" max="2822" width="0" style="3298" hidden="1" customWidth="1"/>
    <col min="2823" max="2823" width="7.875" style="3298" customWidth="1"/>
    <col min="2824" max="2824" width="0" style="3298" hidden="1" customWidth="1"/>
    <col min="2825" max="2825" width="22.25" style="3298" customWidth="1"/>
    <col min="2826" max="2827" width="13.875" style="3298" customWidth="1"/>
    <col min="2828" max="2828" width="24" style="3298" customWidth="1"/>
    <col min="2829" max="2842" width="0" style="3298" hidden="1" customWidth="1"/>
    <col min="2843" max="2843" width="9" style="3298" customWidth="1"/>
    <col min="2844" max="2845" width="0" style="3298" hidden="1" customWidth="1"/>
    <col min="2846" max="2846" width="17.75" style="3298" customWidth="1"/>
    <col min="2847" max="2849" width="0" style="3298" hidden="1" customWidth="1"/>
    <col min="2850" max="2850" width="10.625" style="3298" customWidth="1"/>
    <col min="2851" max="2851" width="0" style="3298" hidden="1" customWidth="1"/>
    <col min="2852" max="2852" width="16" style="3298" customWidth="1"/>
    <col min="2853" max="2853" width="0" style="3298" hidden="1" customWidth="1"/>
    <col min="2854" max="2854" width="14.375" style="3298" customWidth="1"/>
    <col min="2855" max="2856" width="0" style="3298" hidden="1" customWidth="1"/>
    <col min="2857" max="2857" width="6.25" style="3298" customWidth="1"/>
    <col min="2858" max="2858" width="26.625" style="3298" customWidth="1"/>
    <col min="2859" max="2862" width="0" style="3298" hidden="1" customWidth="1"/>
    <col min="2863" max="3072" width="9" style="3298"/>
    <col min="3073" max="3073" width="39.75" style="3298" customWidth="1"/>
    <col min="3074" max="3075" width="0" style="3298" hidden="1" customWidth="1"/>
    <col min="3076" max="3076" width="6.25" style="3298" customWidth="1"/>
    <col min="3077" max="3078" width="0" style="3298" hidden="1" customWidth="1"/>
    <col min="3079" max="3079" width="7.875" style="3298" customWidth="1"/>
    <col min="3080" max="3080" width="0" style="3298" hidden="1" customWidth="1"/>
    <col min="3081" max="3081" width="22.25" style="3298" customWidth="1"/>
    <col min="3082" max="3083" width="13.875" style="3298" customWidth="1"/>
    <col min="3084" max="3084" width="24" style="3298" customWidth="1"/>
    <col min="3085" max="3098" width="0" style="3298" hidden="1" customWidth="1"/>
    <col min="3099" max="3099" width="9" style="3298" customWidth="1"/>
    <col min="3100" max="3101" width="0" style="3298" hidden="1" customWidth="1"/>
    <col min="3102" max="3102" width="17.75" style="3298" customWidth="1"/>
    <col min="3103" max="3105" width="0" style="3298" hidden="1" customWidth="1"/>
    <col min="3106" max="3106" width="10.625" style="3298" customWidth="1"/>
    <col min="3107" max="3107" width="0" style="3298" hidden="1" customWidth="1"/>
    <col min="3108" max="3108" width="16" style="3298" customWidth="1"/>
    <col min="3109" max="3109" width="0" style="3298" hidden="1" customWidth="1"/>
    <col min="3110" max="3110" width="14.375" style="3298" customWidth="1"/>
    <col min="3111" max="3112" width="0" style="3298" hidden="1" customWidth="1"/>
    <col min="3113" max="3113" width="6.25" style="3298" customWidth="1"/>
    <col min="3114" max="3114" width="26.625" style="3298" customWidth="1"/>
    <col min="3115" max="3118" width="0" style="3298" hidden="1" customWidth="1"/>
    <col min="3119" max="3328" width="9" style="3298"/>
    <col min="3329" max="3329" width="39.75" style="3298" customWidth="1"/>
    <col min="3330" max="3331" width="0" style="3298" hidden="1" customWidth="1"/>
    <col min="3332" max="3332" width="6.25" style="3298" customWidth="1"/>
    <col min="3333" max="3334" width="0" style="3298" hidden="1" customWidth="1"/>
    <col min="3335" max="3335" width="7.875" style="3298" customWidth="1"/>
    <col min="3336" max="3336" width="0" style="3298" hidden="1" customWidth="1"/>
    <col min="3337" max="3337" width="22.25" style="3298" customWidth="1"/>
    <col min="3338" max="3339" width="13.875" style="3298" customWidth="1"/>
    <col min="3340" max="3340" width="24" style="3298" customWidth="1"/>
    <col min="3341" max="3354" width="0" style="3298" hidden="1" customWidth="1"/>
    <col min="3355" max="3355" width="9" style="3298" customWidth="1"/>
    <col min="3356" max="3357" width="0" style="3298" hidden="1" customWidth="1"/>
    <col min="3358" max="3358" width="17.75" style="3298" customWidth="1"/>
    <col min="3359" max="3361" width="0" style="3298" hidden="1" customWidth="1"/>
    <col min="3362" max="3362" width="10.625" style="3298" customWidth="1"/>
    <col min="3363" max="3363" width="0" style="3298" hidden="1" customWidth="1"/>
    <col min="3364" max="3364" width="16" style="3298" customWidth="1"/>
    <col min="3365" max="3365" width="0" style="3298" hidden="1" customWidth="1"/>
    <col min="3366" max="3366" width="14.375" style="3298" customWidth="1"/>
    <col min="3367" max="3368" width="0" style="3298" hidden="1" customWidth="1"/>
    <col min="3369" max="3369" width="6.25" style="3298" customWidth="1"/>
    <col min="3370" max="3370" width="26.625" style="3298" customWidth="1"/>
    <col min="3371" max="3374" width="0" style="3298" hidden="1" customWidth="1"/>
    <col min="3375" max="3584" width="9" style="3298"/>
    <col min="3585" max="3585" width="39.75" style="3298" customWidth="1"/>
    <col min="3586" max="3587" width="0" style="3298" hidden="1" customWidth="1"/>
    <col min="3588" max="3588" width="6.25" style="3298" customWidth="1"/>
    <col min="3589" max="3590" width="0" style="3298" hidden="1" customWidth="1"/>
    <col min="3591" max="3591" width="7.875" style="3298" customWidth="1"/>
    <col min="3592" max="3592" width="0" style="3298" hidden="1" customWidth="1"/>
    <col min="3593" max="3593" width="22.25" style="3298" customWidth="1"/>
    <col min="3594" max="3595" width="13.875" style="3298" customWidth="1"/>
    <col min="3596" max="3596" width="24" style="3298" customWidth="1"/>
    <col min="3597" max="3610" width="0" style="3298" hidden="1" customWidth="1"/>
    <col min="3611" max="3611" width="9" style="3298" customWidth="1"/>
    <col min="3612" max="3613" width="0" style="3298" hidden="1" customWidth="1"/>
    <col min="3614" max="3614" width="17.75" style="3298" customWidth="1"/>
    <col min="3615" max="3617" width="0" style="3298" hidden="1" customWidth="1"/>
    <col min="3618" max="3618" width="10.625" style="3298" customWidth="1"/>
    <col min="3619" max="3619" width="0" style="3298" hidden="1" customWidth="1"/>
    <col min="3620" max="3620" width="16" style="3298" customWidth="1"/>
    <col min="3621" max="3621" width="0" style="3298" hidden="1" customWidth="1"/>
    <col min="3622" max="3622" width="14.375" style="3298" customWidth="1"/>
    <col min="3623" max="3624" width="0" style="3298" hidden="1" customWidth="1"/>
    <col min="3625" max="3625" width="6.25" style="3298" customWidth="1"/>
    <col min="3626" max="3626" width="26.625" style="3298" customWidth="1"/>
    <col min="3627" max="3630" width="0" style="3298" hidden="1" customWidth="1"/>
    <col min="3631" max="3840" width="9" style="3298"/>
    <col min="3841" max="3841" width="39.75" style="3298" customWidth="1"/>
    <col min="3842" max="3843" width="0" style="3298" hidden="1" customWidth="1"/>
    <col min="3844" max="3844" width="6.25" style="3298" customWidth="1"/>
    <col min="3845" max="3846" width="0" style="3298" hidden="1" customWidth="1"/>
    <col min="3847" max="3847" width="7.875" style="3298" customWidth="1"/>
    <col min="3848" max="3848" width="0" style="3298" hidden="1" customWidth="1"/>
    <col min="3849" max="3849" width="22.25" style="3298" customWidth="1"/>
    <col min="3850" max="3851" width="13.875" style="3298" customWidth="1"/>
    <col min="3852" max="3852" width="24" style="3298" customWidth="1"/>
    <col min="3853" max="3866" width="0" style="3298" hidden="1" customWidth="1"/>
    <col min="3867" max="3867" width="9" style="3298" customWidth="1"/>
    <col min="3868" max="3869" width="0" style="3298" hidden="1" customWidth="1"/>
    <col min="3870" max="3870" width="17.75" style="3298" customWidth="1"/>
    <col min="3871" max="3873" width="0" style="3298" hidden="1" customWidth="1"/>
    <col min="3874" max="3874" width="10.625" style="3298" customWidth="1"/>
    <col min="3875" max="3875" width="0" style="3298" hidden="1" customWidth="1"/>
    <col min="3876" max="3876" width="16" style="3298" customWidth="1"/>
    <col min="3877" max="3877" width="0" style="3298" hidden="1" customWidth="1"/>
    <col min="3878" max="3878" width="14.375" style="3298" customWidth="1"/>
    <col min="3879" max="3880" width="0" style="3298" hidden="1" customWidth="1"/>
    <col min="3881" max="3881" width="6.25" style="3298" customWidth="1"/>
    <col min="3882" max="3882" width="26.625" style="3298" customWidth="1"/>
    <col min="3883" max="3886" width="0" style="3298" hidden="1" customWidth="1"/>
    <col min="3887" max="4096" width="9" style="3298"/>
    <col min="4097" max="4097" width="39.75" style="3298" customWidth="1"/>
    <col min="4098" max="4099" width="0" style="3298" hidden="1" customWidth="1"/>
    <col min="4100" max="4100" width="6.25" style="3298" customWidth="1"/>
    <col min="4101" max="4102" width="0" style="3298" hidden="1" customWidth="1"/>
    <col min="4103" max="4103" width="7.875" style="3298" customWidth="1"/>
    <col min="4104" max="4104" width="0" style="3298" hidden="1" customWidth="1"/>
    <col min="4105" max="4105" width="22.25" style="3298" customWidth="1"/>
    <col min="4106" max="4107" width="13.875" style="3298" customWidth="1"/>
    <col min="4108" max="4108" width="24" style="3298" customWidth="1"/>
    <col min="4109" max="4122" width="0" style="3298" hidden="1" customWidth="1"/>
    <col min="4123" max="4123" width="9" style="3298" customWidth="1"/>
    <col min="4124" max="4125" width="0" style="3298" hidden="1" customWidth="1"/>
    <col min="4126" max="4126" width="17.75" style="3298" customWidth="1"/>
    <col min="4127" max="4129" width="0" style="3298" hidden="1" customWidth="1"/>
    <col min="4130" max="4130" width="10.625" style="3298" customWidth="1"/>
    <col min="4131" max="4131" width="0" style="3298" hidden="1" customWidth="1"/>
    <col min="4132" max="4132" width="16" style="3298" customWidth="1"/>
    <col min="4133" max="4133" width="0" style="3298" hidden="1" customWidth="1"/>
    <col min="4134" max="4134" width="14.375" style="3298" customWidth="1"/>
    <col min="4135" max="4136" width="0" style="3298" hidden="1" customWidth="1"/>
    <col min="4137" max="4137" width="6.25" style="3298" customWidth="1"/>
    <col min="4138" max="4138" width="26.625" style="3298" customWidth="1"/>
    <col min="4139" max="4142" width="0" style="3298" hidden="1" customWidth="1"/>
    <col min="4143" max="4352" width="9" style="3298"/>
    <col min="4353" max="4353" width="39.75" style="3298" customWidth="1"/>
    <col min="4354" max="4355" width="0" style="3298" hidden="1" customWidth="1"/>
    <col min="4356" max="4356" width="6.25" style="3298" customWidth="1"/>
    <col min="4357" max="4358" width="0" style="3298" hidden="1" customWidth="1"/>
    <col min="4359" max="4359" width="7.875" style="3298" customWidth="1"/>
    <col min="4360" max="4360" width="0" style="3298" hidden="1" customWidth="1"/>
    <col min="4361" max="4361" width="22.25" style="3298" customWidth="1"/>
    <col min="4362" max="4363" width="13.875" style="3298" customWidth="1"/>
    <col min="4364" max="4364" width="24" style="3298" customWidth="1"/>
    <col min="4365" max="4378" width="0" style="3298" hidden="1" customWidth="1"/>
    <col min="4379" max="4379" width="9" style="3298" customWidth="1"/>
    <col min="4380" max="4381" width="0" style="3298" hidden="1" customWidth="1"/>
    <col min="4382" max="4382" width="17.75" style="3298" customWidth="1"/>
    <col min="4383" max="4385" width="0" style="3298" hidden="1" customWidth="1"/>
    <col min="4386" max="4386" width="10.625" style="3298" customWidth="1"/>
    <col min="4387" max="4387" width="0" style="3298" hidden="1" customWidth="1"/>
    <col min="4388" max="4388" width="16" style="3298" customWidth="1"/>
    <col min="4389" max="4389" width="0" style="3298" hidden="1" customWidth="1"/>
    <col min="4390" max="4390" width="14.375" style="3298" customWidth="1"/>
    <col min="4391" max="4392" width="0" style="3298" hidden="1" customWidth="1"/>
    <col min="4393" max="4393" width="6.25" style="3298" customWidth="1"/>
    <col min="4394" max="4394" width="26.625" style="3298" customWidth="1"/>
    <col min="4395" max="4398" width="0" style="3298" hidden="1" customWidth="1"/>
    <col min="4399" max="4608" width="9" style="3298"/>
    <col min="4609" max="4609" width="39.75" style="3298" customWidth="1"/>
    <col min="4610" max="4611" width="0" style="3298" hidden="1" customWidth="1"/>
    <col min="4612" max="4612" width="6.25" style="3298" customWidth="1"/>
    <col min="4613" max="4614" width="0" style="3298" hidden="1" customWidth="1"/>
    <col min="4615" max="4615" width="7.875" style="3298" customWidth="1"/>
    <col min="4616" max="4616" width="0" style="3298" hidden="1" customWidth="1"/>
    <col min="4617" max="4617" width="22.25" style="3298" customWidth="1"/>
    <col min="4618" max="4619" width="13.875" style="3298" customWidth="1"/>
    <col min="4620" max="4620" width="24" style="3298" customWidth="1"/>
    <col min="4621" max="4634" width="0" style="3298" hidden="1" customWidth="1"/>
    <col min="4635" max="4635" width="9" style="3298" customWidth="1"/>
    <col min="4636" max="4637" width="0" style="3298" hidden="1" customWidth="1"/>
    <col min="4638" max="4638" width="17.75" style="3298" customWidth="1"/>
    <col min="4639" max="4641" width="0" style="3298" hidden="1" customWidth="1"/>
    <col min="4642" max="4642" width="10.625" style="3298" customWidth="1"/>
    <col min="4643" max="4643" width="0" style="3298" hidden="1" customWidth="1"/>
    <col min="4644" max="4644" width="16" style="3298" customWidth="1"/>
    <col min="4645" max="4645" width="0" style="3298" hidden="1" customWidth="1"/>
    <col min="4646" max="4646" width="14.375" style="3298" customWidth="1"/>
    <col min="4647" max="4648" width="0" style="3298" hidden="1" customWidth="1"/>
    <col min="4649" max="4649" width="6.25" style="3298" customWidth="1"/>
    <col min="4650" max="4650" width="26.625" style="3298" customWidth="1"/>
    <col min="4651" max="4654" width="0" style="3298" hidden="1" customWidth="1"/>
    <col min="4655" max="4864" width="9" style="3298"/>
    <col min="4865" max="4865" width="39.75" style="3298" customWidth="1"/>
    <col min="4866" max="4867" width="0" style="3298" hidden="1" customWidth="1"/>
    <col min="4868" max="4868" width="6.25" style="3298" customWidth="1"/>
    <col min="4869" max="4870" width="0" style="3298" hidden="1" customWidth="1"/>
    <col min="4871" max="4871" width="7.875" style="3298" customWidth="1"/>
    <col min="4872" max="4872" width="0" style="3298" hidden="1" customWidth="1"/>
    <col min="4873" max="4873" width="22.25" style="3298" customWidth="1"/>
    <col min="4874" max="4875" width="13.875" style="3298" customWidth="1"/>
    <col min="4876" max="4876" width="24" style="3298" customWidth="1"/>
    <col min="4877" max="4890" width="0" style="3298" hidden="1" customWidth="1"/>
    <col min="4891" max="4891" width="9" style="3298" customWidth="1"/>
    <col min="4892" max="4893" width="0" style="3298" hidden="1" customWidth="1"/>
    <col min="4894" max="4894" width="17.75" style="3298" customWidth="1"/>
    <col min="4895" max="4897" width="0" style="3298" hidden="1" customWidth="1"/>
    <col min="4898" max="4898" width="10.625" style="3298" customWidth="1"/>
    <col min="4899" max="4899" width="0" style="3298" hidden="1" customWidth="1"/>
    <col min="4900" max="4900" width="16" style="3298" customWidth="1"/>
    <col min="4901" max="4901" width="0" style="3298" hidden="1" customWidth="1"/>
    <col min="4902" max="4902" width="14.375" style="3298" customWidth="1"/>
    <col min="4903" max="4904" width="0" style="3298" hidden="1" customWidth="1"/>
    <col min="4905" max="4905" width="6.25" style="3298" customWidth="1"/>
    <col min="4906" max="4906" width="26.625" style="3298" customWidth="1"/>
    <col min="4907" max="4910" width="0" style="3298" hidden="1" customWidth="1"/>
    <col min="4911" max="5120" width="9" style="3298"/>
    <col min="5121" max="5121" width="39.75" style="3298" customWidth="1"/>
    <col min="5122" max="5123" width="0" style="3298" hidden="1" customWidth="1"/>
    <col min="5124" max="5124" width="6.25" style="3298" customWidth="1"/>
    <col min="5125" max="5126" width="0" style="3298" hidden="1" customWidth="1"/>
    <col min="5127" max="5127" width="7.875" style="3298" customWidth="1"/>
    <col min="5128" max="5128" width="0" style="3298" hidden="1" customWidth="1"/>
    <col min="5129" max="5129" width="22.25" style="3298" customWidth="1"/>
    <col min="5130" max="5131" width="13.875" style="3298" customWidth="1"/>
    <col min="5132" max="5132" width="24" style="3298" customWidth="1"/>
    <col min="5133" max="5146" width="0" style="3298" hidden="1" customWidth="1"/>
    <col min="5147" max="5147" width="9" style="3298" customWidth="1"/>
    <col min="5148" max="5149" width="0" style="3298" hidden="1" customWidth="1"/>
    <col min="5150" max="5150" width="17.75" style="3298" customWidth="1"/>
    <col min="5151" max="5153" width="0" style="3298" hidden="1" customWidth="1"/>
    <col min="5154" max="5154" width="10.625" style="3298" customWidth="1"/>
    <col min="5155" max="5155" width="0" style="3298" hidden="1" customWidth="1"/>
    <col min="5156" max="5156" width="16" style="3298" customWidth="1"/>
    <col min="5157" max="5157" width="0" style="3298" hidden="1" customWidth="1"/>
    <col min="5158" max="5158" width="14.375" style="3298" customWidth="1"/>
    <col min="5159" max="5160" width="0" style="3298" hidden="1" customWidth="1"/>
    <col min="5161" max="5161" width="6.25" style="3298" customWidth="1"/>
    <col min="5162" max="5162" width="26.625" style="3298" customWidth="1"/>
    <col min="5163" max="5166" width="0" style="3298" hidden="1" customWidth="1"/>
    <col min="5167" max="5376" width="9" style="3298"/>
    <col min="5377" max="5377" width="39.75" style="3298" customWidth="1"/>
    <col min="5378" max="5379" width="0" style="3298" hidden="1" customWidth="1"/>
    <col min="5380" max="5380" width="6.25" style="3298" customWidth="1"/>
    <col min="5381" max="5382" width="0" style="3298" hidden="1" customWidth="1"/>
    <col min="5383" max="5383" width="7.875" style="3298" customWidth="1"/>
    <col min="5384" max="5384" width="0" style="3298" hidden="1" customWidth="1"/>
    <col min="5385" max="5385" width="22.25" style="3298" customWidth="1"/>
    <col min="5386" max="5387" width="13.875" style="3298" customWidth="1"/>
    <col min="5388" max="5388" width="24" style="3298" customWidth="1"/>
    <col min="5389" max="5402" width="0" style="3298" hidden="1" customWidth="1"/>
    <col min="5403" max="5403" width="9" style="3298" customWidth="1"/>
    <col min="5404" max="5405" width="0" style="3298" hidden="1" customWidth="1"/>
    <col min="5406" max="5406" width="17.75" style="3298" customWidth="1"/>
    <col min="5407" max="5409" width="0" style="3298" hidden="1" customWidth="1"/>
    <col min="5410" max="5410" width="10.625" style="3298" customWidth="1"/>
    <col min="5411" max="5411" width="0" style="3298" hidden="1" customWidth="1"/>
    <col min="5412" max="5412" width="16" style="3298" customWidth="1"/>
    <col min="5413" max="5413" width="0" style="3298" hidden="1" customWidth="1"/>
    <col min="5414" max="5414" width="14.375" style="3298" customWidth="1"/>
    <col min="5415" max="5416" width="0" style="3298" hidden="1" customWidth="1"/>
    <col min="5417" max="5417" width="6.25" style="3298" customWidth="1"/>
    <col min="5418" max="5418" width="26.625" style="3298" customWidth="1"/>
    <col min="5419" max="5422" width="0" style="3298" hidden="1" customWidth="1"/>
    <col min="5423" max="5632" width="9" style="3298"/>
    <col min="5633" max="5633" width="39.75" style="3298" customWidth="1"/>
    <col min="5634" max="5635" width="0" style="3298" hidden="1" customWidth="1"/>
    <col min="5636" max="5636" width="6.25" style="3298" customWidth="1"/>
    <col min="5637" max="5638" width="0" style="3298" hidden="1" customWidth="1"/>
    <col min="5639" max="5639" width="7.875" style="3298" customWidth="1"/>
    <col min="5640" max="5640" width="0" style="3298" hidden="1" customWidth="1"/>
    <col min="5641" max="5641" width="22.25" style="3298" customWidth="1"/>
    <col min="5642" max="5643" width="13.875" style="3298" customWidth="1"/>
    <col min="5644" max="5644" width="24" style="3298" customWidth="1"/>
    <col min="5645" max="5658" width="0" style="3298" hidden="1" customWidth="1"/>
    <col min="5659" max="5659" width="9" style="3298" customWidth="1"/>
    <col min="5660" max="5661" width="0" style="3298" hidden="1" customWidth="1"/>
    <col min="5662" max="5662" width="17.75" style="3298" customWidth="1"/>
    <col min="5663" max="5665" width="0" style="3298" hidden="1" customWidth="1"/>
    <col min="5666" max="5666" width="10.625" style="3298" customWidth="1"/>
    <col min="5667" max="5667" width="0" style="3298" hidden="1" customWidth="1"/>
    <col min="5668" max="5668" width="16" style="3298" customWidth="1"/>
    <col min="5669" max="5669" width="0" style="3298" hidden="1" customWidth="1"/>
    <col min="5670" max="5670" width="14.375" style="3298" customWidth="1"/>
    <col min="5671" max="5672" width="0" style="3298" hidden="1" customWidth="1"/>
    <col min="5673" max="5673" width="6.25" style="3298" customWidth="1"/>
    <col min="5674" max="5674" width="26.625" style="3298" customWidth="1"/>
    <col min="5675" max="5678" width="0" style="3298" hidden="1" customWidth="1"/>
    <col min="5679" max="5888" width="9" style="3298"/>
    <col min="5889" max="5889" width="39.75" style="3298" customWidth="1"/>
    <col min="5890" max="5891" width="0" style="3298" hidden="1" customWidth="1"/>
    <col min="5892" max="5892" width="6.25" style="3298" customWidth="1"/>
    <col min="5893" max="5894" width="0" style="3298" hidden="1" customWidth="1"/>
    <col min="5895" max="5895" width="7.875" style="3298" customWidth="1"/>
    <col min="5896" max="5896" width="0" style="3298" hidden="1" customWidth="1"/>
    <col min="5897" max="5897" width="22.25" style="3298" customWidth="1"/>
    <col min="5898" max="5899" width="13.875" style="3298" customWidth="1"/>
    <col min="5900" max="5900" width="24" style="3298" customWidth="1"/>
    <col min="5901" max="5914" width="0" style="3298" hidden="1" customWidth="1"/>
    <col min="5915" max="5915" width="9" style="3298" customWidth="1"/>
    <col min="5916" max="5917" width="0" style="3298" hidden="1" customWidth="1"/>
    <col min="5918" max="5918" width="17.75" style="3298" customWidth="1"/>
    <col min="5919" max="5921" width="0" style="3298" hidden="1" customWidth="1"/>
    <col min="5922" max="5922" width="10.625" style="3298" customWidth="1"/>
    <col min="5923" max="5923" width="0" style="3298" hidden="1" customWidth="1"/>
    <col min="5924" max="5924" width="16" style="3298" customWidth="1"/>
    <col min="5925" max="5925" width="0" style="3298" hidden="1" customWidth="1"/>
    <col min="5926" max="5926" width="14.375" style="3298" customWidth="1"/>
    <col min="5927" max="5928" width="0" style="3298" hidden="1" customWidth="1"/>
    <col min="5929" max="5929" width="6.25" style="3298" customWidth="1"/>
    <col min="5930" max="5930" width="26.625" style="3298" customWidth="1"/>
    <col min="5931" max="5934" width="0" style="3298" hidden="1" customWidth="1"/>
    <col min="5935" max="6144" width="9" style="3298"/>
    <col min="6145" max="6145" width="39.75" style="3298" customWidth="1"/>
    <col min="6146" max="6147" width="0" style="3298" hidden="1" customWidth="1"/>
    <col min="6148" max="6148" width="6.25" style="3298" customWidth="1"/>
    <col min="6149" max="6150" width="0" style="3298" hidden="1" customWidth="1"/>
    <col min="6151" max="6151" width="7.875" style="3298" customWidth="1"/>
    <col min="6152" max="6152" width="0" style="3298" hidden="1" customWidth="1"/>
    <col min="6153" max="6153" width="22.25" style="3298" customWidth="1"/>
    <col min="6154" max="6155" width="13.875" style="3298" customWidth="1"/>
    <col min="6156" max="6156" width="24" style="3298" customWidth="1"/>
    <col min="6157" max="6170" width="0" style="3298" hidden="1" customWidth="1"/>
    <col min="6171" max="6171" width="9" style="3298" customWidth="1"/>
    <col min="6172" max="6173" width="0" style="3298" hidden="1" customWidth="1"/>
    <col min="6174" max="6174" width="17.75" style="3298" customWidth="1"/>
    <col min="6175" max="6177" width="0" style="3298" hidden="1" customWidth="1"/>
    <col min="6178" max="6178" width="10.625" style="3298" customWidth="1"/>
    <col min="6179" max="6179" width="0" style="3298" hidden="1" customWidth="1"/>
    <col min="6180" max="6180" width="16" style="3298" customWidth="1"/>
    <col min="6181" max="6181" width="0" style="3298" hidden="1" customWidth="1"/>
    <col min="6182" max="6182" width="14.375" style="3298" customWidth="1"/>
    <col min="6183" max="6184" width="0" style="3298" hidden="1" customWidth="1"/>
    <col min="6185" max="6185" width="6.25" style="3298" customWidth="1"/>
    <col min="6186" max="6186" width="26.625" style="3298" customWidth="1"/>
    <col min="6187" max="6190" width="0" style="3298" hidden="1" customWidth="1"/>
    <col min="6191" max="6400" width="9" style="3298"/>
    <col min="6401" max="6401" width="39.75" style="3298" customWidth="1"/>
    <col min="6402" max="6403" width="0" style="3298" hidden="1" customWidth="1"/>
    <col min="6404" max="6404" width="6.25" style="3298" customWidth="1"/>
    <col min="6405" max="6406" width="0" style="3298" hidden="1" customWidth="1"/>
    <col min="6407" max="6407" width="7.875" style="3298" customWidth="1"/>
    <col min="6408" max="6408" width="0" style="3298" hidden="1" customWidth="1"/>
    <col min="6409" max="6409" width="22.25" style="3298" customWidth="1"/>
    <col min="6410" max="6411" width="13.875" style="3298" customWidth="1"/>
    <col min="6412" max="6412" width="24" style="3298" customWidth="1"/>
    <col min="6413" max="6426" width="0" style="3298" hidden="1" customWidth="1"/>
    <col min="6427" max="6427" width="9" style="3298" customWidth="1"/>
    <col min="6428" max="6429" width="0" style="3298" hidden="1" customWidth="1"/>
    <col min="6430" max="6430" width="17.75" style="3298" customWidth="1"/>
    <col min="6431" max="6433" width="0" style="3298" hidden="1" customWidth="1"/>
    <col min="6434" max="6434" width="10.625" style="3298" customWidth="1"/>
    <col min="6435" max="6435" width="0" style="3298" hidden="1" customWidth="1"/>
    <col min="6436" max="6436" width="16" style="3298" customWidth="1"/>
    <col min="6437" max="6437" width="0" style="3298" hidden="1" customWidth="1"/>
    <col min="6438" max="6438" width="14.375" style="3298" customWidth="1"/>
    <col min="6439" max="6440" width="0" style="3298" hidden="1" customWidth="1"/>
    <col min="6441" max="6441" width="6.25" style="3298" customWidth="1"/>
    <col min="6442" max="6442" width="26.625" style="3298" customWidth="1"/>
    <col min="6443" max="6446" width="0" style="3298" hidden="1" customWidth="1"/>
    <col min="6447" max="6656" width="9" style="3298"/>
    <col min="6657" max="6657" width="39.75" style="3298" customWidth="1"/>
    <col min="6658" max="6659" width="0" style="3298" hidden="1" customWidth="1"/>
    <col min="6660" max="6660" width="6.25" style="3298" customWidth="1"/>
    <col min="6661" max="6662" width="0" style="3298" hidden="1" customWidth="1"/>
    <col min="6663" max="6663" width="7.875" style="3298" customWidth="1"/>
    <col min="6664" max="6664" width="0" style="3298" hidden="1" customWidth="1"/>
    <col min="6665" max="6665" width="22.25" style="3298" customWidth="1"/>
    <col min="6666" max="6667" width="13.875" style="3298" customWidth="1"/>
    <col min="6668" max="6668" width="24" style="3298" customWidth="1"/>
    <col min="6669" max="6682" width="0" style="3298" hidden="1" customWidth="1"/>
    <col min="6683" max="6683" width="9" style="3298" customWidth="1"/>
    <col min="6684" max="6685" width="0" style="3298" hidden="1" customWidth="1"/>
    <col min="6686" max="6686" width="17.75" style="3298" customWidth="1"/>
    <col min="6687" max="6689" width="0" style="3298" hidden="1" customWidth="1"/>
    <col min="6690" max="6690" width="10.625" style="3298" customWidth="1"/>
    <col min="6691" max="6691" width="0" style="3298" hidden="1" customWidth="1"/>
    <col min="6692" max="6692" width="16" style="3298" customWidth="1"/>
    <col min="6693" max="6693" width="0" style="3298" hidden="1" customWidth="1"/>
    <col min="6694" max="6694" width="14.375" style="3298" customWidth="1"/>
    <col min="6695" max="6696" width="0" style="3298" hidden="1" customWidth="1"/>
    <col min="6697" max="6697" width="6.25" style="3298" customWidth="1"/>
    <col min="6698" max="6698" width="26.625" style="3298" customWidth="1"/>
    <col min="6699" max="6702" width="0" style="3298" hidden="1" customWidth="1"/>
    <col min="6703" max="6912" width="9" style="3298"/>
    <col min="6913" max="6913" width="39.75" style="3298" customWidth="1"/>
    <col min="6914" max="6915" width="0" style="3298" hidden="1" customWidth="1"/>
    <col min="6916" max="6916" width="6.25" style="3298" customWidth="1"/>
    <col min="6917" max="6918" width="0" style="3298" hidden="1" customWidth="1"/>
    <col min="6919" max="6919" width="7.875" style="3298" customWidth="1"/>
    <col min="6920" max="6920" width="0" style="3298" hidden="1" customWidth="1"/>
    <col min="6921" max="6921" width="22.25" style="3298" customWidth="1"/>
    <col min="6922" max="6923" width="13.875" style="3298" customWidth="1"/>
    <col min="6924" max="6924" width="24" style="3298" customWidth="1"/>
    <col min="6925" max="6938" width="0" style="3298" hidden="1" customWidth="1"/>
    <col min="6939" max="6939" width="9" style="3298" customWidth="1"/>
    <col min="6940" max="6941" width="0" style="3298" hidden="1" customWidth="1"/>
    <col min="6942" max="6942" width="17.75" style="3298" customWidth="1"/>
    <col min="6943" max="6945" width="0" style="3298" hidden="1" customWidth="1"/>
    <col min="6946" max="6946" width="10.625" style="3298" customWidth="1"/>
    <col min="6947" max="6947" width="0" style="3298" hidden="1" customWidth="1"/>
    <col min="6948" max="6948" width="16" style="3298" customWidth="1"/>
    <col min="6949" max="6949" width="0" style="3298" hidden="1" customWidth="1"/>
    <col min="6950" max="6950" width="14.375" style="3298" customWidth="1"/>
    <col min="6951" max="6952" width="0" style="3298" hidden="1" customWidth="1"/>
    <col min="6953" max="6953" width="6.25" style="3298" customWidth="1"/>
    <col min="6954" max="6954" width="26.625" style="3298" customWidth="1"/>
    <col min="6955" max="6958" width="0" style="3298" hidden="1" customWidth="1"/>
    <col min="6959" max="7168" width="9" style="3298"/>
    <col min="7169" max="7169" width="39.75" style="3298" customWidth="1"/>
    <col min="7170" max="7171" width="0" style="3298" hidden="1" customWidth="1"/>
    <col min="7172" max="7172" width="6.25" style="3298" customWidth="1"/>
    <col min="7173" max="7174" width="0" style="3298" hidden="1" customWidth="1"/>
    <col min="7175" max="7175" width="7.875" style="3298" customWidth="1"/>
    <col min="7176" max="7176" width="0" style="3298" hidden="1" customWidth="1"/>
    <col min="7177" max="7177" width="22.25" style="3298" customWidth="1"/>
    <col min="7178" max="7179" width="13.875" style="3298" customWidth="1"/>
    <col min="7180" max="7180" width="24" style="3298" customWidth="1"/>
    <col min="7181" max="7194" width="0" style="3298" hidden="1" customWidth="1"/>
    <col min="7195" max="7195" width="9" style="3298" customWidth="1"/>
    <col min="7196" max="7197" width="0" style="3298" hidden="1" customWidth="1"/>
    <col min="7198" max="7198" width="17.75" style="3298" customWidth="1"/>
    <col min="7199" max="7201" width="0" style="3298" hidden="1" customWidth="1"/>
    <col min="7202" max="7202" width="10.625" style="3298" customWidth="1"/>
    <col min="7203" max="7203" width="0" style="3298" hidden="1" customWidth="1"/>
    <col min="7204" max="7204" width="16" style="3298" customWidth="1"/>
    <col min="7205" max="7205" width="0" style="3298" hidden="1" customWidth="1"/>
    <col min="7206" max="7206" width="14.375" style="3298" customWidth="1"/>
    <col min="7207" max="7208" width="0" style="3298" hidden="1" customWidth="1"/>
    <col min="7209" max="7209" width="6.25" style="3298" customWidth="1"/>
    <col min="7210" max="7210" width="26.625" style="3298" customWidth="1"/>
    <col min="7211" max="7214" width="0" style="3298" hidden="1" customWidth="1"/>
    <col min="7215" max="7424" width="9" style="3298"/>
    <col min="7425" max="7425" width="39.75" style="3298" customWidth="1"/>
    <col min="7426" max="7427" width="0" style="3298" hidden="1" customWidth="1"/>
    <col min="7428" max="7428" width="6.25" style="3298" customWidth="1"/>
    <col min="7429" max="7430" width="0" style="3298" hidden="1" customWidth="1"/>
    <col min="7431" max="7431" width="7.875" style="3298" customWidth="1"/>
    <col min="7432" max="7432" width="0" style="3298" hidden="1" customWidth="1"/>
    <col min="7433" max="7433" width="22.25" style="3298" customWidth="1"/>
    <col min="7434" max="7435" width="13.875" style="3298" customWidth="1"/>
    <col min="7436" max="7436" width="24" style="3298" customWidth="1"/>
    <col min="7437" max="7450" width="0" style="3298" hidden="1" customWidth="1"/>
    <col min="7451" max="7451" width="9" style="3298" customWidth="1"/>
    <col min="7452" max="7453" width="0" style="3298" hidden="1" customWidth="1"/>
    <col min="7454" max="7454" width="17.75" style="3298" customWidth="1"/>
    <col min="7455" max="7457" width="0" style="3298" hidden="1" customWidth="1"/>
    <col min="7458" max="7458" width="10.625" style="3298" customWidth="1"/>
    <col min="7459" max="7459" width="0" style="3298" hidden="1" customWidth="1"/>
    <col min="7460" max="7460" width="16" style="3298" customWidth="1"/>
    <col min="7461" max="7461" width="0" style="3298" hidden="1" customWidth="1"/>
    <col min="7462" max="7462" width="14.375" style="3298" customWidth="1"/>
    <col min="7463" max="7464" width="0" style="3298" hidden="1" customWidth="1"/>
    <col min="7465" max="7465" width="6.25" style="3298" customWidth="1"/>
    <col min="7466" max="7466" width="26.625" style="3298" customWidth="1"/>
    <col min="7467" max="7470" width="0" style="3298" hidden="1" customWidth="1"/>
    <col min="7471" max="7680" width="9" style="3298"/>
    <col min="7681" max="7681" width="39.75" style="3298" customWidth="1"/>
    <col min="7682" max="7683" width="0" style="3298" hidden="1" customWidth="1"/>
    <col min="7684" max="7684" width="6.25" style="3298" customWidth="1"/>
    <col min="7685" max="7686" width="0" style="3298" hidden="1" customWidth="1"/>
    <col min="7687" max="7687" width="7.875" style="3298" customWidth="1"/>
    <col min="7688" max="7688" width="0" style="3298" hidden="1" customWidth="1"/>
    <col min="7689" max="7689" width="22.25" style="3298" customWidth="1"/>
    <col min="7690" max="7691" width="13.875" style="3298" customWidth="1"/>
    <col min="7692" max="7692" width="24" style="3298" customWidth="1"/>
    <col min="7693" max="7706" width="0" style="3298" hidden="1" customWidth="1"/>
    <col min="7707" max="7707" width="9" style="3298" customWidth="1"/>
    <col min="7708" max="7709" width="0" style="3298" hidden="1" customWidth="1"/>
    <col min="7710" max="7710" width="17.75" style="3298" customWidth="1"/>
    <col min="7711" max="7713" width="0" style="3298" hidden="1" customWidth="1"/>
    <col min="7714" max="7714" width="10.625" style="3298" customWidth="1"/>
    <col min="7715" max="7715" width="0" style="3298" hidden="1" customWidth="1"/>
    <col min="7716" max="7716" width="16" style="3298" customWidth="1"/>
    <col min="7717" max="7717" width="0" style="3298" hidden="1" customWidth="1"/>
    <col min="7718" max="7718" width="14.375" style="3298" customWidth="1"/>
    <col min="7719" max="7720" width="0" style="3298" hidden="1" customWidth="1"/>
    <col min="7721" max="7721" width="6.25" style="3298" customWidth="1"/>
    <col min="7722" max="7722" width="26.625" style="3298" customWidth="1"/>
    <col min="7723" max="7726" width="0" style="3298" hidden="1" customWidth="1"/>
    <col min="7727" max="7936" width="9" style="3298"/>
    <col min="7937" max="7937" width="39.75" style="3298" customWidth="1"/>
    <col min="7938" max="7939" width="0" style="3298" hidden="1" customWidth="1"/>
    <col min="7940" max="7940" width="6.25" style="3298" customWidth="1"/>
    <col min="7941" max="7942" width="0" style="3298" hidden="1" customWidth="1"/>
    <col min="7943" max="7943" width="7.875" style="3298" customWidth="1"/>
    <col min="7944" max="7944" width="0" style="3298" hidden="1" customWidth="1"/>
    <col min="7945" max="7945" width="22.25" style="3298" customWidth="1"/>
    <col min="7946" max="7947" width="13.875" style="3298" customWidth="1"/>
    <col min="7948" max="7948" width="24" style="3298" customWidth="1"/>
    <col min="7949" max="7962" width="0" style="3298" hidden="1" customWidth="1"/>
    <col min="7963" max="7963" width="9" style="3298" customWidth="1"/>
    <col min="7964" max="7965" width="0" style="3298" hidden="1" customWidth="1"/>
    <col min="7966" max="7966" width="17.75" style="3298" customWidth="1"/>
    <col min="7967" max="7969" width="0" style="3298" hidden="1" customWidth="1"/>
    <col min="7970" max="7970" width="10.625" style="3298" customWidth="1"/>
    <col min="7971" max="7971" width="0" style="3298" hidden="1" customWidth="1"/>
    <col min="7972" max="7972" width="16" style="3298" customWidth="1"/>
    <col min="7973" max="7973" width="0" style="3298" hidden="1" customWidth="1"/>
    <col min="7974" max="7974" width="14.375" style="3298" customWidth="1"/>
    <col min="7975" max="7976" width="0" style="3298" hidden="1" customWidth="1"/>
    <col min="7977" max="7977" width="6.25" style="3298" customWidth="1"/>
    <col min="7978" max="7978" width="26.625" style="3298" customWidth="1"/>
    <col min="7979" max="7982" width="0" style="3298" hidden="1" customWidth="1"/>
    <col min="7983" max="8192" width="9" style="3298"/>
    <col min="8193" max="8193" width="39.75" style="3298" customWidth="1"/>
    <col min="8194" max="8195" width="0" style="3298" hidden="1" customWidth="1"/>
    <col min="8196" max="8196" width="6.25" style="3298" customWidth="1"/>
    <col min="8197" max="8198" width="0" style="3298" hidden="1" customWidth="1"/>
    <col min="8199" max="8199" width="7.875" style="3298" customWidth="1"/>
    <col min="8200" max="8200" width="0" style="3298" hidden="1" customWidth="1"/>
    <col min="8201" max="8201" width="22.25" style="3298" customWidth="1"/>
    <col min="8202" max="8203" width="13.875" style="3298" customWidth="1"/>
    <col min="8204" max="8204" width="24" style="3298" customWidth="1"/>
    <col min="8205" max="8218" width="0" style="3298" hidden="1" customWidth="1"/>
    <col min="8219" max="8219" width="9" style="3298" customWidth="1"/>
    <col min="8220" max="8221" width="0" style="3298" hidden="1" customWidth="1"/>
    <col min="8222" max="8222" width="17.75" style="3298" customWidth="1"/>
    <col min="8223" max="8225" width="0" style="3298" hidden="1" customWidth="1"/>
    <col min="8226" max="8226" width="10.625" style="3298" customWidth="1"/>
    <col min="8227" max="8227" width="0" style="3298" hidden="1" customWidth="1"/>
    <col min="8228" max="8228" width="16" style="3298" customWidth="1"/>
    <col min="8229" max="8229" width="0" style="3298" hidden="1" customWidth="1"/>
    <col min="8230" max="8230" width="14.375" style="3298" customWidth="1"/>
    <col min="8231" max="8232" width="0" style="3298" hidden="1" customWidth="1"/>
    <col min="8233" max="8233" width="6.25" style="3298" customWidth="1"/>
    <col min="8234" max="8234" width="26.625" style="3298" customWidth="1"/>
    <col min="8235" max="8238" width="0" style="3298" hidden="1" customWidth="1"/>
    <col min="8239" max="8448" width="9" style="3298"/>
    <col min="8449" max="8449" width="39.75" style="3298" customWidth="1"/>
    <col min="8450" max="8451" width="0" style="3298" hidden="1" customWidth="1"/>
    <col min="8452" max="8452" width="6.25" style="3298" customWidth="1"/>
    <col min="8453" max="8454" width="0" style="3298" hidden="1" customWidth="1"/>
    <col min="8455" max="8455" width="7.875" style="3298" customWidth="1"/>
    <col min="8456" max="8456" width="0" style="3298" hidden="1" customWidth="1"/>
    <col min="8457" max="8457" width="22.25" style="3298" customWidth="1"/>
    <col min="8458" max="8459" width="13.875" style="3298" customWidth="1"/>
    <col min="8460" max="8460" width="24" style="3298" customWidth="1"/>
    <col min="8461" max="8474" width="0" style="3298" hidden="1" customWidth="1"/>
    <col min="8475" max="8475" width="9" style="3298" customWidth="1"/>
    <col min="8476" max="8477" width="0" style="3298" hidden="1" customWidth="1"/>
    <col min="8478" max="8478" width="17.75" style="3298" customWidth="1"/>
    <col min="8479" max="8481" width="0" style="3298" hidden="1" customWidth="1"/>
    <col min="8482" max="8482" width="10.625" style="3298" customWidth="1"/>
    <col min="8483" max="8483" width="0" style="3298" hidden="1" customWidth="1"/>
    <col min="8484" max="8484" width="16" style="3298" customWidth="1"/>
    <col min="8485" max="8485" width="0" style="3298" hidden="1" customWidth="1"/>
    <col min="8486" max="8486" width="14.375" style="3298" customWidth="1"/>
    <col min="8487" max="8488" width="0" style="3298" hidden="1" customWidth="1"/>
    <col min="8489" max="8489" width="6.25" style="3298" customWidth="1"/>
    <col min="8490" max="8490" width="26.625" style="3298" customWidth="1"/>
    <col min="8491" max="8494" width="0" style="3298" hidden="1" customWidth="1"/>
    <col min="8495" max="8704" width="9" style="3298"/>
    <col min="8705" max="8705" width="39.75" style="3298" customWidth="1"/>
    <col min="8706" max="8707" width="0" style="3298" hidden="1" customWidth="1"/>
    <col min="8708" max="8708" width="6.25" style="3298" customWidth="1"/>
    <col min="8709" max="8710" width="0" style="3298" hidden="1" customWidth="1"/>
    <col min="8711" max="8711" width="7.875" style="3298" customWidth="1"/>
    <col min="8712" max="8712" width="0" style="3298" hidden="1" customWidth="1"/>
    <col min="8713" max="8713" width="22.25" style="3298" customWidth="1"/>
    <col min="8714" max="8715" width="13.875" style="3298" customWidth="1"/>
    <col min="8716" max="8716" width="24" style="3298" customWidth="1"/>
    <col min="8717" max="8730" width="0" style="3298" hidden="1" customWidth="1"/>
    <col min="8731" max="8731" width="9" style="3298" customWidth="1"/>
    <col min="8732" max="8733" width="0" style="3298" hidden="1" customWidth="1"/>
    <col min="8734" max="8734" width="17.75" style="3298" customWidth="1"/>
    <col min="8735" max="8737" width="0" style="3298" hidden="1" customWidth="1"/>
    <col min="8738" max="8738" width="10.625" style="3298" customWidth="1"/>
    <col min="8739" max="8739" width="0" style="3298" hidden="1" customWidth="1"/>
    <col min="8740" max="8740" width="16" style="3298" customWidth="1"/>
    <col min="8741" max="8741" width="0" style="3298" hidden="1" customWidth="1"/>
    <col min="8742" max="8742" width="14.375" style="3298" customWidth="1"/>
    <col min="8743" max="8744" width="0" style="3298" hidden="1" customWidth="1"/>
    <col min="8745" max="8745" width="6.25" style="3298" customWidth="1"/>
    <col min="8746" max="8746" width="26.625" style="3298" customWidth="1"/>
    <col min="8747" max="8750" width="0" style="3298" hidden="1" customWidth="1"/>
    <col min="8751" max="8960" width="9" style="3298"/>
    <col min="8961" max="8961" width="39.75" style="3298" customWidth="1"/>
    <col min="8962" max="8963" width="0" style="3298" hidden="1" customWidth="1"/>
    <col min="8964" max="8964" width="6.25" style="3298" customWidth="1"/>
    <col min="8965" max="8966" width="0" style="3298" hidden="1" customWidth="1"/>
    <col min="8967" max="8967" width="7.875" style="3298" customWidth="1"/>
    <col min="8968" max="8968" width="0" style="3298" hidden="1" customWidth="1"/>
    <col min="8969" max="8969" width="22.25" style="3298" customWidth="1"/>
    <col min="8970" max="8971" width="13.875" style="3298" customWidth="1"/>
    <col min="8972" max="8972" width="24" style="3298" customWidth="1"/>
    <col min="8973" max="8986" width="0" style="3298" hidden="1" customWidth="1"/>
    <col min="8987" max="8987" width="9" style="3298" customWidth="1"/>
    <col min="8988" max="8989" width="0" style="3298" hidden="1" customWidth="1"/>
    <col min="8990" max="8990" width="17.75" style="3298" customWidth="1"/>
    <col min="8991" max="8993" width="0" style="3298" hidden="1" customWidth="1"/>
    <col min="8994" max="8994" width="10.625" style="3298" customWidth="1"/>
    <col min="8995" max="8995" width="0" style="3298" hidden="1" customWidth="1"/>
    <col min="8996" max="8996" width="16" style="3298" customWidth="1"/>
    <col min="8997" max="8997" width="0" style="3298" hidden="1" customWidth="1"/>
    <col min="8998" max="8998" width="14.375" style="3298" customWidth="1"/>
    <col min="8999" max="9000" width="0" style="3298" hidden="1" customWidth="1"/>
    <col min="9001" max="9001" width="6.25" style="3298" customWidth="1"/>
    <col min="9002" max="9002" width="26.625" style="3298" customWidth="1"/>
    <col min="9003" max="9006" width="0" style="3298" hidden="1" customWidth="1"/>
    <col min="9007" max="9216" width="9" style="3298"/>
    <col min="9217" max="9217" width="39.75" style="3298" customWidth="1"/>
    <col min="9218" max="9219" width="0" style="3298" hidden="1" customWidth="1"/>
    <col min="9220" max="9220" width="6.25" style="3298" customWidth="1"/>
    <col min="9221" max="9222" width="0" style="3298" hidden="1" customWidth="1"/>
    <col min="9223" max="9223" width="7.875" style="3298" customWidth="1"/>
    <col min="9224" max="9224" width="0" style="3298" hidden="1" customWidth="1"/>
    <col min="9225" max="9225" width="22.25" style="3298" customWidth="1"/>
    <col min="9226" max="9227" width="13.875" style="3298" customWidth="1"/>
    <col min="9228" max="9228" width="24" style="3298" customWidth="1"/>
    <col min="9229" max="9242" width="0" style="3298" hidden="1" customWidth="1"/>
    <col min="9243" max="9243" width="9" style="3298" customWidth="1"/>
    <col min="9244" max="9245" width="0" style="3298" hidden="1" customWidth="1"/>
    <col min="9246" max="9246" width="17.75" style="3298" customWidth="1"/>
    <col min="9247" max="9249" width="0" style="3298" hidden="1" customWidth="1"/>
    <col min="9250" max="9250" width="10.625" style="3298" customWidth="1"/>
    <col min="9251" max="9251" width="0" style="3298" hidden="1" customWidth="1"/>
    <col min="9252" max="9252" width="16" style="3298" customWidth="1"/>
    <col min="9253" max="9253" width="0" style="3298" hidden="1" customWidth="1"/>
    <col min="9254" max="9254" width="14.375" style="3298" customWidth="1"/>
    <col min="9255" max="9256" width="0" style="3298" hidden="1" customWidth="1"/>
    <col min="9257" max="9257" width="6.25" style="3298" customWidth="1"/>
    <col min="9258" max="9258" width="26.625" style="3298" customWidth="1"/>
    <col min="9259" max="9262" width="0" style="3298" hidden="1" customWidth="1"/>
    <col min="9263" max="9472" width="9" style="3298"/>
    <col min="9473" max="9473" width="39.75" style="3298" customWidth="1"/>
    <col min="9474" max="9475" width="0" style="3298" hidden="1" customWidth="1"/>
    <col min="9476" max="9476" width="6.25" style="3298" customWidth="1"/>
    <col min="9477" max="9478" width="0" style="3298" hidden="1" customWidth="1"/>
    <col min="9479" max="9479" width="7.875" style="3298" customWidth="1"/>
    <col min="9480" max="9480" width="0" style="3298" hidden="1" customWidth="1"/>
    <col min="9481" max="9481" width="22.25" style="3298" customWidth="1"/>
    <col min="9482" max="9483" width="13.875" style="3298" customWidth="1"/>
    <col min="9484" max="9484" width="24" style="3298" customWidth="1"/>
    <col min="9485" max="9498" width="0" style="3298" hidden="1" customWidth="1"/>
    <col min="9499" max="9499" width="9" style="3298" customWidth="1"/>
    <col min="9500" max="9501" width="0" style="3298" hidden="1" customWidth="1"/>
    <col min="9502" max="9502" width="17.75" style="3298" customWidth="1"/>
    <col min="9503" max="9505" width="0" style="3298" hidden="1" customWidth="1"/>
    <col min="9506" max="9506" width="10.625" style="3298" customWidth="1"/>
    <col min="9507" max="9507" width="0" style="3298" hidden="1" customWidth="1"/>
    <col min="9508" max="9508" width="16" style="3298" customWidth="1"/>
    <col min="9509" max="9509" width="0" style="3298" hidden="1" customWidth="1"/>
    <col min="9510" max="9510" width="14.375" style="3298" customWidth="1"/>
    <col min="9511" max="9512" width="0" style="3298" hidden="1" customWidth="1"/>
    <col min="9513" max="9513" width="6.25" style="3298" customWidth="1"/>
    <col min="9514" max="9514" width="26.625" style="3298" customWidth="1"/>
    <col min="9515" max="9518" width="0" style="3298" hidden="1" customWidth="1"/>
    <col min="9519" max="9728" width="9" style="3298"/>
    <col min="9729" max="9729" width="39.75" style="3298" customWidth="1"/>
    <col min="9730" max="9731" width="0" style="3298" hidden="1" customWidth="1"/>
    <col min="9732" max="9732" width="6.25" style="3298" customWidth="1"/>
    <col min="9733" max="9734" width="0" style="3298" hidden="1" customWidth="1"/>
    <col min="9735" max="9735" width="7.875" style="3298" customWidth="1"/>
    <col min="9736" max="9736" width="0" style="3298" hidden="1" customWidth="1"/>
    <col min="9737" max="9737" width="22.25" style="3298" customWidth="1"/>
    <col min="9738" max="9739" width="13.875" style="3298" customWidth="1"/>
    <col min="9740" max="9740" width="24" style="3298" customWidth="1"/>
    <col min="9741" max="9754" width="0" style="3298" hidden="1" customWidth="1"/>
    <col min="9755" max="9755" width="9" style="3298" customWidth="1"/>
    <col min="9756" max="9757" width="0" style="3298" hidden="1" customWidth="1"/>
    <col min="9758" max="9758" width="17.75" style="3298" customWidth="1"/>
    <col min="9759" max="9761" width="0" style="3298" hidden="1" customWidth="1"/>
    <col min="9762" max="9762" width="10.625" style="3298" customWidth="1"/>
    <col min="9763" max="9763" width="0" style="3298" hidden="1" customWidth="1"/>
    <col min="9764" max="9764" width="16" style="3298" customWidth="1"/>
    <col min="9765" max="9765" width="0" style="3298" hidden="1" customWidth="1"/>
    <col min="9766" max="9766" width="14.375" style="3298" customWidth="1"/>
    <col min="9767" max="9768" width="0" style="3298" hidden="1" customWidth="1"/>
    <col min="9769" max="9769" width="6.25" style="3298" customWidth="1"/>
    <col min="9770" max="9770" width="26.625" style="3298" customWidth="1"/>
    <col min="9771" max="9774" width="0" style="3298" hidden="1" customWidth="1"/>
    <col min="9775" max="9984" width="9" style="3298"/>
    <col min="9985" max="9985" width="39.75" style="3298" customWidth="1"/>
    <col min="9986" max="9987" width="0" style="3298" hidden="1" customWidth="1"/>
    <col min="9988" max="9988" width="6.25" style="3298" customWidth="1"/>
    <col min="9989" max="9990" width="0" style="3298" hidden="1" customWidth="1"/>
    <col min="9991" max="9991" width="7.875" style="3298" customWidth="1"/>
    <col min="9992" max="9992" width="0" style="3298" hidden="1" customWidth="1"/>
    <col min="9993" max="9993" width="22.25" style="3298" customWidth="1"/>
    <col min="9994" max="9995" width="13.875" style="3298" customWidth="1"/>
    <col min="9996" max="9996" width="24" style="3298" customWidth="1"/>
    <col min="9997" max="10010" width="0" style="3298" hidden="1" customWidth="1"/>
    <col min="10011" max="10011" width="9" style="3298" customWidth="1"/>
    <col min="10012" max="10013" width="0" style="3298" hidden="1" customWidth="1"/>
    <col min="10014" max="10014" width="17.75" style="3298" customWidth="1"/>
    <col min="10015" max="10017" width="0" style="3298" hidden="1" customWidth="1"/>
    <col min="10018" max="10018" width="10.625" style="3298" customWidth="1"/>
    <col min="10019" max="10019" width="0" style="3298" hidden="1" customWidth="1"/>
    <col min="10020" max="10020" width="16" style="3298" customWidth="1"/>
    <col min="10021" max="10021" width="0" style="3298" hidden="1" customWidth="1"/>
    <col min="10022" max="10022" width="14.375" style="3298" customWidth="1"/>
    <col min="10023" max="10024" width="0" style="3298" hidden="1" customWidth="1"/>
    <col min="10025" max="10025" width="6.25" style="3298" customWidth="1"/>
    <col min="10026" max="10026" width="26.625" style="3298" customWidth="1"/>
    <col min="10027" max="10030" width="0" style="3298" hidden="1" customWidth="1"/>
    <col min="10031" max="10240" width="9" style="3298"/>
    <col min="10241" max="10241" width="39.75" style="3298" customWidth="1"/>
    <col min="10242" max="10243" width="0" style="3298" hidden="1" customWidth="1"/>
    <col min="10244" max="10244" width="6.25" style="3298" customWidth="1"/>
    <col min="10245" max="10246" width="0" style="3298" hidden="1" customWidth="1"/>
    <col min="10247" max="10247" width="7.875" style="3298" customWidth="1"/>
    <col min="10248" max="10248" width="0" style="3298" hidden="1" customWidth="1"/>
    <col min="10249" max="10249" width="22.25" style="3298" customWidth="1"/>
    <col min="10250" max="10251" width="13.875" style="3298" customWidth="1"/>
    <col min="10252" max="10252" width="24" style="3298" customWidth="1"/>
    <col min="10253" max="10266" width="0" style="3298" hidden="1" customWidth="1"/>
    <col min="10267" max="10267" width="9" style="3298" customWidth="1"/>
    <col min="10268" max="10269" width="0" style="3298" hidden="1" customWidth="1"/>
    <col min="10270" max="10270" width="17.75" style="3298" customWidth="1"/>
    <col min="10271" max="10273" width="0" style="3298" hidden="1" customWidth="1"/>
    <col min="10274" max="10274" width="10.625" style="3298" customWidth="1"/>
    <col min="10275" max="10275" width="0" style="3298" hidden="1" customWidth="1"/>
    <col min="10276" max="10276" width="16" style="3298" customWidth="1"/>
    <col min="10277" max="10277" width="0" style="3298" hidden="1" customWidth="1"/>
    <col min="10278" max="10278" width="14.375" style="3298" customWidth="1"/>
    <col min="10279" max="10280" width="0" style="3298" hidden="1" customWidth="1"/>
    <col min="10281" max="10281" width="6.25" style="3298" customWidth="1"/>
    <col min="10282" max="10282" width="26.625" style="3298" customWidth="1"/>
    <col min="10283" max="10286" width="0" style="3298" hidden="1" customWidth="1"/>
    <col min="10287" max="10496" width="9" style="3298"/>
    <col min="10497" max="10497" width="39.75" style="3298" customWidth="1"/>
    <col min="10498" max="10499" width="0" style="3298" hidden="1" customWidth="1"/>
    <col min="10500" max="10500" width="6.25" style="3298" customWidth="1"/>
    <col min="10501" max="10502" width="0" style="3298" hidden="1" customWidth="1"/>
    <col min="10503" max="10503" width="7.875" style="3298" customWidth="1"/>
    <col min="10504" max="10504" width="0" style="3298" hidden="1" customWidth="1"/>
    <col min="10505" max="10505" width="22.25" style="3298" customWidth="1"/>
    <col min="10506" max="10507" width="13.875" style="3298" customWidth="1"/>
    <col min="10508" max="10508" width="24" style="3298" customWidth="1"/>
    <col min="10509" max="10522" width="0" style="3298" hidden="1" customWidth="1"/>
    <col min="10523" max="10523" width="9" style="3298" customWidth="1"/>
    <col min="10524" max="10525" width="0" style="3298" hidden="1" customWidth="1"/>
    <col min="10526" max="10526" width="17.75" style="3298" customWidth="1"/>
    <col min="10527" max="10529" width="0" style="3298" hidden="1" customWidth="1"/>
    <col min="10530" max="10530" width="10.625" style="3298" customWidth="1"/>
    <col min="10531" max="10531" width="0" style="3298" hidden="1" customWidth="1"/>
    <col min="10532" max="10532" width="16" style="3298" customWidth="1"/>
    <col min="10533" max="10533" width="0" style="3298" hidden="1" customWidth="1"/>
    <col min="10534" max="10534" width="14.375" style="3298" customWidth="1"/>
    <col min="10535" max="10536" width="0" style="3298" hidden="1" customWidth="1"/>
    <col min="10537" max="10537" width="6.25" style="3298" customWidth="1"/>
    <col min="10538" max="10538" width="26.625" style="3298" customWidth="1"/>
    <col min="10539" max="10542" width="0" style="3298" hidden="1" customWidth="1"/>
    <col min="10543" max="10752" width="9" style="3298"/>
    <col min="10753" max="10753" width="39.75" style="3298" customWidth="1"/>
    <col min="10754" max="10755" width="0" style="3298" hidden="1" customWidth="1"/>
    <col min="10756" max="10756" width="6.25" style="3298" customWidth="1"/>
    <col min="10757" max="10758" width="0" style="3298" hidden="1" customWidth="1"/>
    <col min="10759" max="10759" width="7.875" style="3298" customWidth="1"/>
    <col min="10760" max="10760" width="0" style="3298" hidden="1" customWidth="1"/>
    <col min="10761" max="10761" width="22.25" style="3298" customWidth="1"/>
    <col min="10762" max="10763" width="13.875" style="3298" customWidth="1"/>
    <col min="10764" max="10764" width="24" style="3298" customWidth="1"/>
    <col min="10765" max="10778" width="0" style="3298" hidden="1" customWidth="1"/>
    <col min="10779" max="10779" width="9" style="3298" customWidth="1"/>
    <col min="10780" max="10781" width="0" style="3298" hidden="1" customWidth="1"/>
    <col min="10782" max="10782" width="17.75" style="3298" customWidth="1"/>
    <col min="10783" max="10785" width="0" style="3298" hidden="1" customWidth="1"/>
    <col min="10786" max="10786" width="10.625" style="3298" customWidth="1"/>
    <col min="10787" max="10787" width="0" style="3298" hidden="1" customWidth="1"/>
    <col min="10788" max="10788" width="16" style="3298" customWidth="1"/>
    <col min="10789" max="10789" width="0" style="3298" hidden="1" customWidth="1"/>
    <col min="10790" max="10790" width="14.375" style="3298" customWidth="1"/>
    <col min="10791" max="10792" width="0" style="3298" hidden="1" customWidth="1"/>
    <col min="10793" max="10793" width="6.25" style="3298" customWidth="1"/>
    <col min="10794" max="10794" width="26.625" style="3298" customWidth="1"/>
    <col min="10795" max="10798" width="0" style="3298" hidden="1" customWidth="1"/>
    <col min="10799" max="11008" width="9" style="3298"/>
    <col min="11009" max="11009" width="39.75" style="3298" customWidth="1"/>
    <col min="11010" max="11011" width="0" style="3298" hidden="1" customWidth="1"/>
    <col min="11012" max="11012" width="6.25" style="3298" customWidth="1"/>
    <col min="11013" max="11014" width="0" style="3298" hidden="1" customWidth="1"/>
    <col min="11015" max="11015" width="7.875" style="3298" customWidth="1"/>
    <col min="11016" max="11016" width="0" style="3298" hidden="1" customWidth="1"/>
    <col min="11017" max="11017" width="22.25" style="3298" customWidth="1"/>
    <col min="11018" max="11019" width="13.875" style="3298" customWidth="1"/>
    <col min="11020" max="11020" width="24" style="3298" customWidth="1"/>
    <col min="11021" max="11034" width="0" style="3298" hidden="1" customWidth="1"/>
    <col min="11035" max="11035" width="9" style="3298" customWidth="1"/>
    <col min="11036" max="11037" width="0" style="3298" hidden="1" customWidth="1"/>
    <col min="11038" max="11038" width="17.75" style="3298" customWidth="1"/>
    <col min="11039" max="11041" width="0" style="3298" hidden="1" customWidth="1"/>
    <col min="11042" max="11042" width="10.625" style="3298" customWidth="1"/>
    <col min="11043" max="11043" width="0" style="3298" hidden="1" customWidth="1"/>
    <col min="11044" max="11044" width="16" style="3298" customWidth="1"/>
    <col min="11045" max="11045" width="0" style="3298" hidden="1" customWidth="1"/>
    <col min="11046" max="11046" width="14.375" style="3298" customWidth="1"/>
    <col min="11047" max="11048" width="0" style="3298" hidden="1" customWidth="1"/>
    <col min="11049" max="11049" width="6.25" style="3298" customWidth="1"/>
    <col min="11050" max="11050" width="26.625" style="3298" customWidth="1"/>
    <col min="11051" max="11054" width="0" style="3298" hidden="1" customWidth="1"/>
    <col min="11055" max="11264" width="9" style="3298"/>
    <col min="11265" max="11265" width="39.75" style="3298" customWidth="1"/>
    <col min="11266" max="11267" width="0" style="3298" hidden="1" customWidth="1"/>
    <col min="11268" max="11268" width="6.25" style="3298" customWidth="1"/>
    <col min="11269" max="11270" width="0" style="3298" hidden="1" customWidth="1"/>
    <col min="11271" max="11271" width="7.875" style="3298" customWidth="1"/>
    <col min="11272" max="11272" width="0" style="3298" hidden="1" customWidth="1"/>
    <col min="11273" max="11273" width="22.25" style="3298" customWidth="1"/>
    <col min="11274" max="11275" width="13.875" style="3298" customWidth="1"/>
    <col min="11276" max="11276" width="24" style="3298" customWidth="1"/>
    <col min="11277" max="11290" width="0" style="3298" hidden="1" customWidth="1"/>
    <col min="11291" max="11291" width="9" style="3298" customWidth="1"/>
    <col min="11292" max="11293" width="0" style="3298" hidden="1" customWidth="1"/>
    <col min="11294" max="11294" width="17.75" style="3298" customWidth="1"/>
    <col min="11295" max="11297" width="0" style="3298" hidden="1" customWidth="1"/>
    <col min="11298" max="11298" width="10.625" style="3298" customWidth="1"/>
    <col min="11299" max="11299" width="0" style="3298" hidden="1" customWidth="1"/>
    <col min="11300" max="11300" width="16" style="3298" customWidth="1"/>
    <col min="11301" max="11301" width="0" style="3298" hidden="1" customWidth="1"/>
    <col min="11302" max="11302" width="14.375" style="3298" customWidth="1"/>
    <col min="11303" max="11304" width="0" style="3298" hidden="1" customWidth="1"/>
    <col min="11305" max="11305" width="6.25" style="3298" customWidth="1"/>
    <col min="11306" max="11306" width="26.625" style="3298" customWidth="1"/>
    <col min="11307" max="11310" width="0" style="3298" hidden="1" customWidth="1"/>
    <col min="11311" max="11520" width="9" style="3298"/>
    <col min="11521" max="11521" width="39.75" style="3298" customWidth="1"/>
    <col min="11522" max="11523" width="0" style="3298" hidden="1" customWidth="1"/>
    <col min="11524" max="11524" width="6.25" style="3298" customWidth="1"/>
    <col min="11525" max="11526" width="0" style="3298" hidden="1" customWidth="1"/>
    <col min="11527" max="11527" width="7.875" style="3298" customWidth="1"/>
    <col min="11528" max="11528" width="0" style="3298" hidden="1" customWidth="1"/>
    <col min="11529" max="11529" width="22.25" style="3298" customWidth="1"/>
    <col min="11530" max="11531" width="13.875" style="3298" customWidth="1"/>
    <col min="11532" max="11532" width="24" style="3298" customWidth="1"/>
    <col min="11533" max="11546" width="0" style="3298" hidden="1" customWidth="1"/>
    <col min="11547" max="11547" width="9" style="3298" customWidth="1"/>
    <col min="11548" max="11549" width="0" style="3298" hidden="1" customWidth="1"/>
    <col min="11550" max="11550" width="17.75" style="3298" customWidth="1"/>
    <col min="11551" max="11553" width="0" style="3298" hidden="1" customWidth="1"/>
    <col min="11554" max="11554" width="10.625" style="3298" customWidth="1"/>
    <col min="11555" max="11555" width="0" style="3298" hidden="1" customWidth="1"/>
    <col min="11556" max="11556" width="16" style="3298" customWidth="1"/>
    <col min="11557" max="11557" width="0" style="3298" hidden="1" customWidth="1"/>
    <col min="11558" max="11558" width="14.375" style="3298" customWidth="1"/>
    <col min="11559" max="11560" width="0" style="3298" hidden="1" customWidth="1"/>
    <col min="11561" max="11561" width="6.25" style="3298" customWidth="1"/>
    <col min="11562" max="11562" width="26.625" style="3298" customWidth="1"/>
    <col min="11563" max="11566" width="0" style="3298" hidden="1" customWidth="1"/>
    <col min="11567" max="11776" width="9" style="3298"/>
    <col min="11777" max="11777" width="39.75" style="3298" customWidth="1"/>
    <col min="11778" max="11779" width="0" style="3298" hidden="1" customWidth="1"/>
    <col min="11780" max="11780" width="6.25" style="3298" customWidth="1"/>
    <col min="11781" max="11782" width="0" style="3298" hidden="1" customWidth="1"/>
    <col min="11783" max="11783" width="7.875" style="3298" customWidth="1"/>
    <col min="11784" max="11784" width="0" style="3298" hidden="1" customWidth="1"/>
    <col min="11785" max="11785" width="22.25" style="3298" customWidth="1"/>
    <col min="11786" max="11787" width="13.875" style="3298" customWidth="1"/>
    <col min="11788" max="11788" width="24" style="3298" customWidth="1"/>
    <col min="11789" max="11802" width="0" style="3298" hidden="1" customWidth="1"/>
    <col min="11803" max="11803" width="9" style="3298" customWidth="1"/>
    <col min="11804" max="11805" width="0" style="3298" hidden="1" customWidth="1"/>
    <col min="11806" max="11806" width="17.75" style="3298" customWidth="1"/>
    <col min="11807" max="11809" width="0" style="3298" hidden="1" customWidth="1"/>
    <col min="11810" max="11810" width="10.625" style="3298" customWidth="1"/>
    <col min="11811" max="11811" width="0" style="3298" hidden="1" customWidth="1"/>
    <col min="11812" max="11812" width="16" style="3298" customWidth="1"/>
    <col min="11813" max="11813" width="0" style="3298" hidden="1" customWidth="1"/>
    <col min="11814" max="11814" width="14.375" style="3298" customWidth="1"/>
    <col min="11815" max="11816" width="0" style="3298" hidden="1" customWidth="1"/>
    <col min="11817" max="11817" width="6.25" style="3298" customWidth="1"/>
    <col min="11818" max="11818" width="26.625" style="3298" customWidth="1"/>
    <col min="11819" max="11822" width="0" style="3298" hidden="1" customWidth="1"/>
    <col min="11823" max="12032" width="9" style="3298"/>
    <col min="12033" max="12033" width="39.75" style="3298" customWidth="1"/>
    <col min="12034" max="12035" width="0" style="3298" hidden="1" customWidth="1"/>
    <col min="12036" max="12036" width="6.25" style="3298" customWidth="1"/>
    <col min="12037" max="12038" width="0" style="3298" hidden="1" customWidth="1"/>
    <col min="12039" max="12039" width="7.875" style="3298" customWidth="1"/>
    <col min="12040" max="12040" width="0" style="3298" hidden="1" customWidth="1"/>
    <col min="12041" max="12041" width="22.25" style="3298" customWidth="1"/>
    <col min="12042" max="12043" width="13.875" style="3298" customWidth="1"/>
    <col min="12044" max="12044" width="24" style="3298" customWidth="1"/>
    <col min="12045" max="12058" width="0" style="3298" hidden="1" customWidth="1"/>
    <col min="12059" max="12059" width="9" style="3298" customWidth="1"/>
    <col min="12060" max="12061" width="0" style="3298" hidden="1" customWidth="1"/>
    <col min="12062" max="12062" width="17.75" style="3298" customWidth="1"/>
    <col min="12063" max="12065" width="0" style="3298" hidden="1" customWidth="1"/>
    <col min="12066" max="12066" width="10.625" style="3298" customWidth="1"/>
    <col min="12067" max="12067" width="0" style="3298" hidden="1" customWidth="1"/>
    <col min="12068" max="12068" width="16" style="3298" customWidth="1"/>
    <col min="12069" max="12069" width="0" style="3298" hidden="1" customWidth="1"/>
    <col min="12070" max="12070" width="14.375" style="3298" customWidth="1"/>
    <col min="12071" max="12072" width="0" style="3298" hidden="1" customWidth="1"/>
    <col min="12073" max="12073" width="6.25" style="3298" customWidth="1"/>
    <col min="12074" max="12074" width="26.625" style="3298" customWidth="1"/>
    <col min="12075" max="12078" width="0" style="3298" hidden="1" customWidth="1"/>
    <col min="12079" max="12288" width="9" style="3298"/>
    <col min="12289" max="12289" width="39.75" style="3298" customWidth="1"/>
    <col min="12290" max="12291" width="0" style="3298" hidden="1" customWidth="1"/>
    <col min="12292" max="12292" width="6.25" style="3298" customWidth="1"/>
    <col min="12293" max="12294" width="0" style="3298" hidden="1" customWidth="1"/>
    <col min="12295" max="12295" width="7.875" style="3298" customWidth="1"/>
    <col min="12296" max="12296" width="0" style="3298" hidden="1" customWidth="1"/>
    <col min="12297" max="12297" width="22.25" style="3298" customWidth="1"/>
    <col min="12298" max="12299" width="13.875" style="3298" customWidth="1"/>
    <col min="12300" max="12300" width="24" style="3298" customWidth="1"/>
    <col min="12301" max="12314" width="0" style="3298" hidden="1" customWidth="1"/>
    <col min="12315" max="12315" width="9" style="3298" customWidth="1"/>
    <col min="12316" max="12317" width="0" style="3298" hidden="1" customWidth="1"/>
    <col min="12318" max="12318" width="17.75" style="3298" customWidth="1"/>
    <col min="12319" max="12321" width="0" style="3298" hidden="1" customWidth="1"/>
    <col min="12322" max="12322" width="10.625" style="3298" customWidth="1"/>
    <col min="12323" max="12323" width="0" style="3298" hidden="1" customWidth="1"/>
    <col min="12324" max="12324" width="16" style="3298" customWidth="1"/>
    <col min="12325" max="12325" width="0" style="3298" hidden="1" customWidth="1"/>
    <col min="12326" max="12326" width="14.375" style="3298" customWidth="1"/>
    <col min="12327" max="12328" width="0" style="3298" hidden="1" customWidth="1"/>
    <col min="12329" max="12329" width="6.25" style="3298" customWidth="1"/>
    <col min="12330" max="12330" width="26.625" style="3298" customWidth="1"/>
    <col min="12331" max="12334" width="0" style="3298" hidden="1" customWidth="1"/>
    <col min="12335" max="12544" width="9" style="3298"/>
    <col min="12545" max="12545" width="39.75" style="3298" customWidth="1"/>
    <col min="12546" max="12547" width="0" style="3298" hidden="1" customWidth="1"/>
    <col min="12548" max="12548" width="6.25" style="3298" customWidth="1"/>
    <col min="12549" max="12550" width="0" style="3298" hidden="1" customWidth="1"/>
    <col min="12551" max="12551" width="7.875" style="3298" customWidth="1"/>
    <col min="12552" max="12552" width="0" style="3298" hidden="1" customWidth="1"/>
    <col min="12553" max="12553" width="22.25" style="3298" customWidth="1"/>
    <col min="12554" max="12555" width="13.875" style="3298" customWidth="1"/>
    <col min="12556" max="12556" width="24" style="3298" customWidth="1"/>
    <col min="12557" max="12570" width="0" style="3298" hidden="1" customWidth="1"/>
    <col min="12571" max="12571" width="9" style="3298" customWidth="1"/>
    <col min="12572" max="12573" width="0" style="3298" hidden="1" customWidth="1"/>
    <col min="12574" max="12574" width="17.75" style="3298" customWidth="1"/>
    <col min="12575" max="12577" width="0" style="3298" hidden="1" customWidth="1"/>
    <col min="12578" max="12578" width="10.625" style="3298" customWidth="1"/>
    <col min="12579" max="12579" width="0" style="3298" hidden="1" customWidth="1"/>
    <col min="12580" max="12580" width="16" style="3298" customWidth="1"/>
    <col min="12581" max="12581" width="0" style="3298" hidden="1" customWidth="1"/>
    <col min="12582" max="12582" width="14.375" style="3298" customWidth="1"/>
    <col min="12583" max="12584" width="0" style="3298" hidden="1" customWidth="1"/>
    <col min="12585" max="12585" width="6.25" style="3298" customWidth="1"/>
    <col min="12586" max="12586" width="26.625" style="3298" customWidth="1"/>
    <col min="12587" max="12590" width="0" style="3298" hidden="1" customWidth="1"/>
    <col min="12591" max="12800" width="9" style="3298"/>
    <col min="12801" max="12801" width="39.75" style="3298" customWidth="1"/>
    <col min="12802" max="12803" width="0" style="3298" hidden="1" customWidth="1"/>
    <col min="12804" max="12804" width="6.25" style="3298" customWidth="1"/>
    <col min="12805" max="12806" width="0" style="3298" hidden="1" customWidth="1"/>
    <col min="12807" max="12807" width="7.875" style="3298" customWidth="1"/>
    <col min="12808" max="12808" width="0" style="3298" hidden="1" customWidth="1"/>
    <col min="12809" max="12809" width="22.25" style="3298" customWidth="1"/>
    <col min="12810" max="12811" width="13.875" style="3298" customWidth="1"/>
    <col min="12812" max="12812" width="24" style="3298" customWidth="1"/>
    <col min="12813" max="12826" width="0" style="3298" hidden="1" customWidth="1"/>
    <col min="12827" max="12827" width="9" style="3298" customWidth="1"/>
    <col min="12828" max="12829" width="0" style="3298" hidden="1" customWidth="1"/>
    <col min="12830" max="12830" width="17.75" style="3298" customWidth="1"/>
    <col min="12831" max="12833" width="0" style="3298" hidden="1" customWidth="1"/>
    <col min="12834" max="12834" width="10.625" style="3298" customWidth="1"/>
    <col min="12835" max="12835" width="0" style="3298" hidden="1" customWidth="1"/>
    <col min="12836" max="12836" width="16" style="3298" customWidth="1"/>
    <col min="12837" max="12837" width="0" style="3298" hidden="1" customWidth="1"/>
    <col min="12838" max="12838" width="14.375" style="3298" customWidth="1"/>
    <col min="12839" max="12840" width="0" style="3298" hidden="1" customWidth="1"/>
    <col min="12841" max="12841" width="6.25" style="3298" customWidth="1"/>
    <col min="12842" max="12842" width="26.625" style="3298" customWidth="1"/>
    <col min="12843" max="12846" width="0" style="3298" hidden="1" customWidth="1"/>
    <col min="12847" max="13056" width="9" style="3298"/>
    <col min="13057" max="13057" width="39.75" style="3298" customWidth="1"/>
    <col min="13058" max="13059" width="0" style="3298" hidden="1" customWidth="1"/>
    <col min="13060" max="13060" width="6.25" style="3298" customWidth="1"/>
    <col min="13061" max="13062" width="0" style="3298" hidden="1" customWidth="1"/>
    <col min="13063" max="13063" width="7.875" style="3298" customWidth="1"/>
    <col min="13064" max="13064" width="0" style="3298" hidden="1" customWidth="1"/>
    <col min="13065" max="13065" width="22.25" style="3298" customWidth="1"/>
    <col min="13066" max="13067" width="13.875" style="3298" customWidth="1"/>
    <col min="13068" max="13068" width="24" style="3298" customWidth="1"/>
    <col min="13069" max="13082" width="0" style="3298" hidden="1" customWidth="1"/>
    <col min="13083" max="13083" width="9" style="3298" customWidth="1"/>
    <col min="13084" max="13085" width="0" style="3298" hidden="1" customWidth="1"/>
    <col min="13086" max="13086" width="17.75" style="3298" customWidth="1"/>
    <col min="13087" max="13089" width="0" style="3298" hidden="1" customWidth="1"/>
    <col min="13090" max="13090" width="10.625" style="3298" customWidth="1"/>
    <col min="13091" max="13091" width="0" style="3298" hidden="1" customWidth="1"/>
    <col min="13092" max="13092" width="16" style="3298" customWidth="1"/>
    <col min="13093" max="13093" width="0" style="3298" hidden="1" customWidth="1"/>
    <col min="13094" max="13094" width="14.375" style="3298" customWidth="1"/>
    <col min="13095" max="13096" width="0" style="3298" hidden="1" customWidth="1"/>
    <col min="13097" max="13097" width="6.25" style="3298" customWidth="1"/>
    <col min="13098" max="13098" width="26.625" style="3298" customWidth="1"/>
    <col min="13099" max="13102" width="0" style="3298" hidden="1" customWidth="1"/>
    <col min="13103" max="13312" width="9" style="3298"/>
    <col min="13313" max="13313" width="39.75" style="3298" customWidth="1"/>
    <col min="13314" max="13315" width="0" style="3298" hidden="1" customWidth="1"/>
    <col min="13316" max="13316" width="6.25" style="3298" customWidth="1"/>
    <col min="13317" max="13318" width="0" style="3298" hidden="1" customWidth="1"/>
    <col min="13319" max="13319" width="7.875" style="3298" customWidth="1"/>
    <col min="13320" max="13320" width="0" style="3298" hidden="1" customWidth="1"/>
    <col min="13321" max="13321" width="22.25" style="3298" customWidth="1"/>
    <col min="13322" max="13323" width="13.875" style="3298" customWidth="1"/>
    <col min="13324" max="13324" width="24" style="3298" customWidth="1"/>
    <col min="13325" max="13338" width="0" style="3298" hidden="1" customWidth="1"/>
    <col min="13339" max="13339" width="9" style="3298" customWidth="1"/>
    <col min="13340" max="13341" width="0" style="3298" hidden="1" customWidth="1"/>
    <col min="13342" max="13342" width="17.75" style="3298" customWidth="1"/>
    <col min="13343" max="13345" width="0" style="3298" hidden="1" customWidth="1"/>
    <col min="13346" max="13346" width="10.625" style="3298" customWidth="1"/>
    <col min="13347" max="13347" width="0" style="3298" hidden="1" customWidth="1"/>
    <col min="13348" max="13348" width="16" style="3298" customWidth="1"/>
    <col min="13349" max="13349" width="0" style="3298" hidden="1" customWidth="1"/>
    <col min="13350" max="13350" width="14.375" style="3298" customWidth="1"/>
    <col min="13351" max="13352" width="0" style="3298" hidden="1" customWidth="1"/>
    <col min="13353" max="13353" width="6.25" style="3298" customWidth="1"/>
    <col min="13354" max="13354" width="26.625" style="3298" customWidth="1"/>
    <col min="13355" max="13358" width="0" style="3298" hidden="1" customWidth="1"/>
    <col min="13359" max="13568" width="9" style="3298"/>
    <col min="13569" max="13569" width="39.75" style="3298" customWidth="1"/>
    <col min="13570" max="13571" width="0" style="3298" hidden="1" customWidth="1"/>
    <col min="13572" max="13572" width="6.25" style="3298" customWidth="1"/>
    <col min="13573" max="13574" width="0" style="3298" hidden="1" customWidth="1"/>
    <col min="13575" max="13575" width="7.875" style="3298" customWidth="1"/>
    <col min="13576" max="13576" width="0" style="3298" hidden="1" customWidth="1"/>
    <col min="13577" max="13577" width="22.25" style="3298" customWidth="1"/>
    <col min="13578" max="13579" width="13.875" style="3298" customWidth="1"/>
    <col min="13580" max="13580" width="24" style="3298" customWidth="1"/>
    <col min="13581" max="13594" width="0" style="3298" hidden="1" customWidth="1"/>
    <col min="13595" max="13595" width="9" style="3298" customWidth="1"/>
    <col min="13596" max="13597" width="0" style="3298" hidden="1" customWidth="1"/>
    <col min="13598" max="13598" width="17.75" style="3298" customWidth="1"/>
    <col min="13599" max="13601" width="0" style="3298" hidden="1" customWidth="1"/>
    <col min="13602" max="13602" width="10.625" style="3298" customWidth="1"/>
    <col min="13603" max="13603" width="0" style="3298" hidden="1" customWidth="1"/>
    <col min="13604" max="13604" width="16" style="3298" customWidth="1"/>
    <col min="13605" max="13605" width="0" style="3298" hidden="1" customWidth="1"/>
    <col min="13606" max="13606" width="14.375" style="3298" customWidth="1"/>
    <col min="13607" max="13608" width="0" style="3298" hidden="1" customWidth="1"/>
    <col min="13609" max="13609" width="6.25" style="3298" customWidth="1"/>
    <col min="13610" max="13610" width="26.625" style="3298" customWidth="1"/>
    <col min="13611" max="13614" width="0" style="3298" hidden="1" customWidth="1"/>
    <col min="13615" max="13824" width="9" style="3298"/>
    <col min="13825" max="13825" width="39.75" style="3298" customWidth="1"/>
    <col min="13826" max="13827" width="0" style="3298" hidden="1" customWidth="1"/>
    <col min="13828" max="13828" width="6.25" style="3298" customWidth="1"/>
    <col min="13829" max="13830" width="0" style="3298" hidden="1" customWidth="1"/>
    <col min="13831" max="13831" width="7.875" style="3298" customWidth="1"/>
    <col min="13832" max="13832" width="0" style="3298" hidden="1" customWidth="1"/>
    <col min="13833" max="13833" width="22.25" style="3298" customWidth="1"/>
    <col min="13834" max="13835" width="13.875" style="3298" customWidth="1"/>
    <col min="13836" max="13836" width="24" style="3298" customWidth="1"/>
    <col min="13837" max="13850" width="0" style="3298" hidden="1" customWidth="1"/>
    <col min="13851" max="13851" width="9" style="3298" customWidth="1"/>
    <col min="13852" max="13853" width="0" style="3298" hidden="1" customWidth="1"/>
    <col min="13854" max="13854" width="17.75" style="3298" customWidth="1"/>
    <col min="13855" max="13857" width="0" style="3298" hidden="1" customWidth="1"/>
    <col min="13858" max="13858" width="10.625" style="3298" customWidth="1"/>
    <col min="13859" max="13859" width="0" style="3298" hidden="1" customWidth="1"/>
    <col min="13860" max="13860" width="16" style="3298" customWidth="1"/>
    <col min="13861" max="13861" width="0" style="3298" hidden="1" customWidth="1"/>
    <col min="13862" max="13862" width="14.375" style="3298" customWidth="1"/>
    <col min="13863" max="13864" width="0" style="3298" hidden="1" customWidth="1"/>
    <col min="13865" max="13865" width="6.25" style="3298" customWidth="1"/>
    <col min="13866" max="13866" width="26.625" style="3298" customWidth="1"/>
    <col min="13867" max="13870" width="0" style="3298" hidden="1" customWidth="1"/>
    <col min="13871" max="14080" width="9" style="3298"/>
    <col min="14081" max="14081" width="39.75" style="3298" customWidth="1"/>
    <col min="14082" max="14083" width="0" style="3298" hidden="1" customWidth="1"/>
    <col min="14084" max="14084" width="6.25" style="3298" customWidth="1"/>
    <col min="14085" max="14086" width="0" style="3298" hidden="1" customWidth="1"/>
    <col min="14087" max="14087" width="7.875" style="3298" customWidth="1"/>
    <col min="14088" max="14088" width="0" style="3298" hidden="1" customWidth="1"/>
    <col min="14089" max="14089" width="22.25" style="3298" customWidth="1"/>
    <col min="14090" max="14091" width="13.875" style="3298" customWidth="1"/>
    <col min="14092" max="14092" width="24" style="3298" customWidth="1"/>
    <col min="14093" max="14106" width="0" style="3298" hidden="1" customWidth="1"/>
    <col min="14107" max="14107" width="9" style="3298" customWidth="1"/>
    <col min="14108" max="14109" width="0" style="3298" hidden="1" customWidth="1"/>
    <col min="14110" max="14110" width="17.75" style="3298" customWidth="1"/>
    <col min="14111" max="14113" width="0" style="3298" hidden="1" customWidth="1"/>
    <col min="14114" max="14114" width="10.625" style="3298" customWidth="1"/>
    <col min="14115" max="14115" width="0" style="3298" hidden="1" customWidth="1"/>
    <col min="14116" max="14116" width="16" style="3298" customWidth="1"/>
    <col min="14117" max="14117" width="0" style="3298" hidden="1" customWidth="1"/>
    <col min="14118" max="14118" width="14.375" style="3298" customWidth="1"/>
    <col min="14119" max="14120" width="0" style="3298" hidden="1" customWidth="1"/>
    <col min="14121" max="14121" width="6.25" style="3298" customWidth="1"/>
    <col min="14122" max="14122" width="26.625" style="3298" customWidth="1"/>
    <col min="14123" max="14126" width="0" style="3298" hidden="1" customWidth="1"/>
    <col min="14127" max="14336" width="9" style="3298"/>
    <col min="14337" max="14337" width="39.75" style="3298" customWidth="1"/>
    <col min="14338" max="14339" width="0" style="3298" hidden="1" customWidth="1"/>
    <col min="14340" max="14340" width="6.25" style="3298" customWidth="1"/>
    <col min="14341" max="14342" width="0" style="3298" hidden="1" customWidth="1"/>
    <col min="14343" max="14343" width="7.875" style="3298" customWidth="1"/>
    <col min="14344" max="14344" width="0" style="3298" hidden="1" customWidth="1"/>
    <col min="14345" max="14345" width="22.25" style="3298" customWidth="1"/>
    <col min="14346" max="14347" width="13.875" style="3298" customWidth="1"/>
    <col min="14348" max="14348" width="24" style="3298" customWidth="1"/>
    <col min="14349" max="14362" width="0" style="3298" hidden="1" customWidth="1"/>
    <col min="14363" max="14363" width="9" style="3298" customWidth="1"/>
    <col min="14364" max="14365" width="0" style="3298" hidden="1" customWidth="1"/>
    <col min="14366" max="14366" width="17.75" style="3298" customWidth="1"/>
    <col min="14367" max="14369" width="0" style="3298" hidden="1" customWidth="1"/>
    <col min="14370" max="14370" width="10.625" style="3298" customWidth="1"/>
    <col min="14371" max="14371" width="0" style="3298" hidden="1" customWidth="1"/>
    <col min="14372" max="14372" width="16" style="3298" customWidth="1"/>
    <col min="14373" max="14373" width="0" style="3298" hidden="1" customWidth="1"/>
    <col min="14374" max="14374" width="14.375" style="3298" customWidth="1"/>
    <col min="14375" max="14376" width="0" style="3298" hidden="1" customWidth="1"/>
    <col min="14377" max="14377" width="6.25" style="3298" customWidth="1"/>
    <col min="14378" max="14378" width="26.625" style="3298" customWidth="1"/>
    <col min="14379" max="14382" width="0" style="3298" hidden="1" customWidth="1"/>
    <col min="14383" max="14592" width="9" style="3298"/>
    <col min="14593" max="14593" width="39.75" style="3298" customWidth="1"/>
    <col min="14594" max="14595" width="0" style="3298" hidden="1" customWidth="1"/>
    <col min="14596" max="14596" width="6.25" style="3298" customWidth="1"/>
    <col min="14597" max="14598" width="0" style="3298" hidden="1" customWidth="1"/>
    <col min="14599" max="14599" width="7.875" style="3298" customWidth="1"/>
    <col min="14600" max="14600" width="0" style="3298" hidden="1" customWidth="1"/>
    <col min="14601" max="14601" width="22.25" style="3298" customWidth="1"/>
    <col min="14602" max="14603" width="13.875" style="3298" customWidth="1"/>
    <col min="14604" max="14604" width="24" style="3298" customWidth="1"/>
    <col min="14605" max="14618" width="0" style="3298" hidden="1" customWidth="1"/>
    <col min="14619" max="14619" width="9" style="3298" customWidth="1"/>
    <col min="14620" max="14621" width="0" style="3298" hidden="1" customWidth="1"/>
    <col min="14622" max="14622" width="17.75" style="3298" customWidth="1"/>
    <col min="14623" max="14625" width="0" style="3298" hidden="1" customWidth="1"/>
    <col min="14626" max="14626" width="10.625" style="3298" customWidth="1"/>
    <col min="14627" max="14627" width="0" style="3298" hidden="1" customWidth="1"/>
    <col min="14628" max="14628" width="16" style="3298" customWidth="1"/>
    <col min="14629" max="14629" width="0" style="3298" hidden="1" customWidth="1"/>
    <col min="14630" max="14630" width="14.375" style="3298" customWidth="1"/>
    <col min="14631" max="14632" width="0" style="3298" hidden="1" customWidth="1"/>
    <col min="14633" max="14633" width="6.25" style="3298" customWidth="1"/>
    <col min="14634" max="14634" width="26.625" style="3298" customWidth="1"/>
    <col min="14635" max="14638" width="0" style="3298" hidden="1" customWidth="1"/>
    <col min="14639" max="14848" width="9" style="3298"/>
    <col min="14849" max="14849" width="39.75" style="3298" customWidth="1"/>
    <col min="14850" max="14851" width="0" style="3298" hidden="1" customWidth="1"/>
    <col min="14852" max="14852" width="6.25" style="3298" customWidth="1"/>
    <col min="14853" max="14854" width="0" style="3298" hidden="1" customWidth="1"/>
    <col min="14855" max="14855" width="7.875" style="3298" customWidth="1"/>
    <col min="14856" max="14856" width="0" style="3298" hidden="1" customWidth="1"/>
    <col min="14857" max="14857" width="22.25" style="3298" customWidth="1"/>
    <col min="14858" max="14859" width="13.875" style="3298" customWidth="1"/>
    <col min="14860" max="14860" width="24" style="3298" customWidth="1"/>
    <col min="14861" max="14874" width="0" style="3298" hidden="1" customWidth="1"/>
    <col min="14875" max="14875" width="9" style="3298" customWidth="1"/>
    <col min="14876" max="14877" width="0" style="3298" hidden="1" customWidth="1"/>
    <col min="14878" max="14878" width="17.75" style="3298" customWidth="1"/>
    <col min="14879" max="14881" width="0" style="3298" hidden="1" customWidth="1"/>
    <col min="14882" max="14882" width="10.625" style="3298" customWidth="1"/>
    <col min="14883" max="14883" width="0" style="3298" hidden="1" customWidth="1"/>
    <col min="14884" max="14884" width="16" style="3298" customWidth="1"/>
    <col min="14885" max="14885" width="0" style="3298" hidden="1" customWidth="1"/>
    <col min="14886" max="14886" width="14.375" style="3298" customWidth="1"/>
    <col min="14887" max="14888" width="0" style="3298" hidden="1" customWidth="1"/>
    <col min="14889" max="14889" width="6.25" style="3298" customWidth="1"/>
    <col min="14890" max="14890" width="26.625" style="3298" customWidth="1"/>
    <col min="14891" max="14894" width="0" style="3298" hidden="1" customWidth="1"/>
    <col min="14895" max="15104" width="9" style="3298"/>
    <col min="15105" max="15105" width="39.75" style="3298" customWidth="1"/>
    <col min="15106" max="15107" width="0" style="3298" hidden="1" customWidth="1"/>
    <col min="15108" max="15108" width="6.25" style="3298" customWidth="1"/>
    <col min="15109" max="15110" width="0" style="3298" hidden="1" customWidth="1"/>
    <col min="15111" max="15111" width="7.875" style="3298" customWidth="1"/>
    <col min="15112" max="15112" width="0" style="3298" hidden="1" customWidth="1"/>
    <col min="15113" max="15113" width="22.25" style="3298" customWidth="1"/>
    <col min="15114" max="15115" width="13.875" style="3298" customWidth="1"/>
    <col min="15116" max="15116" width="24" style="3298" customWidth="1"/>
    <col min="15117" max="15130" width="0" style="3298" hidden="1" customWidth="1"/>
    <col min="15131" max="15131" width="9" style="3298" customWidth="1"/>
    <col min="15132" max="15133" width="0" style="3298" hidden="1" customWidth="1"/>
    <col min="15134" max="15134" width="17.75" style="3298" customWidth="1"/>
    <col min="15135" max="15137" width="0" style="3298" hidden="1" customWidth="1"/>
    <col min="15138" max="15138" width="10.625" style="3298" customWidth="1"/>
    <col min="15139" max="15139" width="0" style="3298" hidden="1" customWidth="1"/>
    <col min="15140" max="15140" width="16" style="3298" customWidth="1"/>
    <col min="15141" max="15141" width="0" style="3298" hidden="1" customWidth="1"/>
    <col min="15142" max="15142" width="14.375" style="3298" customWidth="1"/>
    <col min="15143" max="15144" width="0" style="3298" hidden="1" customWidth="1"/>
    <col min="15145" max="15145" width="6.25" style="3298" customWidth="1"/>
    <col min="15146" max="15146" width="26.625" style="3298" customWidth="1"/>
    <col min="15147" max="15150" width="0" style="3298" hidden="1" customWidth="1"/>
    <col min="15151" max="15360" width="9" style="3298"/>
    <col min="15361" max="15361" width="39.75" style="3298" customWidth="1"/>
    <col min="15362" max="15363" width="0" style="3298" hidden="1" customWidth="1"/>
    <col min="15364" max="15364" width="6.25" style="3298" customWidth="1"/>
    <col min="15365" max="15366" width="0" style="3298" hidden="1" customWidth="1"/>
    <col min="15367" max="15367" width="7.875" style="3298" customWidth="1"/>
    <col min="15368" max="15368" width="0" style="3298" hidden="1" customWidth="1"/>
    <col min="15369" max="15369" width="22.25" style="3298" customWidth="1"/>
    <col min="15370" max="15371" width="13.875" style="3298" customWidth="1"/>
    <col min="15372" max="15372" width="24" style="3298" customWidth="1"/>
    <col min="15373" max="15386" width="0" style="3298" hidden="1" customWidth="1"/>
    <col min="15387" max="15387" width="9" style="3298" customWidth="1"/>
    <col min="15388" max="15389" width="0" style="3298" hidden="1" customWidth="1"/>
    <col min="15390" max="15390" width="17.75" style="3298" customWidth="1"/>
    <col min="15391" max="15393" width="0" style="3298" hidden="1" customWidth="1"/>
    <col min="15394" max="15394" width="10.625" style="3298" customWidth="1"/>
    <col min="15395" max="15395" width="0" style="3298" hidden="1" customWidth="1"/>
    <col min="15396" max="15396" width="16" style="3298" customWidth="1"/>
    <col min="15397" max="15397" width="0" style="3298" hidden="1" customWidth="1"/>
    <col min="15398" max="15398" width="14.375" style="3298" customWidth="1"/>
    <col min="15399" max="15400" width="0" style="3298" hidden="1" customWidth="1"/>
    <col min="15401" max="15401" width="6.25" style="3298" customWidth="1"/>
    <col min="15402" max="15402" width="26.625" style="3298" customWidth="1"/>
    <col min="15403" max="15406" width="0" style="3298" hidden="1" customWidth="1"/>
    <col min="15407" max="15616" width="9" style="3298"/>
    <col min="15617" max="15617" width="39.75" style="3298" customWidth="1"/>
    <col min="15618" max="15619" width="0" style="3298" hidden="1" customWidth="1"/>
    <col min="15620" max="15620" width="6.25" style="3298" customWidth="1"/>
    <col min="15621" max="15622" width="0" style="3298" hidden="1" customWidth="1"/>
    <col min="15623" max="15623" width="7.875" style="3298" customWidth="1"/>
    <col min="15624" max="15624" width="0" style="3298" hidden="1" customWidth="1"/>
    <col min="15625" max="15625" width="22.25" style="3298" customWidth="1"/>
    <col min="15626" max="15627" width="13.875" style="3298" customWidth="1"/>
    <col min="15628" max="15628" width="24" style="3298" customWidth="1"/>
    <col min="15629" max="15642" width="0" style="3298" hidden="1" customWidth="1"/>
    <col min="15643" max="15643" width="9" style="3298" customWidth="1"/>
    <col min="15644" max="15645" width="0" style="3298" hidden="1" customWidth="1"/>
    <col min="15646" max="15646" width="17.75" style="3298" customWidth="1"/>
    <col min="15647" max="15649" width="0" style="3298" hidden="1" customWidth="1"/>
    <col min="15650" max="15650" width="10.625" style="3298" customWidth="1"/>
    <col min="15651" max="15651" width="0" style="3298" hidden="1" customWidth="1"/>
    <col min="15652" max="15652" width="16" style="3298" customWidth="1"/>
    <col min="15653" max="15653" width="0" style="3298" hidden="1" customWidth="1"/>
    <col min="15654" max="15654" width="14.375" style="3298" customWidth="1"/>
    <col min="15655" max="15656" width="0" style="3298" hidden="1" customWidth="1"/>
    <col min="15657" max="15657" width="6.25" style="3298" customWidth="1"/>
    <col min="15658" max="15658" width="26.625" style="3298" customWidth="1"/>
    <col min="15659" max="15662" width="0" style="3298" hidden="1" customWidth="1"/>
    <col min="15663" max="15872" width="9" style="3298"/>
    <col min="15873" max="15873" width="39.75" style="3298" customWidth="1"/>
    <col min="15874" max="15875" width="0" style="3298" hidden="1" customWidth="1"/>
    <col min="15876" max="15876" width="6.25" style="3298" customWidth="1"/>
    <col min="15877" max="15878" width="0" style="3298" hidden="1" customWidth="1"/>
    <col min="15879" max="15879" width="7.875" style="3298" customWidth="1"/>
    <col min="15880" max="15880" width="0" style="3298" hidden="1" customWidth="1"/>
    <col min="15881" max="15881" width="22.25" style="3298" customWidth="1"/>
    <col min="15882" max="15883" width="13.875" style="3298" customWidth="1"/>
    <col min="15884" max="15884" width="24" style="3298" customWidth="1"/>
    <col min="15885" max="15898" width="0" style="3298" hidden="1" customWidth="1"/>
    <col min="15899" max="15899" width="9" style="3298" customWidth="1"/>
    <col min="15900" max="15901" width="0" style="3298" hidden="1" customWidth="1"/>
    <col min="15902" max="15902" width="17.75" style="3298" customWidth="1"/>
    <col min="15903" max="15905" width="0" style="3298" hidden="1" customWidth="1"/>
    <col min="15906" max="15906" width="10.625" style="3298" customWidth="1"/>
    <col min="15907" max="15907" width="0" style="3298" hidden="1" customWidth="1"/>
    <col min="15908" max="15908" width="16" style="3298" customWidth="1"/>
    <col min="15909" max="15909" width="0" style="3298" hidden="1" customWidth="1"/>
    <col min="15910" max="15910" width="14.375" style="3298" customWidth="1"/>
    <col min="15911" max="15912" width="0" style="3298" hidden="1" customWidth="1"/>
    <col min="15913" max="15913" width="6.25" style="3298" customWidth="1"/>
    <col min="15914" max="15914" width="26.625" style="3298" customWidth="1"/>
    <col min="15915" max="15918" width="0" style="3298" hidden="1" customWidth="1"/>
    <col min="15919" max="16128" width="9" style="3298"/>
    <col min="16129" max="16129" width="39.75" style="3298" customWidth="1"/>
    <col min="16130" max="16131" width="0" style="3298" hidden="1" customWidth="1"/>
    <col min="16132" max="16132" width="6.25" style="3298" customWidth="1"/>
    <col min="16133" max="16134" width="0" style="3298" hidden="1" customWidth="1"/>
    <col min="16135" max="16135" width="7.875" style="3298" customWidth="1"/>
    <col min="16136" max="16136" width="0" style="3298" hidden="1" customWidth="1"/>
    <col min="16137" max="16137" width="22.25" style="3298" customWidth="1"/>
    <col min="16138" max="16139" width="13.875" style="3298" customWidth="1"/>
    <col min="16140" max="16140" width="24" style="3298" customWidth="1"/>
    <col min="16141" max="16154" width="0" style="3298" hidden="1" customWidth="1"/>
    <col min="16155" max="16155" width="9" style="3298" customWidth="1"/>
    <col min="16156" max="16157" width="0" style="3298" hidden="1" customWidth="1"/>
    <col min="16158" max="16158" width="17.75" style="3298" customWidth="1"/>
    <col min="16159" max="16161" width="0" style="3298" hidden="1" customWidth="1"/>
    <col min="16162" max="16162" width="10.625" style="3298" customWidth="1"/>
    <col min="16163" max="16163" width="0" style="3298" hidden="1" customWidth="1"/>
    <col min="16164" max="16164" width="16" style="3298" customWidth="1"/>
    <col min="16165" max="16165" width="0" style="3298" hidden="1" customWidth="1"/>
    <col min="16166" max="16166" width="14.375" style="3298" customWidth="1"/>
    <col min="16167" max="16168" width="0" style="3298" hidden="1" customWidth="1"/>
    <col min="16169" max="16169" width="6.25" style="3298" customWidth="1"/>
    <col min="16170" max="16170" width="26.625" style="3298" customWidth="1"/>
    <col min="16171" max="16174" width="0" style="3298" hidden="1" customWidth="1"/>
    <col min="16175" max="16384" width="9" style="3298"/>
  </cols>
  <sheetData>
    <row r="1" spans="1:46">
      <c r="A1" s="3298" t="s">
        <v>3074</v>
      </c>
      <c r="B1" s="3298" t="s">
        <v>3075</v>
      </c>
      <c r="C1" s="3298" t="s">
        <v>3076</v>
      </c>
      <c r="D1" s="3298" t="s">
        <v>3077</v>
      </c>
      <c r="E1" s="3298" t="s">
        <v>3078</v>
      </c>
      <c r="F1" s="3298" t="s">
        <v>3079</v>
      </c>
      <c r="G1" s="3298" t="s">
        <v>3080</v>
      </c>
      <c r="H1" s="3298" t="s">
        <v>3081</v>
      </c>
      <c r="I1" s="3298" t="s">
        <v>3082</v>
      </c>
      <c r="J1" s="3298" t="s">
        <v>3083</v>
      </c>
      <c r="K1" s="3298" t="s">
        <v>3084</v>
      </c>
      <c r="L1" s="3298" t="s">
        <v>2020</v>
      </c>
      <c r="M1" s="3298" t="s">
        <v>3085</v>
      </c>
      <c r="N1" s="3298" t="s">
        <v>3086</v>
      </c>
      <c r="O1" s="3298" t="s">
        <v>3087</v>
      </c>
      <c r="P1" s="3298" t="s">
        <v>3088</v>
      </c>
      <c r="Q1" s="3298" t="s">
        <v>3089</v>
      </c>
      <c r="R1" s="3298" t="s">
        <v>3090</v>
      </c>
      <c r="S1" s="3298" t="s">
        <v>3091</v>
      </c>
      <c r="T1" s="3298" t="s">
        <v>3092</v>
      </c>
      <c r="U1" s="3298" t="s">
        <v>3093</v>
      </c>
      <c r="V1" s="3298" t="s">
        <v>3094</v>
      </c>
      <c r="W1" s="3298" t="s">
        <v>3095</v>
      </c>
      <c r="X1" s="3298" t="s">
        <v>3096</v>
      </c>
      <c r="Y1" s="3298" t="s">
        <v>3097</v>
      </c>
      <c r="Z1" s="3298" t="s">
        <v>3098</v>
      </c>
      <c r="AA1" s="3298" t="s">
        <v>3099</v>
      </c>
      <c r="AB1" s="3298" t="s">
        <v>3100</v>
      </c>
      <c r="AC1" s="3298" t="s">
        <v>3101</v>
      </c>
      <c r="AD1" s="3298" t="s">
        <v>3102</v>
      </c>
      <c r="AE1" s="3298" t="s">
        <v>3103</v>
      </c>
      <c r="AF1" s="3298" t="s">
        <v>3104</v>
      </c>
      <c r="AG1" s="3298" t="s">
        <v>3105</v>
      </c>
      <c r="AH1" s="3298" t="s">
        <v>3106</v>
      </c>
      <c r="AI1" s="3298" t="s">
        <v>3107</v>
      </c>
      <c r="AJ1" s="3298" t="s">
        <v>3108</v>
      </c>
      <c r="AK1" s="3298" t="s">
        <v>3109</v>
      </c>
      <c r="AL1" s="3298" t="s">
        <v>3110</v>
      </c>
      <c r="AM1" s="3298" t="s">
        <v>3111</v>
      </c>
      <c r="AN1" s="3298" t="s">
        <v>3112</v>
      </c>
      <c r="AO1" s="3298" t="s">
        <v>3113</v>
      </c>
      <c r="AP1" s="3298" t="s">
        <v>3114</v>
      </c>
      <c r="AQ1" s="3298" t="s">
        <v>3115</v>
      </c>
      <c r="AR1" s="3298" t="s">
        <v>3116</v>
      </c>
      <c r="AS1" s="3298" t="s">
        <v>3117</v>
      </c>
      <c r="AT1" s="3298" t="s">
        <v>3118</v>
      </c>
    </row>
    <row r="2" spans="1:46">
      <c r="A2" s="3298" t="s">
        <v>3119</v>
      </c>
      <c r="B2" s="3298" t="s">
        <v>3120</v>
      </c>
      <c r="C2" s="3298" t="s">
        <v>3121</v>
      </c>
      <c r="D2" s="3298" t="s">
        <v>3122</v>
      </c>
      <c r="E2" s="3298" t="s">
        <v>2797</v>
      </c>
      <c r="F2" s="3298" t="s">
        <v>3119</v>
      </c>
      <c r="G2" s="3298" t="s">
        <v>3123</v>
      </c>
      <c r="H2" s="3298" t="s">
        <v>3124</v>
      </c>
      <c r="I2" s="3298" t="s">
        <v>3125</v>
      </c>
      <c r="J2" s="3298">
        <v>108448.6</v>
      </c>
      <c r="K2" s="3298">
        <v>325345.8</v>
      </c>
      <c r="L2" s="3298" t="s">
        <v>3126</v>
      </c>
      <c r="M2" s="3298" t="s">
        <v>2797</v>
      </c>
      <c r="N2" s="3298" t="s">
        <v>3127</v>
      </c>
      <c r="O2" s="3298" t="s">
        <v>3128</v>
      </c>
      <c r="P2" s="3298" t="s">
        <v>2797</v>
      </c>
      <c r="Q2" s="3298" t="s">
        <v>2797</v>
      </c>
      <c r="R2" s="3298" t="s">
        <v>2797</v>
      </c>
      <c r="S2" s="3298" t="s">
        <v>2797</v>
      </c>
      <c r="T2" s="3298" t="s">
        <v>2797</v>
      </c>
      <c r="U2" s="3298" t="s">
        <v>2797</v>
      </c>
      <c r="V2" s="3298" t="s">
        <v>2797</v>
      </c>
      <c r="W2" s="3298" t="s">
        <v>3129</v>
      </c>
      <c r="X2" s="3298" t="s">
        <v>3130</v>
      </c>
      <c r="Y2" s="3298" t="s">
        <v>3131</v>
      </c>
      <c r="Z2" s="3298" t="s">
        <v>3131</v>
      </c>
      <c r="AA2" s="3298" t="s">
        <v>3131</v>
      </c>
      <c r="AB2" s="3298" t="s">
        <v>3132</v>
      </c>
      <c r="AC2" s="3298" t="s">
        <v>3133</v>
      </c>
      <c r="AD2" s="3298" t="s">
        <v>3134</v>
      </c>
      <c r="AE2" s="3298" t="s">
        <v>2797</v>
      </c>
      <c r="AF2" s="3298">
        <v>11061.76</v>
      </c>
      <c r="AG2" s="3298">
        <v>22123</v>
      </c>
      <c r="AH2" s="3298">
        <v>22123</v>
      </c>
      <c r="AI2" s="3298">
        <v>136</v>
      </c>
      <c r="AJ2" s="3298">
        <v>136</v>
      </c>
      <c r="AK2" s="3298">
        <v>679.98</v>
      </c>
      <c r="AL2" s="3298">
        <v>679.98</v>
      </c>
      <c r="AM2" s="3298" t="s">
        <v>2797</v>
      </c>
      <c r="AN2" s="3298" t="s">
        <v>2797</v>
      </c>
      <c r="AO2" s="3298">
        <v>0</v>
      </c>
      <c r="AP2" s="3298" t="s">
        <v>3135</v>
      </c>
      <c r="AQ2" s="3298" t="s">
        <v>2797</v>
      </c>
      <c r="AR2" s="3298" t="s">
        <v>2797</v>
      </c>
      <c r="AS2" s="3298" t="s">
        <v>2797</v>
      </c>
      <c r="AT2" s="3298" t="s">
        <v>3136</v>
      </c>
    </row>
    <row r="3" spans="1:46">
      <c r="A3" s="3298" t="s">
        <v>3137</v>
      </c>
      <c r="B3" s="3298" t="s">
        <v>3120</v>
      </c>
      <c r="C3" s="3298" t="s">
        <v>3121</v>
      </c>
      <c r="D3" s="3298" t="s">
        <v>3122</v>
      </c>
      <c r="E3" s="3298" t="s">
        <v>2797</v>
      </c>
      <c r="F3" s="3298" t="s">
        <v>3137</v>
      </c>
      <c r="G3" s="3298" t="s">
        <v>3123</v>
      </c>
      <c r="H3" s="3298" t="s">
        <v>3138</v>
      </c>
      <c r="I3" s="3298" t="s">
        <v>3125</v>
      </c>
      <c r="J3" s="3298">
        <v>29421.67</v>
      </c>
      <c r="K3" s="3298">
        <v>35306</v>
      </c>
      <c r="L3" s="3298" t="s">
        <v>3139</v>
      </c>
      <c r="M3" s="3298" t="s">
        <v>2797</v>
      </c>
      <c r="N3" s="3298" t="s">
        <v>3140</v>
      </c>
      <c r="O3" s="3298" t="s">
        <v>3141</v>
      </c>
      <c r="P3" s="3298" t="s">
        <v>2797</v>
      </c>
      <c r="Q3" s="3298" t="s">
        <v>2797</v>
      </c>
      <c r="R3" s="3298" t="s">
        <v>2797</v>
      </c>
      <c r="S3" s="3298" t="s">
        <v>2797</v>
      </c>
      <c r="T3" s="3298" t="s">
        <v>2797</v>
      </c>
      <c r="U3" s="3298" t="s">
        <v>2797</v>
      </c>
      <c r="V3" s="3298" t="s">
        <v>2797</v>
      </c>
      <c r="W3" s="3298" t="s">
        <v>3129</v>
      </c>
      <c r="X3" s="3298" t="s">
        <v>3142</v>
      </c>
      <c r="Y3" s="3298" t="s">
        <v>3143</v>
      </c>
      <c r="Z3" s="3298" t="s">
        <v>3143</v>
      </c>
      <c r="AA3" s="3298" t="s">
        <v>3143</v>
      </c>
      <c r="AB3" s="3298" t="s">
        <v>3144</v>
      </c>
      <c r="AC3" s="3298" t="s">
        <v>3133</v>
      </c>
      <c r="AD3" s="3298" t="s">
        <v>3145</v>
      </c>
      <c r="AE3" s="3298" t="s">
        <v>2797</v>
      </c>
      <c r="AF3" s="3298">
        <v>1959.48</v>
      </c>
      <c r="AG3" s="3298">
        <v>6531</v>
      </c>
      <c r="AH3" s="3298">
        <v>6531</v>
      </c>
      <c r="AI3" s="3298">
        <v>147.99</v>
      </c>
      <c r="AJ3" s="3298">
        <v>147.99</v>
      </c>
      <c r="AK3" s="3298">
        <v>1849.82</v>
      </c>
      <c r="AL3" s="3298">
        <v>1849.82</v>
      </c>
      <c r="AM3" s="3298" t="s">
        <v>2797</v>
      </c>
      <c r="AN3" s="3298" t="s">
        <v>2797</v>
      </c>
      <c r="AO3" s="3298">
        <v>0</v>
      </c>
      <c r="AP3" s="3298" t="s">
        <v>3135</v>
      </c>
      <c r="AQ3" s="3298" t="s">
        <v>2797</v>
      </c>
      <c r="AR3" s="3298" t="s">
        <v>2797</v>
      </c>
      <c r="AS3" s="3298" t="s">
        <v>2797</v>
      </c>
      <c r="AT3" s="3298" t="s">
        <v>3136</v>
      </c>
    </row>
    <row r="4" spans="1:46" s="3296" customFormat="1" ht="12.75">
      <c r="A4" s="3296" t="s">
        <v>3146</v>
      </c>
      <c r="B4" s="3296" t="s">
        <v>3120</v>
      </c>
      <c r="C4" s="3296" t="s">
        <v>3121</v>
      </c>
      <c r="D4" s="3296" t="s">
        <v>3147</v>
      </c>
      <c r="E4" s="3296" t="s">
        <v>2797</v>
      </c>
      <c r="F4" s="3296" t="s">
        <v>3146</v>
      </c>
      <c r="G4" s="3296" t="s">
        <v>3123</v>
      </c>
      <c r="H4" s="3296" t="s">
        <v>3148</v>
      </c>
      <c r="I4" s="3296" t="s">
        <v>3125</v>
      </c>
      <c r="J4" s="3296">
        <v>179430.82</v>
      </c>
      <c r="K4" s="3296">
        <v>520349.38</v>
      </c>
      <c r="L4" s="3296" t="s">
        <v>3149</v>
      </c>
      <c r="M4" s="3296" t="s">
        <v>2797</v>
      </c>
      <c r="N4" s="3296" t="s">
        <v>3140</v>
      </c>
      <c r="O4" s="3296" t="s">
        <v>3150</v>
      </c>
      <c r="P4" s="3296" t="s">
        <v>2797</v>
      </c>
      <c r="Q4" s="3296" t="s">
        <v>2797</v>
      </c>
      <c r="R4" s="3296" t="s">
        <v>2797</v>
      </c>
      <c r="S4" s="3296" t="s">
        <v>2797</v>
      </c>
      <c r="T4" s="3296" t="s">
        <v>2797</v>
      </c>
      <c r="U4" s="3296" t="s">
        <v>2797</v>
      </c>
      <c r="V4" s="3296" t="s">
        <v>2797</v>
      </c>
      <c r="W4" s="3296" t="s">
        <v>3129</v>
      </c>
      <c r="X4" s="3296" t="s">
        <v>3151</v>
      </c>
      <c r="Y4" s="3296" t="s">
        <v>3152</v>
      </c>
      <c r="Z4" s="3296" t="s">
        <v>3152</v>
      </c>
      <c r="AA4" s="3296" t="s">
        <v>3152</v>
      </c>
      <c r="AB4" s="3296" t="s">
        <v>3153</v>
      </c>
      <c r="AC4" s="3296" t="s">
        <v>3133</v>
      </c>
      <c r="AD4" s="3296" t="s">
        <v>3154</v>
      </c>
      <c r="AE4" s="3296" t="s">
        <v>3154</v>
      </c>
      <c r="AF4" s="3296">
        <v>14938</v>
      </c>
      <c r="AG4" s="3296">
        <v>49792</v>
      </c>
      <c r="AH4" s="3296">
        <v>49792</v>
      </c>
      <c r="AI4" s="3296">
        <v>185</v>
      </c>
      <c r="AJ4" s="3296">
        <v>185</v>
      </c>
      <c r="AK4" s="3296">
        <v>956.89</v>
      </c>
      <c r="AL4" s="3296">
        <v>956.89</v>
      </c>
      <c r="AM4" s="3296" t="s">
        <v>2797</v>
      </c>
      <c r="AN4" s="3296" t="s">
        <v>2797</v>
      </c>
      <c r="AO4" s="3296">
        <v>0</v>
      </c>
      <c r="AP4" s="3296" t="s">
        <v>3135</v>
      </c>
      <c r="AQ4" s="3296" t="s">
        <v>2797</v>
      </c>
      <c r="AR4" s="3296" t="s">
        <v>2797</v>
      </c>
      <c r="AS4" s="3296" t="s">
        <v>2797</v>
      </c>
      <c r="AT4" s="3296" t="s">
        <v>3136</v>
      </c>
    </row>
    <row r="5" spans="1:46" s="3297" customFormat="1" ht="12.75">
      <c r="A5" s="3316" t="s">
        <v>3584</v>
      </c>
      <c r="B5" s="3297" t="s">
        <v>3120</v>
      </c>
      <c r="C5" s="3297" t="s">
        <v>3121</v>
      </c>
      <c r="D5" s="3297" t="s">
        <v>3147</v>
      </c>
      <c r="E5" s="3297" t="s">
        <v>2797</v>
      </c>
      <c r="F5" s="3297" t="s">
        <v>3155</v>
      </c>
      <c r="G5" s="3297" t="s">
        <v>3123</v>
      </c>
      <c r="H5" s="3297" t="s">
        <v>3156</v>
      </c>
      <c r="I5" s="3297" t="s">
        <v>3125</v>
      </c>
      <c r="J5" s="3297">
        <v>40545.29</v>
      </c>
      <c r="K5" s="3297">
        <v>121635.87</v>
      </c>
      <c r="L5" s="3297" t="s">
        <v>3126</v>
      </c>
      <c r="M5" s="3297" t="s">
        <v>2797</v>
      </c>
      <c r="N5" s="3297" t="s">
        <v>3157</v>
      </c>
      <c r="O5" s="3297" t="s">
        <v>3128</v>
      </c>
      <c r="P5" s="3297" t="s">
        <v>2797</v>
      </c>
      <c r="Q5" s="3297" t="s">
        <v>2797</v>
      </c>
      <c r="R5" s="3297" t="s">
        <v>2797</v>
      </c>
      <c r="S5" s="3297" t="s">
        <v>2797</v>
      </c>
      <c r="T5" s="3297" t="s">
        <v>2797</v>
      </c>
      <c r="U5" s="3297" t="s">
        <v>2797</v>
      </c>
      <c r="V5" s="3297" t="s">
        <v>2797</v>
      </c>
      <c r="W5" s="3297" t="s">
        <v>3129</v>
      </c>
      <c r="X5" s="3297" t="s">
        <v>3158</v>
      </c>
      <c r="Y5" s="3297" t="s">
        <v>3159</v>
      </c>
      <c r="Z5" s="3297" t="s">
        <v>3159</v>
      </c>
      <c r="AA5" s="3297" t="s">
        <v>3159</v>
      </c>
      <c r="AB5" s="3297" t="s">
        <v>3160</v>
      </c>
      <c r="AC5" s="3297" t="s">
        <v>3133</v>
      </c>
      <c r="AD5" s="3297" t="s">
        <v>3145</v>
      </c>
      <c r="AE5" s="3297" t="s">
        <v>2797</v>
      </c>
      <c r="AF5" s="3297">
        <v>6386</v>
      </c>
      <c r="AG5" s="3297" t="s">
        <v>2797</v>
      </c>
      <c r="AH5" s="3297">
        <v>21286.27</v>
      </c>
      <c r="AI5" s="3297" t="s">
        <v>2797</v>
      </c>
      <c r="AJ5" s="3297">
        <v>350</v>
      </c>
      <c r="AK5" s="3297" t="s">
        <v>2797</v>
      </c>
      <c r="AL5" s="3297">
        <v>1750</v>
      </c>
      <c r="AM5" s="3297" t="s">
        <v>2797</v>
      </c>
      <c r="AN5" s="3297" t="s">
        <v>2797</v>
      </c>
      <c r="AO5" s="3297" t="s">
        <v>2797</v>
      </c>
      <c r="AP5" s="3297" t="s">
        <v>3135</v>
      </c>
      <c r="AQ5" s="3297" t="s">
        <v>2797</v>
      </c>
      <c r="AR5" s="3297" t="s">
        <v>2797</v>
      </c>
      <c r="AS5" s="3297" t="s">
        <v>2797</v>
      </c>
      <c r="AT5" s="3297" t="s">
        <v>3136</v>
      </c>
    </row>
    <row r="6" spans="1:46">
      <c r="A6" s="3298" t="s">
        <v>3161</v>
      </c>
      <c r="B6" s="3298" t="s">
        <v>3120</v>
      </c>
      <c r="C6" s="3298" t="s">
        <v>3162</v>
      </c>
      <c r="D6" s="3298" t="s">
        <v>3122</v>
      </c>
      <c r="E6" s="3298" t="s">
        <v>2797</v>
      </c>
      <c r="F6" s="3298" t="s">
        <v>3161</v>
      </c>
      <c r="G6" s="3298" t="s">
        <v>3123</v>
      </c>
      <c r="H6" s="3298" t="s">
        <v>3163</v>
      </c>
      <c r="I6" s="3298" t="s">
        <v>3164</v>
      </c>
      <c r="J6" s="3298">
        <v>73089.66</v>
      </c>
      <c r="K6" s="3298">
        <v>131561.39000000001</v>
      </c>
      <c r="L6" s="3298" t="s">
        <v>3165</v>
      </c>
      <c r="M6" s="3298" t="s">
        <v>2797</v>
      </c>
      <c r="N6" s="3298" t="s">
        <v>3140</v>
      </c>
      <c r="O6" s="3298" t="s">
        <v>3166</v>
      </c>
      <c r="P6" s="3298" t="s">
        <v>2797</v>
      </c>
      <c r="Q6" s="3298" t="s">
        <v>2797</v>
      </c>
      <c r="R6" s="3298" t="s">
        <v>2797</v>
      </c>
      <c r="S6" s="3298" t="s">
        <v>2797</v>
      </c>
      <c r="T6" s="3298" t="s">
        <v>2797</v>
      </c>
      <c r="U6" s="3298" t="s">
        <v>2797</v>
      </c>
      <c r="V6" s="3298" t="s">
        <v>2797</v>
      </c>
      <c r="W6" s="3298" t="s">
        <v>3129</v>
      </c>
      <c r="X6" s="3298" t="s">
        <v>3167</v>
      </c>
      <c r="Y6" s="3298" t="s">
        <v>3168</v>
      </c>
      <c r="Z6" s="3298" t="s">
        <v>3168</v>
      </c>
      <c r="AA6" s="3298" t="s">
        <v>3168</v>
      </c>
      <c r="AB6" s="3298" t="s">
        <v>3169</v>
      </c>
      <c r="AC6" s="3298" t="s">
        <v>3133</v>
      </c>
      <c r="AD6" s="3298" t="s">
        <v>3170</v>
      </c>
      <c r="AE6" s="3298" t="s">
        <v>2797</v>
      </c>
      <c r="AF6" s="3298">
        <v>7269</v>
      </c>
      <c r="AG6" s="3298">
        <v>24229.22</v>
      </c>
      <c r="AH6" s="3298">
        <v>24229.22</v>
      </c>
      <c r="AI6" s="3298">
        <v>221</v>
      </c>
      <c r="AJ6" s="3298">
        <v>221</v>
      </c>
      <c r="AK6" s="3298">
        <v>1841.66</v>
      </c>
      <c r="AL6" s="3298">
        <v>1841.67</v>
      </c>
      <c r="AM6" s="3298" t="s">
        <v>2797</v>
      </c>
      <c r="AN6" s="3298" t="s">
        <v>2797</v>
      </c>
      <c r="AO6" s="3298">
        <v>0</v>
      </c>
      <c r="AP6" s="3298" t="s">
        <v>3171</v>
      </c>
      <c r="AQ6" s="3298" t="s">
        <v>2797</v>
      </c>
      <c r="AR6" s="3298" t="s">
        <v>2797</v>
      </c>
      <c r="AS6" s="3298" t="s">
        <v>2797</v>
      </c>
      <c r="AT6" s="3298" t="s">
        <v>3136</v>
      </c>
    </row>
    <row r="7" spans="1:46">
      <c r="A7" s="3298" t="s">
        <v>3172</v>
      </c>
      <c r="B7" s="3298" t="s">
        <v>3120</v>
      </c>
      <c r="C7" s="3298" t="s">
        <v>3121</v>
      </c>
      <c r="D7" s="3298" t="s">
        <v>3122</v>
      </c>
      <c r="E7" s="3298" t="s">
        <v>2797</v>
      </c>
      <c r="F7" s="3298" t="s">
        <v>3172</v>
      </c>
      <c r="G7" s="3298" t="s">
        <v>3123</v>
      </c>
      <c r="H7" s="3298" t="s">
        <v>3173</v>
      </c>
      <c r="I7" s="3298" t="s">
        <v>3125</v>
      </c>
      <c r="J7" s="3298">
        <v>23594.44</v>
      </c>
      <c r="K7" s="3298">
        <v>58986.1</v>
      </c>
      <c r="L7" s="3298" t="s">
        <v>3174</v>
      </c>
      <c r="M7" s="3298" t="s">
        <v>2797</v>
      </c>
      <c r="N7" s="3298" t="s">
        <v>3157</v>
      </c>
      <c r="O7" s="3298" t="s">
        <v>3128</v>
      </c>
      <c r="P7" s="3298" t="s">
        <v>2797</v>
      </c>
      <c r="Q7" s="3298" t="s">
        <v>2797</v>
      </c>
      <c r="R7" s="3298" t="s">
        <v>2797</v>
      </c>
      <c r="S7" s="3298" t="s">
        <v>2797</v>
      </c>
      <c r="T7" s="3298" t="s">
        <v>2797</v>
      </c>
      <c r="U7" s="3298" t="s">
        <v>2797</v>
      </c>
      <c r="V7" s="3298" t="s">
        <v>2797</v>
      </c>
      <c r="W7" s="3298" t="s">
        <v>3129</v>
      </c>
      <c r="X7" s="3298" t="s">
        <v>3175</v>
      </c>
      <c r="Y7" s="3298" t="s">
        <v>3176</v>
      </c>
      <c r="Z7" s="3298" t="s">
        <v>3176</v>
      </c>
      <c r="AA7" s="3298" t="s">
        <v>3176</v>
      </c>
      <c r="AB7" s="3298" t="s">
        <v>3177</v>
      </c>
      <c r="AC7" s="3298" t="s">
        <v>3133</v>
      </c>
      <c r="AD7" s="3298" t="s">
        <v>3178</v>
      </c>
      <c r="AE7" s="3298" t="s">
        <v>2797</v>
      </c>
      <c r="AF7" s="3298">
        <v>3153</v>
      </c>
      <c r="AG7" s="3298">
        <v>10511.31</v>
      </c>
      <c r="AH7" s="3298">
        <v>12988.72</v>
      </c>
      <c r="AI7" s="3298">
        <v>297</v>
      </c>
      <c r="AJ7" s="3298">
        <v>367</v>
      </c>
      <c r="AK7" s="3298">
        <v>1781.99</v>
      </c>
      <c r="AL7" s="3298">
        <v>2202</v>
      </c>
      <c r="AM7" s="3298" t="s">
        <v>2797</v>
      </c>
      <c r="AN7" s="3298" t="s">
        <v>2797</v>
      </c>
      <c r="AO7" s="3298">
        <v>23.57</v>
      </c>
      <c r="AP7" s="3298" t="s">
        <v>3135</v>
      </c>
      <c r="AQ7" s="3298" t="s">
        <v>2797</v>
      </c>
      <c r="AR7" s="3298" t="s">
        <v>2797</v>
      </c>
      <c r="AS7" s="3298" t="s">
        <v>2797</v>
      </c>
      <c r="AT7" s="3298" t="s">
        <v>3136</v>
      </c>
    </row>
    <row r="8" spans="1:46">
      <c r="A8" s="3298" t="s">
        <v>3179</v>
      </c>
      <c r="B8" s="3298" t="s">
        <v>3120</v>
      </c>
      <c r="C8" s="3298" t="s">
        <v>3162</v>
      </c>
      <c r="D8" s="3298" t="s">
        <v>3147</v>
      </c>
      <c r="E8" s="3298" t="s">
        <v>2797</v>
      </c>
      <c r="F8" s="3298" t="s">
        <v>3179</v>
      </c>
      <c r="G8" s="3298" t="s">
        <v>3123</v>
      </c>
      <c r="H8" s="3298" t="s">
        <v>3180</v>
      </c>
      <c r="I8" s="3298" t="s">
        <v>3125</v>
      </c>
      <c r="J8" s="3298">
        <v>104795.38</v>
      </c>
      <c r="K8" s="3298">
        <v>230549.84</v>
      </c>
      <c r="L8" s="3298" t="s">
        <v>3181</v>
      </c>
      <c r="M8" s="3298" t="s">
        <v>2797</v>
      </c>
      <c r="N8" s="3298" t="s">
        <v>3157</v>
      </c>
      <c r="O8" s="3298" t="s">
        <v>3182</v>
      </c>
      <c r="P8" s="3298" t="s">
        <v>2797</v>
      </c>
      <c r="Q8" s="3298" t="s">
        <v>2797</v>
      </c>
      <c r="R8" s="3298" t="s">
        <v>2797</v>
      </c>
      <c r="S8" s="3298" t="s">
        <v>2797</v>
      </c>
      <c r="T8" s="3298" t="s">
        <v>2797</v>
      </c>
      <c r="U8" s="3298" t="s">
        <v>2797</v>
      </c>
      <c r="V8" s="3298" t="s">
        <v>2797</v>
      </c>
      <c r="W8" s="3298" t="s">
        <v>3129</v>
      </c>
      <c r="X8" s="3298" t="s">
        <v>3183</v>
      </c>
      <c r="Y8" s="3298" t="s">
        <v>3184</v>
      </c>
      <c r="Z8" s="3298" t="s">
        <v>3184</v>
      </c>
      <c r="AA8" s="3298" t="s">
        <v>3184</v>
      </c>
      <c r="AB8" s="3298" t="s">
        <v>3185</v>
      </c>
      <c r="AC8" s="3298" t="s">
        <v>3133</v>
      </c>
      <c r="AD8" s="3298" t="s">
        <v>3186</v>
      </c>
      <c r="AE8" s="3298" t="s">
        <v>3187</v>
      </c>
      <c r="AF8" s="3298">
        <v>9715</v>
      </c>
      <c r="AG8" s="3298">
        <v>32381.77</v>
      </c>
      <c r="AH8" s="3298">
        <v>32381.77</v>
      </c>
      <c r="AI8" s="3298">
        <v>206</v>
      </c>
      <c r="AJ8" s="3298">
        <v>206</v>
      </c>
      <c r="AK8" s="3298">
        <v>1404.54</v>
      </c>
      <c r="AL8" s="3298">
        <v>1404.54</v>
      </c>
      <c r="AM8" s="3298" t="s">
        <v>2797</v>
      </c>
      <c r="AN8" s="3298" t="s">
        <v>2797</v>
      </c>
      <c r="AO8" s="3298">
        <v>0</v>
      </c>
      <c r="AP8" s="3298" t="s">
        <v>3135</v>
      </c>
      <c r="AQ8" s="3298" t="s">
        <v>2797</v>
      </c>
      <c r="AR8" s="3298" t="s">
        <v>2797</v>
      </c>
      <c r="AS8" s="3298" t="s">
        <v>2797</v>
      </c>
      <c r="AT8" s="3298" t="s">
        <v>3136</v>
      </c>
    </row>
    <row r="9" spans="1:46">
      <c r="A9" s="3298" t="s">
        <v>3188</v>
      </c>
      <c r="B9" s="3298" t="s">
        <v>3120</v>
      </c>
      <c r="C9" s="3298" t="s">
        <v>3121</v>
      </c>
      <c r="D9" s="3298" t="s">
        <v>3122</v>
      </c>
      <c r="E9" s="3298" t="s">
        <v>2797</v>
      </c>
      <c r="F9" s="3298" t="s">
        <v>3188</v>
      </c>
      <c r="G9" s="3298" t="s">
        <v>3123</v>
      </c>
      <c r="H9" s="3298" t="s">
        <v>3189</v>
      </c>
      <c r="I9" s="3298" t="s">
        <v>3125</v>
      </c>
      <c r="J9" s="3298">
        <v>112908.4</v>
      </c>
      <c r="K9" s="3298">
        <v>282271</v>
      </c>
      <c r="L9" s="3298" t="s">
        <v>3190</v>
      </c>
      <c r="M9" s="3298" t="s">
        <v>2797</v>
      </c>
      <c r="N9" s="3298" t="s">
        <v>3191</v>
      </c>
      <c r="O9" s="3298" t="s">
        <v>3128</v>
      </c>
      <c r="P9" s="3298" t="s">
        <v>2797</v>
      </c>
      <c r="Q9" s="3298" t="s">
        <v>2797</v>
      </c>
      <c r="R9" s="3298" t="s">
        <v>2797</v>
      </c>
      <c r="S9" s="3298" t="s">
        <v>2797</v>
      </c>
      <c r="T9" s="3298" t="s">
        <v>2797</v>
      </c>
      <c r="U9" s="3298" t="s">
        <v>2797</v>
      </c>
      <c r="V9" s="3298" t="s">
        <v>2797</v>
      </c>
      <c r="W9" s="3298" t="s">
        <v>3129</v>
      </c>
      <c r="X9" s="3298" t="s">
        <v>3192</v>
      </c>
      <c r="Y9" s="3298" t="s">
        <v>3158</v>
      </c>
      <c r="Z9" s="3298" t="s">
        <v>3158</v>
      </c>
      <c r="AA9" s="3298" t="s">
        <v>3158</v>
      </c>
      <c r="AB9" s="3298" t="s">
        <v>3193</v>
      </c>
      <c r="AC9" s="3298" t="s">
        <v>3133</v>
      </c>
      <c r="AD9" s="3298" t="s">
        <v>3194</v>
      </c>
      <c r="AE9" s="3298" t="s">
        <v>3195</v>
      </c>
      <c r="AF9" s="3298">
        <v>11941</v>
      </c>
      <c r="AG9" s="3298">
        <v>39800.199999999997</v>
      </c>
      <c r="AH9" s="3298">
        <v>39800.199999999997</v>
      </c>
      <c r="AI9" s="3298">
        <v>235</v>
      </c>
      <c r="AJ9" s="3298">
        <v>235</v>
      </c>
      <c r="AK9" s="3298">
        <v>1410</v>
      </c>
      <c r="AL9" s="3298">
        <v>1410</v>
      </c>
      <c r="AM9" s="3298" t="s">
        <v>2797</v>
      </c>
      <c r="AN9" s="3298" t="s">
        <v>2797</v>
      </c>
      <c r="AO9" s="3298">
        <v>0</v>
      </c>
      <c r="AP9" s="3298" t="s">
        <v>3135</v>
      </c>
      <c r="AQ9" s="3298" t="s">
        <v>2797</v>
      </c>
      <c r="AR9" s="3298" t="s">
        <v>2797</v>
      </c>
      <c r="AS9" s="3298" t="s">
        <v>2797</v>
      </c>
      <c r="AT9" s="3298" t="s">
        <v>3136</v>
      </c>
    </row>
    <row r="10" spans="1:46" s="3297" customFormat="1" ht="12.75">
      <c r="A10" s="3316" t="s">
        <v>3585</v>
      </c>
      <c r="B10" s="3297" t="s">
        <v>3120</v>
      </c>
      <c r="C10" s="3297" t="s">
        <v>3121</v>
      </c>
      <c r="D10" s="3297" t="s">
        <v>3147</v>
      </c>
      <c r="E10" s="3297" t="s">
        <v>2797</v>
      </c>
      <c r="F10" s="3297" t="s">
        <v>3196</v>
      </c>
      <c r="G10" s="3297" t="s">
        <v>3123</v>
      </c>
      <c r="H10" s="3297" t="s">
        <v>3197</v>
      </c>
      <c r="I10" s="3297" t="s">
        <v>3125</v>
      </c>
      <c r="J10" s="3297">
        <v>84526.38</v>
      </c>
      <c r="K10" s="3297">
        <v>262031.78</v>
      </c>
      <c r="L10" s="3297" t="s">
        <v>3198</v>
      </c>
      <c r="M10" s="3297" t="s">
        <v>2797</v>
      </c>
      <c r="N10" s="3297" t="s">
        <v>3157</v>
      </c>
      <c r="O10" s="3297" t="s">
        <v>3128</v>
      </c>
      <c r="P10" s="3297" t="s">
        <v>2797</v>
      </c>
      <c r="Q10" s="3297" t="s">
        <v>2797</v>
      </c>
      <c r="R10" s="3297" t="s">
        <v>2797</v>
      </c>
      <c r="S10" s="3297" t="s">
        <v>2797</v>
      </c>
      <c r="T10" s="3297" t="s">
        <v>2797</v>
      </c>
      <c r="U10" s="3297" t="s">
        <v>2797</v>
      </c>
      <c r="V10" s="3297" t="s">
        <v>2797</v>
      </c>
      <c r="W10" s="3297" t="s">
        <v>3129</v>
      </c>
      <c r="X10" s="3297" t="s">
        <v>3199</v>
      </c>
      <c r="Y10" s="3297" t="s">
        <v>3200</v>
      </c>
      <c r="Z10" s="3297" t="s">
        <v>3200</v>
      </c>
      <c r="AA10" s="3297" t="s">
        <v>3200</v>
      </c>
      <c r="AB10" s="3297" t="s">
        <v>3201</v>
      </c>
      <c r="AC10" s="3297" t="s">
        <v>3133</v>
      </c>
      <c r="AD10" s="3297" t="s">
        <v>3202</v>
      </c>
      <c r="AE10" s="3297" t="s">
        <v>3203</v>
      </c>
      <c r="AF10" s="3297">
        <v>11410</v>
      </c>
      <c r="AG10" s="3297">
        <v>38036.870000000003</v>
      </c>
      <c r="AH10" s="3297">
        <v>43362</v>
      </c>
      <c r="AI10" s="3297">
        <v>300</v>
      </c>
      <c r="AJ10" s="3297">
        <v>342</v>
      </c>
      <c r="AK10" s="3297">
        <v>1451.61</v>
      </c>
      <c r="AL10" s="3297">
        <v>1654.83</v>
      </c>
      <c r="AM10" s="3297" t="s">
        <v>2797</v>
      </c>
      <c r="AN10" s="3297" t="s">
        <v>2797</v>
      </c>
      <c r="AO10" s="3297">
        <v>14</v>
      </c>
      <c r="AP10" s="3297" t="s">
        <v>3135</v>
      </c>
      <c r="AQ10" s="3297" t="s">
        <v>2797</v>
      </c>
      <c r="AR10" s="3297" t="s">
        <v>2797</v>
      </c>
      <c r="AS10" s="3297" t="s">
        <v>2797</v>
      </c>
      <c r="AT10" s="3297" t="s">
        <v>3136</v>
      </c>
    </row>
    <row r="11" spans="1:46" s="3297" customFormat="1" ht="12.75">
      <c r="A11" s="3316" t="s">
        <v>3586</v>
      </c>
      <c r="B11" s="3297" t="s">
        <v>3120</v>
      </c>
      <c r="C11" s="3297" t="s">
        <v>3121</v>
      </c>
      <c r="D11" s="3297" t="s">
        <v>3147</v>
      </c>
      <c r="E11" s="3297" t="s">
        <v>3205</v>
      </c>
      <c r="F11" s="3297" t="s">
        <v>3204</v>
      </c>
      <c r="G11" s="3297" t="s">
        <v>3123</v>
      </c>
      <c r="H11" s="3297" t="s">
        <v>3206</v>
      </c>
      <c r="I11" s="3297" t="s">
        <v>3207</v>
      </c>
      <c r="J11" s="3297">
        <v>102179.33</v>
      </c>
      <c r="K11" s="3297">
        <v>316755.92</v>
      </c>
      <c r="L11" s="3297" t="s">
        <v>3208</v>
      </c>
      <c r="M11" s="3297" t="s">
        <v>2797</v>
      </c>
      <c r="N11" s="3297" t="s">
        <v>3157</v>
      </c>
      <c r="O11" s="3297" t="s">
        <v>3128</v>
      </c>
      <c r="P11" s="3297" t="s">
        <v>2797</v>
      </c>
      <c r="Q11" s="3297" t="s">
        <v>2797</v>
      </c>
      <c r="R11" s="3297" t="s">
        <v>2797</v>
      </c>
      <c r="S11" s="3297" t="s">
        <v>2797</v>
      </c>
      <c r="T11" s="3297" t="s">
        <v>2797</v>
      </c>
      <c r="U11" s="3297" t="s">
        <v>2797</v>
      </c>
      <c r="V11" s="3297" t="s">
        <v>2797</v>
      </c>
      <c r="W11" s="3297" t="s">
        <v>3129</v>
      </c>
      <c r="X11" s="3297" t="s">
        <v>3209</v>
      </c>
      <c r="Y11" s="3297" t="s">
        <v>3210</v>
      </c>
      <c r="Z11" s="3297" t="s">
        <v>3210</v>
      </c>
      <c r="AA11" s="3297" t="s">
        <v>3210</v>
      </c>
      <c r="AB11" s="3297" t="s">
        <v>3211</v>
      </c>
      <c r="AC11" s="3297" t="s">
        <v>3133</v>
      </c>
      <c r="AD11" s="3297" t="s">
        <v>3212</v>
      </c>
      <c r="AE11" s="3297" t="s">
        <v>3213</v>
      </c>
      <c r="AF11" s="3297">
        <v>12970</v>
      </c>
      <c r="AG11" s="3297">
        <v>43221.86</v>
      </c>
      <c r="AH11" s="3297">
        <v>47973</v>
      </c>
      <c r="AI11" s="3297">
        <v>282</v>
      </c>
      <c r="AJ11" s="3297">
        <v>313</v>
      </c>
      <c r="AK11" s="3297">
        <v>1364.51</v>
      </c>
      <c r="AL11" s="3297">
        <v>1514.5</v>
      </c>
      <c r="AM11" s="3297" t="s">
        <v>2797</v>
      </c>
      <c r="AN11" s="3297" t="s">
        <v>2797</v>
      </c>
      <c r="AO11" s="3297">
        <v>10.99</v>
      </c>
      <c r="AP11" s="3297" t="s">
        <v>3135</v>
      </c>
      <c r="AQ11" s="3297" t="s">
        <v>2797</v>
      </c>
      <c r="AR11" s="3297" t="s">
        <v>2797</v>
      </c>
      <c r="AS11" s="3297" t="s">
        <v>2797</v>
      </c>
      <c r="AT11" s="3297" t="s">
        <v>3214</v>
      </c>
    </row>
    <row r="12" spans="1:46">
      <c r="A12" s="3298" t="s">
        <v>3215</v>
      </c>
      <c r="B12" s="3298" t="s">
        <v>3120</v>
      </c>
      <c r="C12" s="3298" t="s">
        <v>3121</v>
      </c>
      <c r="D12" s="3298" t="s">
        <v>3122</v>
      </c>
      <c r="E12" s="3298" t="s">
        <v>3216</v>
      </c>
      <c r="F12" s="3298" t="s">
        <v>3215</v>
      </c>
      <c r="G12" s="3298" t="s">
        <v>3123</v>
      </c>
      <c r="H12" s="3298" t="s">
        <v>3217</v>
      </c>
      <c r="I12" s="3298" t="s">
        <v>3218</v>
      </c>
      <c r="J12" s="3298">
        <v>25495</v>
      </c>
      <c r="K12" s="3298">
        <v>33143.5</v>
      </c>
      <c r="L12" s="3298" t="s">
        <v>3219</v>
      </c>
      <c r="M12" s="3298" t="s">
        <v>2797</v>
      </c>
      <c r="N12" s="3298" t="s">
        <v>3140</v>
      </c>
      <c r="O12" s="3298" t="s">
        <v>3220</v>
      </c>
      <c r="P12" s="3298" t="s">
        <v>2797</v>
      </c>
      <c r="Q12" s="3298" t="s">
        <v>2797</v>
      </c>
      <c r="R12" s="3298" t="s">
        <v>2797</v>
      </c>
      <c r="S12" s="3298" t="s">
        <v>2797</v>
      </c>
      <c r="T12" s="3298" t="s">
        <v>2797</v>
      </c>
      <c r="U12" s="3298" t="s">
        <v>2797</v>
      </c>
      <c r="V12" s="3298" t="s">
        <v>2797</v>
      </c>
      <c r="W12" s="3298" t="s">
        <v>3129</v>
      </c>
      <c r="X12" s="3298" t="s">
        <v>3221</v>
      </c>
      <c r="Y12" s="3298" t="s">
        <v>3199</v>
      </c>
      <c r="Z12" s="3298" t="s">
        <v>3199</v>
      </c>
      <c r="AA12" s="3298" t="s">
        <v>3199</v>
      </c>
      <c r="AB12" s="3298" t="s">
        <v>3222</v>
      </c>
      <c r="AC12" s="3298" t="s">
        <v>3133</v>
      </c>
      <c r="AD12" s="3298" t="s">
        <v>3223</v>
      </c>
      <c r="AE12" s="3298" t="s">
        <v>2797</v>
      </c>
      <c r="AF12" s="3298">
        <v>1882</v>
      </c>
      <c r="AG12" s="3298">
        <v>6271.35</v>
      </c>
      <c r="AH12" s="3298">
        <v>10554</v>
      </c>
      <c r="AI12" s="3298">
        <v>163.99</v>
      </c>
      <c r="AJ12" s="3298">
        <v>275.98</v>
      </c>
      <c r="AK12" s="3298">
        <v>1892.18</v>
      </c>
      <c r="AL12" s="3298">
        <v>3184.32</v>
      </c>
      <c r="AM12" s="3298" t="s">
        <v>2797</v>
      </c>
      <c r="AN12" s="3298" t="s">
        <v>2797</v>
      </c>
      <c r="AO12" s="3298">
        <v>68.290000000000006</v>
      </c>
      <c r="AP12" s="3298" t="s">
        <v>3135</v>
      </c>
      <c r="AQ12" s="3298" t="s">
        <v>2797</v>
      </c>
      <c r="AR12" s="3298" t="s">
        <v>2797</v>
      </c>
      <c r="AS12" s="3298" t="s">
        <v>2797</v>
      </c>
      <c r="AT12" s="3298" t="s">
        <v>3224</v>
      </c>
    </row>
    <row r="13" spans="1:46">
      <c r="A13" s="3298" t="s">
        <v>3225</v>
      </c>
      <c r="B13" s="3298" t="s">
        <v>3120</v>
      </c>
      <c r="C13" s="3298" t="s">
        <v>3162</v>
      </c>
      <c r="D13" s="3298" t="s">
        <v>3147</v>
      </c>
      <c r="E13" s="3298" t="s">
        <v>3226</v>
      </c>
      <c r="F13" s="3298" t="s">
        <v>3225</v>
      </c>
      <c r="G13" s="3298" t="s">
        <v>3123</v>
      </c>
      <c r="H13" s="3298" t="s">
        <v>3227</v>
      </c>
      <c r="I13" s="3298" t="s">
        <v>3228</v>
      </c>
      <c r="J13" s="3298">
        <v>49940.04</v>
      </c>
      <c r="K13" s="3298">
        <v>124850.1</v>
      </c>
      <c r="L13" s="3298" t="s">
        <v>3174</v>
      </c>
      <c r="M13" s="3298" t="s">
        <v>2797</v>
      </c>
      <c r="N13" s="3298" t="s">
        <v>3140</v>
      </c>
      <c r="O13" s="3298" t="s">
        <v>3182</v>
      </c>
      <c r="P13" s="3298" t="s">
        <v>2797</v>
      </c>
      <c r="Q13" s="3298" t="s">
        <v>2797</v>
      </c>
      <c r="R13" s="3298" t="s">
        <v>2797</v>
      </c>
      <c r="S13" s="3298" t="s">
        <v>2797</v>
      </c>
      <c r="T13" s="3298" t="s">
        <v>2797</v>
      </c>
      <c r="U13" s="3298" t="s">
        <v>2797</v>
      </c>
      <c r="V13" s="3298" t="s">
        <v>2797</v>
      </c>
      <c r="W13" s="3298" t="s">
        <v>3129</v>
      </c>
      <c r="X13" s="3298" t="s">
        <v>3229</v>
      </c>
      <c r="Y13" s="3298" t="s">
        <v>3230</v>
      </c>
      <c r="Z13" s="3298" t="s">
        <v>3230</v>
      </c>
      <c r="AA13" s="3298" t="s">
        <v>3230</v>
      </c>
      <c r="AB13" s="3298" t="s">
        <v>3231</v>
      </c>
      <c r="AC13" s="3298" t="s">
        <v>3133</v>
      </c>
      <c r="AD13" s="3298" t="s">
        <v>3232</v>
      </c>
      <c r="AE13" s="3298" t="s">
        <v>2797</v>
      </c>
      <c r="AF13" s="3298">
        <v>4563</v>
      </c>
      <c r="AG13" s="3298">
        <v>15206.73</v>
      </c>
      <c r="AH13" s="3298">
        <v>15206.73</v>
      </c>
      <c r="AI13" s="3298">
        <v>203</v>
      </c>
      <c r="AJ13" s="3298">
        <v>203</v>
      </c>
      <c r="AK13" s="3298">
        <v>1217.99</v>
      </c>
      <c r="AL13" s="3298">
        <v>1218</v>
      </c>
      <c r="AM13" s="3298" t="s">
        <v>2797</v>
      </c>
      <c r="AN13" s="3298" t="s">
        <v>2797</v>
      </c>
      <c r="AO13" s="3298">
        <v>0</v>
      </c>
      <c r="AP13" s="3298" t="s">
        <v>3233</v>
      </c>
      <c r="AQ13" s="3298" t="s">
        <v>2797</v>
      </c>
      <c r="AR13" s="3298" t="s">
        <v>2797</v>
      </c>
      <c r="AS13" s="3298" t="s">
        <v>2797</v>
      </c>
      <c r="AT13" s="3298" t="s">
        <v>3234</v>
      </c>
    </row>
    <row r="14" spans="1:46">
      <c r="A14" s="3298" t="s">
        <v>3235</v>
      </c>
      <c r="B14" s="3298" t="s">
        <v>3120</v>
      </c>
      <c r="C14" s="3298" t="s">
        <v>3121</v>
      </c>
      <c r="D14" s="3298" t="s">
        <v>3147</v>
      </c>
      <c r="E14" s="3298" t="s">
        <v>3236</v>
      </c>
      <c r="F14" s="3298" t="s">
        <v>3235</v>
      </c>
      <c r="G14" s="3298" t="s">
        <v>3123</v>
      </c>
      <c r="H14" s="3298" t="s">
        <v>3237</v>
      </c>
      <c r="I14" s="3298" t="s">
        <v>3218</v>
      </c>
      <c r="J14" s="3298">
        <v>154348.25</v>
      </c>
      <c r="K14" s="3298">
        <v>385870.63</v>
      </c>
      <c r="L14" s="3298" t="s">
        <v>3190</v>
      </c>
      <c r="M14" s="3298" t="s">
        <v>2797</v>
      </c>
      <c r="N14" s="3298" t="s">
        <v>3127</v>
      </c>
      <c r="O14" s="3298" t="s">
        <v>2797</v>
      </c>
      <c r="P14" s="3298" t="s">
        <v>2797</v>
      </c>
      <c r="Q14" s="3298" t="s">
        <v>2797</v>
      </c>
      <c r="R14" s="3298" t="s">
        <v>2797</v>
      </c>
      <c r="S14" s="3298" t="s">
        <v>2797</v>
      </c>
      <c r="T14" s="3298" t="s">
        <v>2797</v>
      </c>
      <c r="U14" s="3298" t="s">
        <v>2797</v>
      </c>
      <c r="V14" s="3298" t="s">
        <v>2797</v>
      </c>
      <c r="W14" s="3298" t="s">
        <v>3129</v>
      </c>
      <c r="X14" s="3298" t="s">
        <v>3238</v>
      </c>
      <c r="Y14" s="3298" t="s">
        <v>3239</v>
      </c>
      <c r="Z14" s="3298" t="s">
        <v>3239</v>
      </c>
      <c r="AA14" s="3298" t="s">
        <v>3239</v>
      </c>
      <c r="AB14" s="3298" t="s">
        <v>3240</v>
      </c>
      <c r="AC14" s="3298" t="s">
        <v>3133</v>
      </c>
      <c r="AD14" s="3298" t="s">
        <v>3241</v>
      </c>
      <c r="AE14" s="3298" t="s">
        <v>2797</v>
      </c>
      <c r="AF14" s="3298">
        <v>6946</v>
      </c>
      <c r="AG14" s="3298">
        <v>23152.240000000002</v>
      </c>
      <c r="AH14" s="3298">
        <v>23152.240000000002</v>
      </c>
      <c r="AI14" s="3298">
        <v>100</v>
      </c>
      <c r="AJ14" s="3298">
        <v>100</v>
      </c>
      <c r="AK14" s="3298">
        <v>600</v>
      </c>
      <c r="AL14" s="3298">
        <v>600</v>
      </c>
      <c r="AM14" s="3298" t="s">
        <v>2797</v>
      </c>
      <c r="AN14" s="3298" t="s">
        <v>2797</v>
      </c>
      <c r="AO14" s="3298">
        <v>0</v>
      </c>
      <c r="AP14" s="3298" t="s">
        <v>3135</v>
      </c>
      <c r="AQ14" s="3298" t="s">
        <v>2797</v>
      </c>
      <c r="AR14" s="3298" t="s">
        <v>2797</v>
      </c>
      <c r="AS14" s="3298" t="s">
        <v>2797</v>
      </c>
      <c r="AT14" s="3298" t="s">
        <v>3214</v>
      </c>
    </row>
    <row r="15" spans="1:46">
      <c r="A15" s="3298" t="s">
        <v>3242</v>
      </c>
      <c r="B15" s="3298" t="s">
        <v>3120</v>
      </c>
      <c r="C15" s="3298" t="s">
        <v>3121</v>
      </c>
      <c r="D15" s="3298" t="s">
        <v>3122</v>
      </c>
      <c r="E15" s="3298" t="s">
        <v>3236</v>
      </c>
      <c r="F15" s="3298" t="s">
        <v>3242</v>
      </c>
      <c r="G15" s="3298" t="s">
        <v>3123</v>
      </c>
      <c r="H15" s="3298" t="s">
        <v>3243</v>
      </c>
      <c r="I15" s="3298" t="s">
        <v>3218</v>
      </c>
      <c r="J15" s="3298">
        <v>74908.14</v>
      </c>
      <c r="K15" s="3298">
        <v>134834.65</v>
      </c>
      <c r="L15" s="3298" t="s">
        <v>3165</v>
      </c>
      <c r="M15" s="3298" t="s">
        <v>2797</v>
      </c>
      <c r="N15" s="3298" t="s">
        <v>3140</v>
      </c>
      <c r="O15" s="3298" t="s">
        <v>3166</v>
      </c>
      <c r="P15" s="3298" t="s">
        <v>2797</v>
      </c>
      <c r="Q15" s="3298" t="s">
        <v>2797</v>
      </c>
      <c r="R15" s="3298" t="s">
        <v>2797</v>
      </c>
      <c r="S15" s="3298" t="s">
        <v>2797</v>
      </c>
      <c r="T15" s="3298" t="s">
        <v>2797</v>
      </c>
      <c r="U15" s="3298" t="s">
        <v>2797</v>
      </c>
      <c r="V15" s="3298" t="s">
        <v>2797</v>
      </c>
      <c r="W15" s="3298" t="s">
        <v>3244</v>
      </c>
      <c r="X15" s="3298" t="s">
        <v>3245</v>
      </c>
      <c r="Y15" s="3298" t="s">
        <v>3245</v>
      </c>
      <c r="Z15" s="3298" t="s">
        <v>3245</v>
      </c>
      <c r="AA15" s="3298" t="s">
        <v>3245</v>
      </c>
      <c r="AB15" s="3298" t="s">
        <v>3246</v>
      </c>
      <c r="AC15" s="3298" t="s">
        <v>3133</v>
      </c>
      <c r="AD15" s="3298" t="s">
        <v>3212</v>
      </c>
      <c r="AE15" s="3298" t="s">
        <v>3213</v>
      </c>
      <c r="AF15" s="3298">
        <v>8428</v>
      </c>
      <c r="AG15" s="3298">
        <v>28090.54</v>
      </c>
      <c r="AH15" s="3298">
        <v>37753.69</v>
      </c>
      <c r="AI15" s="3298">
        <v>250</v>
      </c>
      <c r="AJ15" s="3298">
        <v>336</v>
      </c>
      <c r="AK15" s="3298">
        <v>2083.33</v>
      </c>
      <c r="AL15" s="3298">
        <v>2800</v>
      </c>
      <c r="AM15" s="3298" t="s">
        <v>2797</v>
      </c>
      <c r="AN15" s="3298" t="s">
        <v>2797</v>
      </c>
      <c r="AO15" s="3298">
        <v>34.4</v>
      </c>
      <c r="AP15" s="3298" t="s">
        <v>3135</v>
      </c>
      <c r="AQ15" s="3298" t="s">
        <v>2797</v>
      </c>
      <c r="AR15" s="3298" t="s">
        <v>2797</v>
      </c>
      <c r="AS15" s="3298" t="s">
        <v>2797</v>
      </c>
      <c r="AT15" s="3298" t="s">
        <v>3214</v>
      </c>
    </row>
    <row r="16" spans="1:46">
      <c r="A16" s="3298" t="s">
        <v>3247</v>
      </c>
      <c r="B16" s="3298" t="s">
        <v>3120</v>
      </c>
      <c r="C16" s="3298" t="s">
        <v>3121</v>
      </c>
      <c r="D16" s="3298" t="s">
        <v>3122</v>
      </c>
      <c r="E16" s="3298" t="s">
        <v>3236</v>
      </c>
      <c r="F16" s="3298" t="s">
        <v>3247</v>
      </c>
      <c r="G16" s="3298" t="s">
        <v>3123</v>
      </c>
      <c r="H16" s="3298" t="s">
        <v>3248</v>
      </c>
      <c r="I16" s="3298" t="s">
        <v>3218</v>
      </c>
      <c r="J16" s="3298">
        <v>23702</v>
      </c>
      <c r="K16" s="3298">
        <v>35553</v>
      </c>
      <c r="L16" s="3298" t="s">
        <v>3249</v>
      </c>
      <c r="M16" s="3298" t="s">
        <v>2797</v>
      </c>
      <c r="N16" s="3298" t="s">
        <v>3140</v>
      </c>
      <c r="O16" s="3298" t="s">
        <v>3141</v>
      </c>
      <c r="P16" s="3298" t="s">
        <v>2797</v>
      </c>
      <c r="Q16" s="3298" t="s">
        <v>2797</v>
      </c>
      <c r="R16" s="3298" t="s">
        <v>2797</v>
      </c>
      <c r="S16" s="3298" t="s">
        <v>2797</v>
      </c>
      <c r="T16" s="3298" t="s">
        <v>2797</v>
      </c>
      <c r="U16" s="3298" t="s">
        <v>2797</v>
      </c>
      <c r="V16" s="3298" t="s">
        <v>2797</v>
      </c>
      <c r="W16" s="3298" t="s">
        <v>3244</v>
      </c>
      <c r="X16" s="3298" t="s">
        <v>3250</v>
      </c>
      <c r="Y16" s="3298" t="s">
        <v>3251</v>
      </c>
      <c r="Z16" s="3298" t="s">
        <v>3251</v>
      </c>
      <c r="AA16" s="3298" t="s">
        <v>3251</v>
      </c>
      <c r="AB16" s="3298" t="s">
        <v>3252</v>
      </c>
      <c r="AC16" s="3298" t="s">
        <v>3133</v>
      </c>
      <c r="AD16" s="3298" t="s">
        <v>3253</v>
      </c>
      <c r="AE16" s="3298" t="s">
        <v>2797</v>
      </c>
      <c r="AF16" s="3298">
        <v>2015.86</v>
      </c>
      <c r="AG16" s="3298">
        <v>6719.52</v>
      </c>
      <c r="AH16" s="3298">
        <v>7892.77</v>
      </c>
      <c r="AI16" s="3298">
        <v>189</v>
      </c>
      <c r="AJ16" s="3298">
        <v>222</v>
      </c>
      <c r="AK16" s="3298">
        <v>1890</v>
      </c>
      <c r="AL16" s="3298">
        <v>2220</v>
      </c>
      <c r="AM16" s="3298" t="s">
        <v>2797</v>
      </c>
      <c r="AN16" s="3298" t="s">
        <v>2797</v>
      </c>
      <c r="AO16" s="3298">
        <v>17.46</v>
      </c>
      <c r="AP16" s="3298" t="s">
        <v>3135</v>
      </c>
      <c r="AQ16" s="3298" t="s">
        <v>2797</v>
      </c>
      <c r="AR16" s="3298" t="s">
        <v>2797</v>
      </c>
      <c r="AS16" s="3298" t="s">
        <v>2797</v>
      </c>
      <c r="AT16" s="3298" t="s">
        <v>3214</v>
      </c>
    </row>
    <row r="17" spans="1:46">
      <c r="A17" s="3298" t="s">
        <v>3254</v>
      </c>
      <c r="B17" s="3298" t="s">
        <v>3120</v>
      </c>
      <c r="C17" s="3298" t="s">
        <v>3121</v>
      </c>
      <c r="D17" s="3298" t="s">
        <v>3147</v>
      </c>
      <c r="E17" s="3298" t="s">
        <v>3255</v>
      </c>
      <c r="F17" s="3298" t="s">
        <v>3254</v>
      </c>
      <c r="G17" s="3298" t="s">
        <v>3123</v>
      </c>
      <c r="H17" s="3298" t="s">
        <v>3256</v>
      </c>
      <c r="I17" s="3298" t="s">
        <v>3218</v>
      </c>
      <c r="J17" s="3298">
        <v>65314.07</v>
      </c>
      <c r="K17" s="3298">
        <v>117565.33</v>
      </c>
      <c r="L17" s="3298" t="s">
        <v>3165</v>
      </c>
      <c r="M17" s="3298" t="s">
        <v>2797</v>
      </c>
      <c r="N17" s="3298" t="s">
        <v>3140</v>
      </c>
      <c r="O17" s="3298" t="s">
        <v>3182</v>
      </c>
      <c r="P17" s="3298" t="s">
        <v>2797</v>
      </c>
      <c r="Q17" s="3298" t="s">
        <v>2797</v>
      </c>
      <c r="R17" s="3298" t="s">
        <v>2797</v>
      </c>
      <c r="S17" s="3298" t="s">
        <v>2797</v>
      </c>
      <c r="T17" s="3298" t="s">
        <v>2797</v>
      </c>
      <c r="U17" s="3298" t="s">
        <v>2797</v>
      </c>
      <c r="V17" s="3298" t="s">
        <v>2797</v>
      </c>
      <c r="W17" s="3298" t="s">
        <v>3244</v>
      </c>
      <c r="X17" s="3298" t="s">
        <v>3257</v>
      </c>
      <c r="Y17" s="3298" t="s">
        <v>3258</v>
      </c>
      <c r="Z17" s="3298" t="s">
        <v>3258</v>
      </c>
      <c r="AA17" s="3298" t="s">
        <v>3258</v>
      </c>
      <c r="AB17" s="3298" t="s">
        <v>3259</v>
      </c>
      <c r="AC17" s="3298" t="s">
        <v>3133</v>
      </c>
      <c r="AD17" s="3298" t="s">
        <v>3260</v>
      </c>
      <c r="AE17" s="3298" t="s">
        <v>3261</v>
      </c>
      <c r="AF17" s="3298">
        <v>11414</v>
      </c>
      <c r="AG17" s="3298">
        <v>22827.27</v>
      </c>
      <c r="AH17" s="3298">
        <v>22827.27</v>
      </c>
      <c r="AI17" s="3298">
        <v>233</v>
      </c>
      <c r="AJ17" s="3298">
        <v>233</v>
      </c>
      <c r="AK17" s="3298">
        <v>1941.66</v>
      </c>
      <c r="AL17" s="3298">
        <v>1941.67</v>
      </c>
      <c r="AM17" s="3298" t="s">
        <v>2797</v>
      </c>
      <c r="AN17" s="3298" t="s">
        <v>2797</v>
      </c>
      <c r="AO17" s="3298">
        <v>0</v>
      </c>
      <c r="AP17" s="3298" t="s">
        <v>3135</v>
      </c>
      <c r="AQ17" s="3298" t="s">
        <v>2797</v>
      </c>
      <c r="AR17" s="3298" t="s">
        <v>2797</v>
      </c>
      <c r="AS17" s="3298" t="s">
        <v>2797</v>
      </c>
      <c r="AT17" s="3298" t="s">
        <v>3214</v>
      </c>
    </row>
    <row r="18" spans="1:46">
      <c r="A18" s="3298" t="s">
        <v>3262</v>
      </c>
      <c r="B18" s="3298" t="s">
        <v>3120</v>
      </c>
      <c r="C18" s="3298" t="s">
        <v>3121</v>
      </c>
      <c r="D18" s="3298" t="s">
        <v>3122</v>
      </c>
      <c r="E18" s="3298" t="s">
        <v>3236</v>
      </c>
      <c r="F18" s="3298" t="s">
        <v>3262</v>
      </c>
      <c r="G18" s="3298" t="s">
        <v>3263</v>
      </c>
      <c r="H18" s="3298" t="s">
        <v>3264</v>
      </c>
      <c r="I18" s="3298" t="s">
        <v>3218</v>
      </c>
      <c r="J18" s="3298">
        <v>14094.12</v>
      </c>
      <c r="K18" s="3298">
        <v>35235.300000000003</v>
      </c>
      <c r="L18" s="3298" t="s">
        <v>3190</v>
      </c>
      <c r="M18" s="3298" t="s">
        <v>2797</v>
      </c>
      <c r="N18" s="3298" t="s">
        <v>3140</v>
      </c>
      <c r="O18" s="3298" t="s">
        <v>3182</v>
      </c>
      <c r="P18" s="3298" t="s">
        <v>2797</v>
      </c>
      <c r="Q18" s="3298" t="s">
        <v>2797</v>
      </c>
      <c r="R18" s="3298" t="s">
        <v>2797</v>
      </c>
      <c r="S18" s="3298" t="s">
        <v>2797</v>
      </c>
      <c r="T18" s="3298" t="s">
        <v>2797</v>
      </c>
      <c r="U18" s="3298" t="s">
        <v>2797</v>
      </c>
      <c r="V18" s="3298" t="s">
        <v>2797</v>
      </c>
      <c r="W18" s="3298" t="s">
        <v>3244</v>
      </c>
      <c r="X18" s="3298" t="s">
        <v>3265</v>
      </c>
      <c r="Y18" s="3298" t="s">
        <v>3266</v>
      </c>
      <c r="Z18" s="3298" t="s">
        <v>3266</v>
      </c>
      <c r="AA18" s="3298" t="s">
        <v>3266</v>
      </c>
      <c r="AB18" s="3298" t="s">
        <v>3267</v>
      </c>
      <c r="AC18" s="3298" t="s">
        <v>3133</v>
      </c>
      <c r="AD18" s="3298" t="s">
        <v>3268</v>
      </c>
      <c r="AE18" s="3298" t="s">
        <v>2797</v>
      </c>
      <c r="AF18" s="3298">
        <v>2040</v>
      </c>
      <c r="AG18" s="3298">
        <v>9513.5300000000007</v>
      </c>
      <c r="AH18" s="3298">
        <v>9513.5300000000007</v>
      </c>
      <c r="AI18" s="3298">
        <v>450</v>
      </c>
      <c r="AJ18" s="3298">
        <v>450</v>
      </c>
      <c r="AK18" s="3298">
        <v>2699.99</v>
      </c>
      <c r="AL18" s="3298">
        <v>2700</v>
      </c>
      <c r="AM18" s="3298" t="s">
        <v>2797</v>
      </c>
      <c r="AN18" s="3298" t="s">
        <v>2797</v>
      </c>
      <c r="AO18" s="3298">
        <v>0</v>
      </c>
      <c r="AP18" s="3298" t="s">
        <v>3135</v>
      </c>
      <c r="AQ18" s="3298" t="s">
        <v>2797</v>
      </c>
      <c r="AR18" s="3298" t="s">
        <v>2797</v>
      </c>
      <c r="AS18" s="3298" t="s">
        <v>2797</v>
      </c>
      <c r="AT18" s="3298" t="s">
        <v>3214</v>
      </c>
    </row>
    <row r="19" spans="1:46">
      <c r="A19" s="3298" t="s">
        <v>3269</v>
      </c>
      <c r="B19" s="3298" t="s">
        <v>3120</v>
      </c>
      <c r="C19" s="3298" t="s">
        <v>3121</v>
      </c>
      <c r="D19" s="3298" t="s">
        <v>3122</v>
      </c>
      <c r="E19" s="3298" t="s">
        <v>3236</v>
      </c>
      <c r="F19" s="3298" t="s">
        <v>3269</v>
      </c>
      <c r="G19" s="3298" t="s">
        <v>3263</v>
      </c>
      <c r="H19" s="3298" t="s">
        <v>3270</v>
      </c>
      <c r="I19" s="3298" t="s">
        <v>3218</v>
      </c>
      <c r="J19" s="3298">
        <v>147379.09</v>
      </c>
      <c r="K19" s="3298">
        <v>265282.36</v>
      </c>
      <c r="L19" s="3298" t="s">
        <v>3165</v>
      </c>
      <c r="M19" s="3298" t="s">
        <v>2797</v>
      </c>
      <c r="N19" s="3298" t="s">
        <v>3127</v>
      </c>
      <c r="O19" s="3298" t="s">
        <v>3182</v>
      </c>
      <c r="P19" s="3298" t="s">
        <v>2797</v>
      </c>
      <c r="Q19" s="3298" t="s">
        <v>2797</v>
      </c>
      <c r="R19" s="3298" t="s">
        <v>2797</v>
      </c>
      <c r="S19" s="3298" t="s">
        <v>2797</v>
      </c>
      <c r="T19" s="3298" t="s">
        <v>2797</v>
      </c>
      <c r="U19" s="3298" t="s">
        <v>2797</v>
      </c>
      <c r="V19" s="3298" t="s">
        <v>2797</v>
      </c>
      <c r="W19" s="3298" t="s">
        <v>3244</v>
      </c>
      <c r="X19" s="3298" t="s">
        <v>3271</v>
      </c>
      <c r="Y19" s="3298" t="s">
        <v>3272</v>
      </c>
      <c r="Z19" s="3298" t="s">
        <v>3272</v>
      </c>
      <c r="AA19" s="3298" t="s">
        <v>3272</v>
      </c>
      <c r="AB19" s="3298" t="s">
        <v>3273</v>
      </c>
      <c r="AC19" s="3298" t="s">
        <v>3133</v>
      </c>
      <c r="AD19" s="3298" t="s">
        <v>3274</v>
      </c>
      <c r="AE19" s="3298" t="s">
        <v>3195</v>
      </c>
      <c r="AF19" s="3298">
        <v>14730</v>
      </c>
      <c r="AG19" s="3298">
        <v>49077.23</v>
      </c>
      <c r="AH19" s="3298">
        <v>49077.23</v>
      </c>
      <c r="AI19" s="3298">
        <v>222</v>
      </c>
      <c r="AJ19" s="3298">
        <v>222</v>
      </c>
      <c r="AK19" s="3298">
        <v>1850</v>
      </c>
      <c r="AL19" s="3298">
        <v>1850</v>
      </c>
      <c r="AM19" s="3298" t="s">
        <v>2797</v>
      </c>
      <c r="AN19" s="3298" t="s">
        <v>2797</v>
      </c>
      <c r="AO19" s="3298">
        <v>0</v>
      </c>
      <c r="AP19" s="3298" t="s">
        <v>3135</v>
      </c>
      <c r="AQ19" s="3298" t="s">
        <v>2797</v>
      </c>
      <c r="AR19" s="3298" t="s">
        <v>2797</v>
      </c>
      <c r="AS19" s="3298" t="s">
        <v>2797</v>
      </c>
      <c r="AT19" s="3298" t="s">
        <v>3214</v>
      </c>
    </row>
    <row r="20" spans="1:46">
      <c r="A20" s="3298" t="s">
        <v>3275</v>
      </c>
      <c r="B20" s="3298" t="s">
        <v>3120</v>
      </c>
      <c r="C20" s="3298" t="s">
        <v>3121</v>
      </c>
      <c r="D20" s="3298" t="s">
        <v>3122</v>
      </c>
      <c r="E20" s="3298" t="s">
        <v>3276</v>
      </c>
      <c r="F20" s="3298" t="s">
        <v>3275</v>
      </c>
      <c r="G20" s="3298" t="s">
        <v>3123</v>
      </c>
      <c r="H20" s="3298" t="s">
        <v>3277</v>
      </c>
      <c r="I20" s="3298" t="s">
        <v>3218</v>
      </c>
      <c r="J20" s="3298">
        <v>97231.2</v>
      </c>
      <c r="K20" s="3298">
        <v>194462.4</v>
      </c>
      <c r="L20" s="3298" t="s">
        <v>3278</v>
      </c>
      <c r="M20" s="3298" t="s">
        <v>2797</v>
      </c>
      <c r="N20" s="3298" t="s">
        <v>3127</v>
      </c>
      <c r="O20" s="3298" t="s">
        <v>3140</v>
      </c>
      <c r="P20" s="3298" t="s">
        <v>2797</v>
      </c>
      <c r="Q20" s="3298" t="s">
        <v>2797</v>
      </c>
      <c r="R20" s="3298" t="s">
        <v>2797</v>
      </c>
      <c r="S20" s="3298" t="s">
        <v>2797</v>
      </c>
      <c r="T20" s="3298" t="s">
        <v>2797</v>
      </c>
      <c r="U20" s="3298" t="s">
        <v>2797</v>
      </c>
      <c r="V20" s="3298" t="s">
        <v>2797</v>
      </c>
      <c r="W20" s="3298" t="s">
        <v>3244</v>
      </c>
      <c r="X20" s="3298" t="s">
        <v>3279</v>
      </c>
      <c r="Y20" s="3298" t="s">
        <v>3280</v>
      </c>
      <c r="Z20" s="3298" t="s">
        <v>3280</v>
      </c>
      <c r="AA20" s="3298" t="s">
        <v>3280</v>
      </c>
      <c r="AB20" s="3298" t="s">
        <v>3281</v>
      </c>
      <c r="AC20" s="3298" t="s">
        <v>3133</v>
      </c>
      <c r="AD20" s="3298" t="s">
        <v>3282</v>
      </c>
      <c r="AE20" s="3298" t="s">
        <v>2797</v>
      </c>
      <c r="AF20" s="3298">
        <v>12834.5</v>
      </c>
      <c r="AG20" s="3298">
        <v>42781</v>
      </c>
      <c r="AH20" s="3298">
        <v>48566.98</v>
      </c>
      <c r="AI20" s="3298">
        <v>293.33</v>
      </c>
      <c r="AJ20" s="3298">
        <v>333</v>
      </c>
      <c r="AK20" s="3298">
        <v>2199.96</v>
      </c>
      <c r="AL20" s="3298">
        <v>2497.5</v>
      </c>
      <c r="AM20" s="3298" t="s">
        <v>2797</v>
      </c>
      <c r="AN20" s="3298" t="s">
        <v>2797</v>
      </c>
      <c r="AO20" s="3298">
        <v>13.52</v>
      </c>
      <c r="AP20" s="3298" t="s">
        <v>3135</v>
      </c>
      <c r="AQ20" s="3298" t="s">
        <v>2797</v>
      </c>
      <c r="AR20" s="3298" t="s">
        <v>2797</v>
      </c>
      <c r="AS20" s="3298" t="s">
        <v>2797</v>
      </c>
      <c r="AT20" s="3298" t="s">
        <v>3224</v>
      </c>
    </row>
    <row r="21" spans="1:46">
      <c r="A21" s="3298" t="s">
        <v>3283</v>
      </c>
      <c r="B21" s="3298" t="s">
        <v>3120</v>
      </c>
      <c r="C21" s="3298" t="s">
        <v>3121</v>
      </c>
      <c r="D21" s="3298" t="s">
        <v>3147</v>
      </c>
      <c r="E21" s="3298" t="s">
        <v>3255</v>
      </c>
      <c r="F21" s="3298" t="s">
        <v>3283</v>
      </c>
      <c r="G21" s="3298" t="s">
        <v>3123</v>
      </c>
      <c r="H21" s="3298" t="s">
        <v>3284</v>
      </c>
      <c r="I21" s="3298" t="s">
        <v>3218</v>
      </c>
      <c r="J21" s="3298">
        <v>104687.51</v>
      </c>
      <c r="K21" s="3298">
        <v>229812.87</v>
      </c>
      <c r="L21" s="3298" t="s">
        <v>3285</v>
      </c>
      <c r="M21" s="3298" t="s">
        <v>2797</v>
      </c>
      <c r="N21" s="3298" t="s">
        <v>3140</v>
      </c>
      <c r="O21" s="3298" t="s">
        <v>2797</v>
      </c>
      <c r="P21" s="3298" t="s">
        <v>2797</v>
      </c>
      <c r="Q21" s="3298" t="s">
        <v>2797</v>
      </c>
      <c r="R21" s="3298" t="s">
        <v>2797</v>
      </c>
      <c r="S21" s="3298" t="s">
        <v>2797</v>
      </c>
      <c r="T21" s="3298" t="s">
        <v>2797</v>
      </c>
      <c r="U21" s="3298" t="s">
        <v>2797</v>
      </c>
      <c r="V21" s="3298" t="s">
        <v>2797</v>
      </c>
      <c r="W21" s="3298" t="s">
        <v>3244</v>
      </c>
      <c r="X21" s="3298" t="s">
        <v>3286</v>
      </c>
      <c r="Y21" s="3298" t="s">
        <v>3287</v>
      </c>
      <c r="Z21" s="3298" t="s">
        <v>3287</v>
      </c>
      <c r="AA21" s="3298" t="s">
        <v>3287</v>
      </c>
      <c r="AB21" s="3298" t="s">
        <v>3288</v>
      </c>
      <c r="AC21" s="3298" t="s">
        <v>3133</v>
      </c>
      <c r="AD21" s="3298" t="s">
        <v>3289</v>
      </c>
      <c r="AE21" s="3298" t="s">
        <v>3290</v>
      </c>
      <c r="AF21" s="3298">
        <v>15404.65</v>
      </c>
      <c r="AG21" s="3298">
        <v>51348.800000000003</v>
      </c>
      <c r="AH21" s="3298">
        <v>51349.22</v>
      </c>
      <c r="AI21" s="3298">
        <v>327</v>
      </c>
      <c r="AJ21" s="3298">
        <v>327</v>
      </c>
      <c r="AK21" s="3298">
        <v>2234.37</v>
      </c>
      <c r="AL21" s="3298">
        <v>2234.38</v>
      </c>
      <c r="AM21" s="3298" t="s">
        <v>2797</v>
      </c>
      <c r="AN21" s="3298" t="s">
        <v>2797</v>
      </c>
      <c r="AO21" s="3298">
        <v>0</v>
      </c>
      <c r="AP21" s="3298" t="s">
        <v>3135</v>
      </c>
      <c r="AQ21" s="3298" t="s">
        <v>2797</v>
      </c>
      <c r="AR21" s="3298" t="s">
        <v>2797</v>
      </c>
      <c r="AS21" s="3298" t="s">
        <v>2797</v>
      </c>
      <c r="AT21" s="3298" t="s">
        <v>3214</v>
      </c>
    </row>
    <row r="22" spans="1:46">
      <c r="A22" s="3298" t="s">
        <v>3291</v>
      </c>
      <c r="B22" s="3298" t="s">
        <v>3120</v>
      </c>
      <c r="C22" s="3298" t="s">
        <v>3162</v>
      </c>
      <c r="D22" s="3298" t="s">
        <v>3147</v>
      </c>
      <c r="E22" s="3298" t="s">
        <v>3292</v>
      </c>
      <c r="F22" s="3298" t="s">
        <v>3291</v>
      </c>
      <c r="G22" s="3298" t="s">
        <v>3123</v>
      </c>
      <c r="H22" s="3298" t="s">
        <v>3293</v>
      </c>
      <c r="I22" s="3298" t="s">
        <v>3294</v>
      </c>
      <c r="J22" s="3298">
        <v>119931.7</v>
      </c>
      <c r="K22" s="3298">
        <v>299829.3</v>
      </c>
      <c r="L22" s="3298" t="s">
        <v>3190</v>
      </c>
      <c r="M22" s="3298" t="s">
        <v>2797</v>
      </c>
      <c r="N22" s="3298" t="s">
        <v>3140</v>
      </c>
      <c r="O22" s="3298" t="s">
        <v>3128</v>
      </c>
      <c r="P22" s="3298" t="s">
        <v>2797</v>
      </c>
      <c r="Q22" s="3298" t="s">
        <v>2797</v>
      </c>
      <c r="R22" s="3298" t="s">
        <v>2797</v>
      </c>
      <c r="S22" s="3298" t="s">
        <v>2797</v>
      </c>
      <c r="T22" s="3298" t="s">
        <v>2797</v>
      </c>
      <c r="U22" s="3298" t="s">
        <v>2797</v>
      </c>
      <c r="V22" s="3298" t="s">
        <v>2797</v>
      </c>
      <c r="W22" s="3298" t="s">
        <v>3244</v>
      </c>
      <c r="X22" s="3298" t="s">
        <v>3295</v>
      </c>
      <c r="Y22" s="3298" t="s">
        <v>3296</v>
      </c>
      <c r="Z22" s="3298" t="s">
        <v>3296</v>
      </c>
      <c r="AA22" s="3298" t="s">
        <v>3296</v>
      </c>
      <c r="AB22" s="3298" t="s">
        <v>3297</v>
      </c>
      <c r="AC22" s="3298" t="s">
        <v>3133</v>
      </c>
      <c r="AD22" s="3298" t="s">
        <v>3298</v>
      </c>
      <c r="AE22" s="3298" t="s">
        <v>2797</v>
      </c>
      <c r="AF22" s="3298">
        <v>13223</v>
      </c>
      <c r="AG22" s="3298">
        <v>26444.93</v>
      </c>
      <c r="AH22" s="3298">
        <v>26444.93</v>
      </c>
      <c r="AI22" s="3298">
        <v>147</v>
      </c>
      <c r="AJ22" s="3298">
        <v>147</v>
      </c>
      <c r="AK22" s="3298">
        <v>881.99</v>
      </c>
      <c r="AL22" s="3298">
        <v>882</v>
      </c>
      <c r="AM22" s="3298" t="s">
        <v>2797</v>
      </c>
      <c r="AN22" s="3298" t="s">
        <v>2797</v>
      </c>
      <c r="AO22" s="3298">
        <v>0</v>
      </c>
      <c r="AP22" s="3298" t="s">
        <v>3299</v>
      </c>
      <c r="AQ22" s="3298" t="s">
        <v>2797</v>
      </c>
      <c r="AR22" s="3298" t="s">
        <v>2797</v>
      </c>
      <c r="AS22" s="3298" t="s">
        <v>2797</v>
      </c>
      <c r="AT22" s="3298" t="s">
        <v>3300</v>
      </c>
    </row>
    <row r="23" spans="1:46">
      <c r="A23" s="3298" t="s">
        <v>3301</v>
      </c>
      <c r="B23" s="3298" t="s">
        <v>3120</v>
      </c>
      <c r="C23" s="3298" t="s">
        <v>3121</v>
      </c>
      <c r="D23" s="3298" t="s">
        <v>3147</v>
      </c>
      <c r="E23" s="3298" t="s">
        <v>3292</v>
      </c>
      <c r="F23" s="3298" t="s">
        <v>3301</v>
      </c>
      <c r="G23" s="3298" t="s">
        <v>3123</v>
      </c>
      <c r="H23" s="3298" t="s">
        <v>3302</v>
      </c>
      <c r="I23" s="3298" t="s">
        <v>3218</v>
      </c>
      <c r="J23" s="3298">
        <v>164208.4</v>
      </c>
      <c r="K23" s="3298">
        <v>410521</v>
      </c>
      <c r="L23" s="3298" t="s">
        <v>3303</v>
      </c>
      <c r="M23" s="3298" t="s">
        <v>2797</v>
      </c>
      <c r="N23" s="3298" t="s">
        <v>3304</v>
      </c>
      <c r="O23" s="3298" t="s">
        <v>3305</v>
      </c>
      <c r="P23" s="3298" t="s">
        <v>2797</v>
      </c>
      <c r="Q23" s="3298" t="s">
        <v>2797</v>
      </c>
      <c r="R23" s="3298" t="s">
        <v>2797</v>
      </c>
      <c r="S23" s="3298" t="s">
        <v>2797</v>
      </c>
      <c r="T23" s="3298" t="s">
        <v>2797</v>
      </c>
      <c r="U23" s="3298" t="s">
        <v>2797</v>
      </c>
      <c r="V23" s="3298" t="s">
        <v>2797</v>
      </c>
      <c r="W23" s="3298" t="s">
        <v>3244</v>
      </c>
      <c r="X23" s="3298" t="s">
        <v>3306</v>
      </c>
      <c r="Y23" s="3298" t="s">
        <v>3307</v>
      </c>
      <c r="Z23" s="3298" t="s">
        <v>3307</v>
      </c>
      <c r="AA23" s="3298" t="s">
        <v>3307</v>
      </c>
      <c r="AB23" s="3298" t="s">
        <v>3308</v>
      </c>
      <c r="AC23" s="3298" t="s">
        <v>3133</v>
      </c>
      <c r="AD23" s="3298" t="s">
        <v>3309</v>
      </c>
      <c r="AE23" s="3298" t="s">
        <v>3310</v>
      </c>
      <c r="AF23" s="3298">
        <v>27001</v>
      </c>
      <c r="AG23" s="3298">
        <v>45001.3</v>
      </c>
      <c r="AH23" s="3298">
        <v>45001.3</v>
      </c>
      <c r="AI23" s="3298">
        <v>182.7</v>
      </c>
      <c r="AJ23" s="3298">
        <v>182.7</v>
      </c>
      <c r="AK23" s="3298">
        <v>1096.2</v>
      </c>
      <c r="AL23" s="3298">
        <v>1096.2</v>
      </c>
      <c r="AM23" s="3298" t="s">
        <v>2797</v>
      </c>
      <c r="AN23" s="3298" t="s">
        <v>2797</v>
      </c>
      <c r="AO23" s="3298">
        <v>0</v>
      </c>
      <c r="AP23" s="3298" t="s">
        <v>3135</v>
      </c>
      <c r="AQ23" s="3298" t="s">
        <v>2797</v>
      </c>
      <c r="AR23" s="3298" t="s">
        <v>2797</v>
      </c>
      <c r="AS23" s="3298" t="s">
        <v>2797</v>
      </c>
      <c r="AT23" s="3298" t="s">
        <v>3300</v>
      </c>
    </row>
    <row r="24" spans="1:46" s="3299" customFormat="1">
      <c r="A24" s="3299" t="s">
        <v>3311</v>
      </c>
      <c r="B24" s="3299" t="s">
        <v>3120</v>
      </c>
      <c r="C24" s="3299" t="s">
        <v>3121</v>
      </c>
      <c r="D24" s="3299" t="s">
        <v>3147</v>
      </c>
      <c r="E24" s="3299" t="s">
        <v>3312</v>
      </c>
      <c r="F24" s="3299" t="s">
        <v>3311</v>
      </c>
      <c r="G24" s="3299" t="s">
        <v>3123</v>
      </c>
      <c r="H24" s="3299" t="s">
        <v>3313</v>
      </c>
      <c r="I24" s="3299" t="s">
        <v>3218</v>
      </c>
      <c r="J24" s="3299">
        <v>59775.26</v>
      </c>
      <c r="K24" s="3299">
        <v>131505.60000000001</v>
      </c>
      <c r="L24" s="3299" t="s">
        <v>3314</v>
      </c>
      <c r="M24" s="3299" t="s">
        <v>2797</v>
      </c>
      <c r="N24" s="3299" t="s">
        <v>3315</v>
      </c>
      <c r="O24" s="3299" t="s">
        <v>3316</v>
      </c>
      <c r="P24" s="3299" t="s">
        <v>2797</v>
      </c>
      <c r="Q24" s="3299" t="s">
        <v>2797</v>
      </c>
      <c r="R24" s="3299" t="s">
        <v>2797</v>
      </c>
      <c r="S24" s="3299" t="s">
        <v>2797</v>
      </c>
      <c r="T24" s="3299" t="s">
        <v>2797</v>
      </c>
      <c r="U24" s="3299" t="s">
        <v>2797</v>
      </c>
      <c r="V24" s="3299" t="s">
        <v>2797</v>
      </c>
      <c r="W24" s="3299" t="s">
        <v>3244</v>
      </c>
      <c r="X24" s="3299" t="s">
        <v>3317</v>
      </c>
      <c r="Y24" s="3299" t="s">
        <v>3318</v>
      </c>
      <c r="Z24" s="3299" t="s">
        <v>3318</v>
      </c>
      <c r="AA24" s="3299" t="s">
        <v>3318</v>
      </c>
      <c r="AB24" s="3299" t="s">
        <v>3319</v>
      </c>
      <c r="AC24" s="3299" t="s">
        <v>3133</v>
      </c>
      <c r="AD24" s="3299" t="s">
        <v>3009</v>
      </c>
      <c r="AE24" s="3299" t="s">
        <v>3320</v>
      </c>
      <c r="AF24" s="3299">
        <v>7000</v>
      </c>
      <c r="AG24" s="3299">
        <v>24208.97</v>
      </c>
      <c r="AH24" s="3299">
        <v>28781.79</v>
      </c>
      <c r="AI24" s="3299">
        <v>270</v>
      </c>
      <c r="AJ24" s="3299">
        <v>321</v>
      </c>
      <c r="AK24" s="3299">
        <v>1840.9</v>
      </c>
      <c r="AL24" s="3299">
        <v>2188.63</v>
      </c>
      <c r="AM24" s="3299" t="s">
        <v>2797</v>
      </c>
      <c r="AN24" s="3299" t="s">
        <v>2797</v>
      </c>
      <c r="AO24" s="3299">
        <v>18.89</v>
      </c>
      <c r="AP24" s="3299" t="s">
        <v>3135</v>
      </c>
      <c r="AQ24" s="3299" t="s">
        <v>2797</v>
      </c>
      <c r="AR24" s="3299" t="s">
        <v>2797</v>
      </c>
      <c r="AS24" s="3299" t="s">
        <v>2797</v>
      </c>
      <c r="AT24" s="3299" t="s">
        <v>3214</v>
      </c>
    </row>
    <row r="25" spans="1:46">
      <c r="A25" s="3298" t="s">
        <v>3321</v>
      </c>
      <c r="B25" s="3298" t="s">
        <v>3120</v>
      </c>
      <c r="C25" s="3298" t="s">
        <v>3121</v>
      </c>
      <c r="D25" s="3298" t="s">
        <v>3147</v>
      </c>
      <c r="E25" s="3298" t="s">
        <v>3205</v>
      </c>
      <c r="F25" s="3298" t="s">
        <v>3321</v>
      </c>
      <c r="G25" s="3298" t="s">
        <v>3123</v>
      </c>
      <c r="H25" s="3298" t="s">
        <v>3313</v>
      </c>
      <c r="I25" s="3298" t="s">
        <v>3218</v>
      </c>
      <c r="J25" s="3298">
        <v>64242.96</v>
      </c>
      <c r="K25" s="3298">
        <v>160607.4</v>
      </c>
      <c r="L25" s="3298" t="s">
        <v>3303</v>
      </c>
      <c r="M25" s="3298" t="s">
        <v>2797</v>
      </c>
      <c r="N25" s="3298" t="s">
        <v>3315</v>
      </c>
      <c r="O25" s="3298" t="s">
        <v>3316</v>
      </c>
      <c r="P25" s="3298" t="s">
        <v>2797</v>
      </c>
      <c r="Q25" s="3298" t="s">
        <v>2797</v>
      </c>
      <c r="R25" s="3298" t="s">
        <v>2797</v>
      </c>
      <c r="S25" s="3298" t="s">
        <v>2797</v>
      </c>
      <c r="T25" s="3298" t="s">
        <v>2797</v>
      </c>
      <c r="U25" s="3298" t="s">
        <v>2797</v>
      </c>
      <c r="V25" s="3298" t="s">
        <v>2797</v>
      </c>
      <c r="W25" s="3298" t="s">
        <v>3244</v>
      </c>
      <c r="X25" s="3298" t="s">
        <v>3317</v>
      </c>
      <c r="Y25" s="3298" t="s">
        <v>3318</v>
      </c>
      <c r="Z25" s="3298" t="s">
        <v>3318</v>
      </c>
      <c r="AA25" s="3298" t="s">
        <v>3318</v>
      </c>
      <c r="AB25" s="3298" t="s">
        <v>3322</v>
      </c>
      <c r="AC25" s="3298" t="s">
        <v>3133</v>
      </c>
      <c r="AD25" s="3298" t="s">
        <v>3009</v>
      </c>
      <c r="AE25" s="3298" t="s">
        <v>3320</v>
      </c>
      <c r="AF25" s="3298">
        <v>8068</v>
      </c>
      <c r="AG25" s="3298">
        <v>26018.400000000001</v>
      </c>
      <c r="AH25" s="3298">
        <v>30932.97</v>
      </c>
      <c r="AI25" s="3298">
        <v>270</v>
      </c>
      <c r="AJ25" s="3298">
        <v>321</v>
      </c>
      <c r="AK25" s="3298">
        <v>1620</v>
      </c>
      <c r="AL25" s="3298">
        <v>1926</v>
      </c>
      <c r="AM25" s="3298" t="s">
        <v>2797</v>
      </c>
      <c r="AN25" s="3298" t="s">
        <v>2797</v>
      </c>
      <c r="AO25" s="3298">
        <v>18.89</v>
      </c>
      <c r="AP25" s="3298" t="s">
        <v>3135</v>
      </c>
      <c r="AQ25" s="3298" t="s">
        <v>2797</v>
      </c>
      <c r="AR25" s="3298" t="s">
        <v>2797</v>
      </c>
      <c r="AS25" s="3298" t="s">
        <v>2797</v>
      </c>
      <c r="AT25" s="3298" t="s">
        <v>3214</v>
      </c>
    </row>
    <row r="26" spans="1:46">
      <c r="A26" s="3298" t="s">
        <v>3323</v>
      </c>
      <c r="B26" s="3298" t="s">
        <v>3120</v>
      </c>
      <c r="C26" s="3298" t="s">
        <v>3121</v>
      </c>
      <c r="D26" s="3298" t="s">
        <v>3122</v>
      </c>
      <c r="E26" s="3298" t="s">
        <v>3324</v>
      </c>
      <c r="F26" s="3298" t="s">
        <v>3323</v>
      </c>
      <c r="G26" s="3298" t="s">
        <v>3123</v>
      </c>
      <c r="H26" s="3298" t="s">
        <v>3325</v>
      </c>
      <c r="I26" s="3298" t="s">
        <v>3218</v>
      </c>
      <c r="J26" s="3298">
        <v>36597.14</v>
      </c>
      <c r="K26" s="3298">
        <v>109791.4</v>
      </c>
      <c r="L26" s="3298" t="s">
        <v>3326</v>
      </c>
      <c r="M26" s="3298" t="s">
        <v>2797</v>
      </c>
      <c r="N26" s="3298" t="s">
        <v>3327</v>
      </c>
      <c r="O26" s="3298" t="s">
        <v>2797</v>
      </c>
      <c r="P26" s="3298" t="s">
        <v>2797</v>
      </c>
      <c r="Q26" s="3298" t="s">
        <v>2797</v>
      </c>
      <c r="R26" s="3298" t="s">
        <v>2797</v>
      </c>
      <c r="S26" s="3298" t="s">
        <v>2797</v>
      </c>
      <c r="T26" s="3298" t="s">
        <v>2797</v>
      </c>
      <c r="U26" s="3298" t="s">
        <v>2797</v>
      </c>
      <c r="V26" s="3298" t="s">
        <v>2797</v>
      </c>
      <c r="W26" s="3298" t="s">
        <v>3244</v>
      </c>
      <c r="X26" s="3298" t="s">
        <v>3328</v>
      </c>
      <c r="Y26" s="3298" t="s">
        <v>3329</v>
      </c>
      <c r="Z26" s="3298" t="s">
        <v>3329</v>
      </c>
      <c r="AA26" s="3298" t="s">
        <v>3329</v>
      </c>
      <c r="AB26" s="3298" t="s">
        <v>3330</v>
      </c>
      <c r="AC26" s="3298" t="s">
        <v>3133</v>
      </c>
      <c r="AD26" s="3298" t="s">
        <v>3212</v>
      </c>
      <c r="AE26" s="3298" t="s">
        <v>3212</v>
      </c>
      <c r="AF26" s="3298">
        <v>3623</v>
      </c>
      <c r="AG26" s="3298">
        <v>12077.05</v>
      </c>
      <c r="AH26" s="3298">
        <v>21025.06</v>
      </c>
      <c r="AI26" s="3298">
        <v>220</v>
      </c>
      <c r="AJ26" s="3298">
        <v>383</v>
      </c>
      <c r="AK26" s="3298">
        <v>1100</v>
      </c>
      <c r="AL26" s="3298">
        <v>1915</v>
      </c>
      <c r="AM26" s="3298" t="s">
        <v>2797</v>
      </c>
      <c r="AN26" s="3298" t="s">
        <v>2797</v>
      </c>
      <c r="AO26" s="3298">
        <v>74.09</v>
      </c>
      <c r="AP26" s="3298" t="s">
        <v>3135</v>
      </c>
      <c r="AQ26" s="3298" t="s">
        <v>2797</v>
      </c>
      <c r="AR26" s="3298" t="s">
        <v>2797</v>
      </c>
      <c r="AS26" s="3298" t="s">
        <v>2797</v>
      </c>
      <c r="AT26" s="3298" t="s">
        <v>3214</v>
      </c>
    </row>
    <row r="27" spans="1:46">
      <c r="A27" s="3298" t="s">
        <v>3331</v>
      </c>
      <c r="B27" s="3298" t="s">
        <v>3120</v>
      </c>
      <c r="C27" s="3298" t="s">
        <v>3162</v>
      </c>
      <c r="D27" s="3298" t="s">
        <v>3122</v>
      </c>
      <c r="E27" s="3298" t="s">
        <v>3332</v>
      </c>
      <c r="F27" s="3298" t="s">
        <v>3331</v>
      </c>
      <c r="G27" s="3298" t="s">
        <v>3123</v>
      </c>
      <c r="H27" s="3298" t="s">
        <v>3333</v>
      </c>
      <c r="I27" s="3298" t="s">
        <v>3010</v>
      </c>
      <c r="J27" s="3298">
        <v>39400.589999999997</v>
      </c>
      <c r="K27" s="3298">
        <v>98501.47</v>
      </c>
      <c r="L27" s="3298" t="s">
        <v>3303</v>
      </c>
      <c r="M27" s="3298" t="s">
        <v>2797</v>
      </c>
      <c r="N27" s="3298" t="s">
        <v>3315</v>
      </c>
      <c r="O27" s="3298" t="s">
        <v>3305</v>
      </c>
      <c r="P27" s="3298" t="s">
        <v>2797</v>
      </c>
      <c r="Q27" s="3298" t="s">
        <v>2797</v>
      </c>
      <c r="R27" s="3298" t="s">
        <v>2797</v>
      </c>
      <c r="S27" s="3298" t="s">
        <v>2797</v>
      </c>
      <c r="T27" s="3298" t="s">
        <v>2797</v>
      </c>
      <c r="U27" s="3298" t="s">
        <v>2797</v>
      </c>
      <c r="V27" s="3298" t="s">
        <v>2797</v>
      </c>
      <c r="W27" s="3298" t="s">
        <v>3244</v>
      </c>
      <c r="X27" s="3298" t="s">
        <v>3334</v>
      </c>
      <c r="Y27" s="3298" t="s">
        <v>3328</v>
      </c>
      <c r="Z27" s="3298" t="s">
        <v>3328</v>
      </c>
      <c r="AA27" s="3298" t="s">
        <v>3328</v>
      </c>
      <c r="AB27" s="3298" t="s">
        <v>3335</v>
      </c>
      <c r="AC27" s="3298" t="s">
        <v>3133</v>
      </c>
      <c r="AD27" s="3298" t="s">
        <v>3336</v>
      </c>
      <c r="AE27" s="3298" t="s">
        <v>2797</v>
      </c>
      <c r="AF27" s="3298">
        <v>4600</v>
      </c>
      <c r="AG27" s="3298">
        <v>15366.22</v>
      </c>
      <c r="AH27" s="3298">
        <v>20212.5</v>
      </c>
      <c r="AI27" s="3298">
        <v>260</v>
      </c>
      <c r="AJ27" s="3298">
        <v>342</v>
      </c>
      <c r="AK27" s="3298">
        <v>1560</v>
      </c>
      <c r="AL27" s="3298">
        <v>2052</v>
      </c>
      <c r="AM27" s="3298" t="s">
        <v>2797</v>
      </c>
      <c r="AN27" s="3298" t="s">
        <v>2797</v>
      </c>
      <c r="AO27" s="3298">
        <v>31.54</v>
      </c>
      <c r="AP27" s="3298" t="s">
        <v>3337</v>
      </c>
      <c r="AQ27" s="3298" t="s">
        <v>2797</v>
      </c>
      <c r="AR27" s="3298" t="s">
        <v>2797</v>
      </c>
      <c r="AS27" s="3298" t="s">
        <v>2797</v>
      </c>
      <c r="AT27" s="3298" t="s">
        <v>3214</v>
      </c>
    </row>
    <row r="28" spans="1:46">
      <c r="A28" s="3298" t="s">
        <v>3338</v>
      </c>
      <c r="B28" s="3298" t="s">
        <v>3120</v>
      </c>
      <c r="C28" s="3298" t="s">
        <v>3162</v>
      </c>
      <c r="D28" s="3298" t="s">
        <v>3122</v>
      </c>
      <c r="E28" s="3298" t="s">
        <v>3324</v>
      </c>
      <c r="F28" s="3298" t="s">
        <v>3338</v>
      </c>
      <c r="G28" s="3298" t="s">
        <v>3123</v>
      </c>
      <c r="H28" s="3298" t="s">
        <v>3339</v>
      </c>
      <c r="I28" s="3298" t="s">
        <v>3340</v>
      </c>
      <c r="J28" s="3298">
        <v>32080</v>
      </c>
      <c r="K28" s="3298">
        <v>64160</v>
      </c>
      <c r="L28" s="3298" t="s">
        <v>3341</v>
      </c>
      <c r="M28" s="3298" t="s">
        <v>2797</v>
      </c>
      <c r="N28" s="3298" t="s">
        <v>3315</v>
      </c>
      <c r="O28" s="3298" t="s">
        <v>2797</v>
      </c>
      <c r="P28" s="3298" t="s">
        <v>2797</v>
      </c>
      <c r="Q28" s="3298" t="s">
        <v>2797</v>
      </c>
      <c r="R28" s="3298" t="s">
        <v>2797</v>
      </c>
      <c r="S28" s="3298" t="s">
        <v>2797</v>
      </c>
      <c r="T28" s="3298" t="s">
        <v>2797</v>
      </c>
      <c r="U28" s="3298" t="s">
        <v>2797</v>
      </c>
      <c r="V28" s="3298" t="s">
        <v>2797</v>
      </c>
      <c r="W28" s="3298" t="s">
        <v>3244</v>
      </c>
      <c r="X28" s="3298" t="s">
        <v>3342</v>
      </c>
      <c r="Y28" s="3298" t="s">
        <v>3343</v>
      </c>
      <c r="Z28" s="3298" t="s">
        <v>3343</v>
      </c>
      <c r="AA28" s="3298" t="s">
        <v>3343</v>
      </c>
      <c r="AB28" s="3298" t="s">
        <v>3344</v>
      </c>
      <c r="AC28" s="3298" t="s">
        <v>3133</v>
      </c>
      <c r="AD28" s="3298" t="s">
        <v>3194</v>
      </c>
      <c r="AE28" s="3298" t="s">
        <v>2797</v>
      </c>
      <c r="AF28" s="3298">
        <v>4634</v>
      </c>
      <c r="AG28" s="3298">
        <v>15446.52</v>
      </c>
      <c r="AH28" s="3298">
        <v>21317.15</v>
      </c>
      <c r="AI28" s="3298">
        <v>321</v>
      </c>
      <c r="AJ28" s="3298">
        <v>443</v>
      </c>
      <c r="AK28" s="3298">
        <v>2407.5</v>
      </c>
      <c r="AL28" s="3298">
        <v>3322.5</v>
      </c>
      <c r="AM28" s="3298" t="s">
        <v>2797</v>
      </c>
      <c r="AN28" s="3298" t="s">
        <v>2797</v>
      </c>
      <c r="AO28" s="3298">
        <v>38.01</v>
      </c>
      <c r="AP28" s="3298" t="s">
        <v>3345</v>
      </c>
      <c r="AQ28" s="3298" t="s">
        <v>2797</v>
      </c>
      <c r="AR28" s="3298" t="s">
        <v>2797</v>
      </c>
      <c r="AS28" s="3298" t="s">
        <v>2797</v>
      </c>
      <c r="AT28" s="3298" t="s">
        <v>3214</v>
      </c>
    </row>
    <row r="29" spans="1:46">
      <c r="A29" s="3298" t="s">
        <v>3346</v>
      </c>
      <c r="B29" s="3298" t="s">
        <v>3120</v>
      </c>
      <c r="C29" s="3298" t="s">
        <v>3162</v>
      </c>
      <c r="D29" s="3298" t="s">
        <v>3122</v>
      </c>
      <c r="E29" s="3298" t="s">
        <v>3236</v>
      </c>
      <c r="F29" s="3298" t="s">
        <v>3346</v>
      </c>
      <c r="G29" s="3298" t="s">
        <v>3123</v>
      </c>
      <c r="H29" s="3298" t="s">
        <v>3347</v>
      </c>
      <c r="I29" s="3298" t="s">
        <v>3348</v>
      </c>
      <c r="J29" s="3298">
        <v>112390.8</v>
      </c>
      <c r="K29" s="3298">
        <v>224781.5</v>
      </c>
      <c r="L29" s="3298" t="s">
        <v>3341</v>
      </c>
      <c r="M29" s="3298" t="s">
        <v>2797</v>
      </c>
      <c r="N29" s="3298" t="s">
        <v>3304</v>
      </c>
      <c r="O29" s="3298" t="s">
        <v>2797</v>
      </c>
      <c r="P29" s="3298" t="s">
        <v>2797</v>
      </c>
      <c r="Q29" s="3298" t="s">
        <v>2797</v>
      </c>
      <c r="R29" s="3298" t="s">
        <v>2797</v>
      </c>
      <c r="S29" s="3298" t="s">
        <v>2797</v>
      </c>
      <c r="T29" s="3298" t="s">
        <v>2797</v>
      </c>
      <c r="U29" s="3298" t="s">
        <v>2797</v>
      </c>
      <c r="V29" s="3298" t="s">
        <v>2797</v>
      </c>
      <c r="W29" s="3298" t="s">
        <v>3244</v>
      </c>
      <c r="X29" s="3298" t="s">
        <v>3349</v>
      </c>
      <c r="Y29" s="3298" t="s">
        <v>3350</v>
      </c>
      <c r="Z29" s="3298" t="s">
        <v>3350</v>
      </c>
      <c r="AA29" s="3298" t="s">
        <v>3350</v>
      </c>
      <c r="AB29" s="3298" t="s">
        <v>3351</v>
      </c>
      <c r="AC29" s="3298" t="s">
        <v>3133</v>
      </c>
      <c r="AD29" s="3298" t="s">
        <v>3352</v>
      </c>
      <c r="AE29" s="3298" t="s">
        <v>3320</v>
      </c>
      <c r="AF29" s="3298">
        <v>14970</v>
      </c>
      <c r="AG29" s="3298">
        <v>49901.5</v>
      </c>
      <c r="AH29" s="3298">
        <v>59005.15</v>
      </c>
      <c r="AI29" s="3298">
        <v>296</v>
      </c>
      <c r="AJ29" s="3298">
        <v>350</v>
      </c>
      <c r="AK29" s="3298">
        <v>2220</v>
      </c>
      <c r="AL29" s="3298">
        <v>2625</v>
      </c>
      <c r="AM29" s="3298" t="s">
        <v>2797</v>
      </c>
      <c r="AN29" s="3298" t="s">
        <v>2797</v>
      </c>
      <c r="AO29" s="3298">
        <v>18.239999999999998</v>
      </c>
      <c r="AP29" s="3298" t="s">
        <v>3345</v>
      </c>
      <c r="AQ29" s="3298" t="s">
        <v>2797</v>
      </c>
      <c r="AR29" s="3298" t="s">
        <v>2797</v>
      </c>
      <c r="AS29" s="3298" t="s">
        <v>2797</v>
      </c>
      <c r="AT29" s="3298" t="s">
        <v>3214</v>
      </c>
    </row>
    <row r="30" spans="1:46">
      <c r="A30" s="3298" t="s">
        <v>3353</v>
      </c>
      <c r="B30" s="3298" t="s">
        <v>3120</v>
      </c>
      <c r="C30" s="3298" t="s">
        <v>3162</v>
      </c>
      <c r="D30" s="3298" t="s">
        <v>3147</v>
      </c>
      <c r="E30" s="3298" t="s">
        <v>3292</v>
      </c>
      <c r="F30" s="3298" t="s">
        <v>3353</v>
      </c>
      <c r="G30" s="3298" t="s">
        <v>3123</v>
      </c>
      <c r="H30" s="3298" t="s">
        <v>3354</v>
      </c>
      <c r="I30" s="3298" t="s">
        <v>3355</v>
      </c>
      <c r="J30" s="3298">
        <v>82143.899999999994</v>
      </c>
      <c r="K30" s="3298">
        <v>164287.79999999999</v>
      </c>
      <c r="L30" s="3298" t="s">
        <v>3341</v>
      </c>
      <c r="M30" s="3298" t="s">
        <v>2797</v>
      </c>
      <c r="N30" s="3298" t="s">
        <v>3356</v>
      </c>
      <c r="O30" s="3298" t="s">
        <v>3357</v>
      </c>
      <c r="P30" s="3298" t="s">
        <v>2797</v>
      </c>
      <c r="Q30" s="3298" t="s">
        <v>2797</v>
      </c>
      <c r="R30" s="3298" t="s">
        <v>2797</v>
      </c>
      <c r="S30" s="3298" t="s">
        <v>2797</v>
      </c>
      <c r="T30" s="3298" t="s">
        <v>2797</v>
      </c>
      <c r="U30" s="3298" t="s">
        <v>2797</v>
      </c>
      <c r="V30" s="3298" t="s">
        <v>2797</v>
      </c>
      <c r="W30" s="3298" t="s">
        <v>3244</v>
      </c>
      <c r="X30" s="3298" t="s">
        <v>3358</v>
      </c>
      <c r="Y30" s="3298" t="s">
        <v>3359</v>
      </c>
      <c r="Z30" s="3298" t="s">
        <v>3359</v>
      </c>
      <c r="AA30" s="3298" t="s">
        <v>3359</v>
      </c>
      <c r="AB30" s="3298" t="s">
        <v>3360</v>
      </c>
      <c r="AC30" s="3298" t="s">
        <v>3133</v>
      </c>
      <c r="AD30" s="3298" t="s">
        <v>3361</v>
      </c>
      <c r="AE30" s="3298" t="s">
        <v>3362</v>
      </c>
      <c r="AF30" s="3298">
        <v>9611</v>
      </c>
      <c r="AG30" s="3298">
        <v>32036.11</v>
      </c>
      <c r="AH30" s="3298">
        <v>32405.77</v>
      </c>
      <c r="AI30" s="3298">
        <v>260</v>
      </c>
      <c r="AJ30" s="3298">
        <v>263</v>
      </c>
      <c r="AK30" s="3298">
        <v>1950</v>
      </c>
      <c r="AL30" s="3298">
        <v>1972.5</v>
      </c>
      <c r="AM30" s="3298" t="s">
        <v>2797</v>
      </c>
      <c r="AN30" s="3298" t="s">
        <v>2797</v>
      </c>
      <c r="AO30" s="3298">
        <v>1.1499999999999999</v>
      </c>
      <c r="AP30" s="3298" t="s">
        <v>3299</v>
      </c>
      <c r="AQ30" s="3298" t="s">
        <v>2797</v>
      </c>
      <c r="AR30" s="3298" t="s">
        <v>2797</v>
      </c>
      <c r="AS30" s="3298" t="s">
        <v>2797</v>
      </c>
      <c r="AT30" s="3298" t="s">
        <v>3300</v>
      </c>
    </row>
    <row r="31" spans="1:46">
      <c r="A31" s="3298" t="s">
        <v>3363</v>
      </c>
      <c r="B31" s="3298" t="s">
        <v>3120</v>
      </c>
      <c r="C31" s="3298" t="s">
        <v>3121</v>
      </c>
      <c r="D31" s="3298" t="s">
        <v>3147</v>
      </c>
      <c r="E31" s="3298" t="s">
        <v>3205</v>
      </c>
      <c r="F31" s="3298" t="s">
        <v>3363</v>
      </c>
      <c r="G31" s="3298" t="s">
        <v>3123</v>
      </c>
      <c r="H31" s="3298" t="s">
        <v>3364</v>
      </c>
      <c r="I31" s="3298" t="s">
        <v>3365</v>
      </c>
      <c r="J31" s="3298">
        <v>33067.9</v>
      </c>
      <c r="K31" s="3298">
        <v>67789.2</v>
      </c>
      <c r="L31" s="3298" t="s">
        <v>3366</v>
      </c>
      <c r="M31" s="3298" t="s">
        <v>2797</v>
      </c>
      <c r="N31" s="3298" t="s">
        <v>3315</v>
      </c>
      <c r="O31" s="3298" t="s">
        <v>3316</v>
      </c>
      <c r="P31" s="3298" t="s">
        <v>2797</v>
      </c>
      <c r="Q31" s="3298" t="s">
        <v>2797</v>
      </c>
      <c r="R31" s="3298" t="s">
        <v>2797</v>
      </c>
      <c r="S31" s="3298" t="s">
        <v>2797</v>
      </c>
      <c r="T31" s="3298" t="s">
        <v>2797</v>
      </c>
      <c r="U31" s="3298" t="s">
        <v>2797</v>
      </c>
      <c r="V31" s="3298" t="s">
        <v>2797</v>
      </c>
      <c r="W31" s="3298" t="s">
        <v>3244</v>
      </c>
      <c r="X31" s="3298" t="s">
        <v>3367</v>
      </c>
      <c r="Y31" s="3298" t="s">
        <v>3368</v>
      </c>
      <c r="Z31" s="3298" t="s">
        <v>3368</v>
      </c>
      <c r="AA31" s="3298" t="s">
        <v>3368</v>
      </c>
      <c r="AB31" s="3298" t="s">
        <v>3369</v>
      </c>
      <c r="AC31" s="3298" t="s">
        <v>3133</v>
      </c>
      <c r="AD31" s="3298" t="s">
        <v>3212</v>
      </c>
      <c r="AE31" s="3298" t="s">
        <v>3212</v>
      </c>
      <c r="AF31" s="3298">
        <v>4345</v>
      </c>
      <c r="AG31" s="3298">
        <v>14483.73</v>
      </c>
      <c r="AH31" s="3298">
        <v>14483.73</v>
      </c>
      <c r="AI31" s="3298">
        <v>292</v>
      </c>
      <c r="AJ31" s="3298">
        <v>292</v>
      </c>
      <c r="AK31" s="3298">
        <v>2136.58</v>
      </c>
      <c r="AL31" s="3298">
        <v>2136.59</v>
      </c>
      <c r="AM31" s="3298" t="s">
        <v>2797</v>
      </c>
      <c r="AN31" s="3298" t="s">
        <v>2797</v>
      </c>
      <c r="AO31" s="3298">
        <v>0</v>
      </c>
      <c r="AP31" s="3298" t="s">
        <v>3370</v>
      </c>
      <c r="AQ31" s="3298" t="s">
        <v>2797</v>
      </c>
      <c r="AR31" s="3298" t="s">
        <v>2797</v>
      </c>
      <c r="AS31" s="3298" t="s">
        <v>2797</v>
      </c>
      <c r="AT31" s="3298" t="s">
        <v>3214</v>
      </c>
    </row>
    <row r="32" spans="1:46">
      <c r="A32" s="3298" t="s">
        <v>3371</v>
      </c>
      <c r="B32" s="3298" t="s">
        <v>3120</v>
      </c>
      <c r="C32" s="3298" t="s">
        <v>3162</v>
      </c>
      <c r="D32" s="3298" t="s">
        <v>3122</v>
      </c>
      <c r="E32" s="3298" t="s">
        <v>3324</v>
      </c>
      <c r="F32" s="3298" t="s">
        <v>3371</v>
      </c>
      <c r="G32" s="3298" t="s">
        <v>3123</v>
      </c>
      <c r="H32" s="3298" t="s">
        <v>3372</v>
      </c>
      <c r="I32" s="3298" t="s">
        <v>3010</v>
      </c>
      <c r="J32" s="3298">
        <v>112563.4</v>
      </c>
      <c r="K32" s="3298">
        <v>354574.8</v>
      </c>
      <c r="L32" s="3298" t="s">
        <v>3373</v>
      </c>
      <c r="M32" s="3298" t="s">
        <v>2797</v>
      </c>
      <c r="N32" s="3298" t="s">
        <v>3374</v>
      </c>
      <c r="O32" s="3298" t="s">
        <v>2797</v>
      </c>
      <c r="P32" s="3298" t="s">
        <v>2797</v>
      </c>
      <c r="Q32" s="3298" t="s">
        <v>2797</v>
      </c>
      <c r="R32" s="3298" t="s">
        <v>2797</v>
      </c>
      <c r="S32" s="3298" t="s">
        <v>2797</v>
      </c>
      <c r="T32" s="3298" t="s">
        <v>2797</v>
      </c>
      <c r="U32" s="3298" t="s">
        <v>2797</v>
      </c>
      <c r="V32" s="3298" t="s">
        <v>2797</v>
      </c>
      <c r="W32" s="3298" t="s">
        <v>3244</v>
      </c>
      <c r="X32" s="3298" t="s">
        <v>3375</v>
      </c>
      <c r="Y32" s="3298" t="s">
        <v>3376</v>
      </c>
      <c r="Z32" s="3298" t="s">
        <v>3376</v>
      </c>
      <c r="AA32" s="3298" t="s">
        <v>3376</v>
      </c>
      <c r="AB32" s="3298" t="s">
        <v>3377</v>
      </c>
      <c r="AC32" s="3298" t="s">
        <v>3133</v>
      </c>
      <c r="AD32" s="3298" t="s">
        <v>3268</v>
      </c>
      <c r="AE32" s="3298" t="s">
        <v>3378</v>
      </c>
      <c r="AF32" s="3298">
        <v>14859</v>
      </c>
      <c r="AG32" s="3298">
        <v>29716.75</v>
      </c>
      <c r="AH32" s="3298">
        <v>30223.27</v>
      </c>
      <c r="AI32" s="3298">
        <v>176</v>
      </c>
      <c r="AJ32" s="3298">
        <v>179</v>
      </c>
      <c r="AK32" s="3298">
        <v>838.09</v>
      </c>
      <c r="AL32" s="3298">
        <v>852.37</v>
      </c>
      <c r="AM32" s="3298" t="s">
        <v>2797</v>
      </c>
      <c r="AN32" s="3298" t="s">
        <v>2797</v>
      </c>
      <c r="AO32" s="3298">
        <v>1.7</v>
      </c>
      <c r="AP32" s="3298" t="s">
        <v>3379</v>
      </c>
      <c r="AQ32" s="3298" t="s">
        <v>2797</v>
      </c>
      <c r="AR32" s="3298" t="s">
        <v>2797</v>
      </c>
      <c r="AS32" s="3298" t="s">
        <v>2797</v>
      </c>
      <c r="AT32" s="3298" t="s">
        <v>3214</v>
      </c>
    </row>
    <row r="33" spans="1:46">
      <c r="A33" s="3298" t="s">
        <v>3380</v>
      </c>
      <c r="B33" s="3298" t="s">
        <v>3120</v>
      </c>
      <c r="C33" s="3298" t="s">
        <v>3121</v>
      </c>
      <c r="D33" s="3298" t="s">
        <v>3122</v>
      </c>
      <c r="E33" s="3298" t="s">
        <v>3381</v>
      </c>
      <c r="F33" s="3298" t="s">
        <v>3380</v>
      </c>
      <c r="G33" s="3298" t="s">
        <v>3123</v>
      </c>
      <c r="H33" s="3298" t="s">
        <v>3382</v>
      </c>
      <c r="I33" s="3298" t="s">
        <v>3365</v>
      </c>
      <c r="J33" s="3298">
        <v>59550</v>
      </c>
      <c r="K33" s="3298">
        <v>119100</v>
      </c>
      <c r="L33" s="3298" t="s">
        <v>3341</v>
      </c>
      <c r="M33" s="3298" t="s">
        <v>2797</v>
      </c>
      <c r="N33" s="3298" t="s">
        <v>3304</v>
      </c>
      <c r="O33" s="3298" t="s">
        <v>2797</v>
      </c>
      <c r="P33" s="3298" t="s">
        <v>2797</v>
      </c>
      <c r="Q33" s="3298" t="s">
        <v>2797</v>
      </c>
      <c r="R33" s="3298" t="s">
        <v>2797</v>
      </c>
      <c r="S33" s="3298" t="s">
        <v>2797</v>
      </c>
      <c r="T33" s="3298" t="s">
        <v>2797</v>
      </c>
      <c r="U33" s="3298" t="s">
        <v>2797</v>
      </c>
      <c r="V33" s="3298" t="s">
        <v>2797</v>
      </c>
      <c r="W33" s="3298" t="s">
        <v>3244</v>
      </c>
      <c r="X33" s="3298" t="s">
        <v>3383</v>
      </c>
      <c r="Y33" s="3298" t="s">
        <v>3384</v>
      </c>
      <c r="Z33" s="3298" t="s">
        <v>3384</v>
      </c>
      <c r="AA33" s="3298" t="s">
        <v>3384</v>
      </c>
      <c r="AB33" s="3298" t="s">
        <v>3385</v>
      </c>
      <c r="AC33" s="3298" t="s">
        <v>3133</v>
      </c>
      <c r="AD33" s="3298" t="s">
        <v>3386</v>
      </c>
      <c r="AE33" s="3298" t="s">
        <v>3203</v>
      </c>
      <c r="AF33" s="3298">
        <v>10639</v>
      </c>
      <c r="AG33" s="3298">
        <v>35462.01</v>
      </c>
      <c r="AH33" s="3298">
        <v>35462.01</v>
      </c>
      <c r="AI33" s="3298">
        <v>397</v>
      </c>
      <c r="AJ33" s="3298">
        <v>397</v>
      </c>
      <c r="AK33" s="3298">
        <v>2977.49</v>
      </c>
      <c r="AL33" s="3298">
        <v>2977.5</v>
      </c>
      <c r="AM33" s="3298" t="s">
        <v>2797</v>
      </c>
      <c r="AN33" s="3298" t="s">
        <v>2797</v>
      </c>
      <c r="AO33" s="3298">
        <v>0</v>
      </c>
      <c r="AP33" s="3298" t="s">
        <v>3135</v>
      </c>
      <c r="AQ33" s="3298" t="s">
        <v>2797</v>
      </c>
      <c r="AR33" s="3298" t="s">
        <v>2797</v>
      </c>
      <c r="AS33" s="3298" t="s">
        <v>2797</v>
      </c>
      <c r="AT33" s="3298" t="s">
        <v>3214</v>
      </c>
    </row>
    <row r="34" spans="1:46">
      <c r="A34" s="3298" t="s">
        <v>3387</v>
      </c>
      <c r="B34" s="3298" t="s">
        <v>3120</v>
      </c>
      <c r="C34" s="3298" t="s">
        <v>3162</v>
      </c>
      <c r="D34" s="3298" t="s">
        <v>3122</v>
      </c>
      <c r="E34" s="3298" t="s">
        <v>3236</v>
      </c>
      <c r="F34" s="3298" t="s">
        <v>3387</v>
      </c>
      <c r="G34" s="3298" t="s">
        <v>3123</v>
      </c>
      <c r="H34" s="3298" t="s">
        <v>3388</v>
      </c>
      <c r="I34" s="3298" t="s">
        <v>3389</v>
      </c>
      <c r="J34" s="3298">
        <v>61500.44</v>
      </c>
      <c r="K34" s="3298">
        <v>123000.9</v>
      </c>
      <c r="L34" s="3298" t="s">
        <v>3341</v>
      </c>
      <c r="M34" s="3298" t="s">
        <v>2797</v>
      </c>
      <c r="N34" s="3298" t="s">
        <v>3356</v>
      </c>
      <c r="O34" s="3298" t="s">
        <v>2797</v>
      </c>
      <c r="P34" s="3298" t="s">
        <v>2797</v>
      </c>
      <c r="Q34" s="3298" t="s">
        <v>2797</v>
      </c>
      <c r="R34" s="3298" t="s">
        <v>2797</v>
      </c>
      <c r="S34" s="3298" t="s">
        <v>2797</v>
      </c>
      <c r="T34" s="3298" t="s">
        <v>2797</v>
      </c>
      <c r="U34" s="3298" t="s">
        <v>2797</v>
      </c>
      <c r="V34" s="3298" t="s">
        <v>2797</v>
      </c>
      <c r="W34" s="3298" t="s">
        <v>3244</v>
      </c>
      <c r="X34" s="3298" t="s">
        <v>3390</v>
      </c>
      <c r="Y34" s="3298" t="s">
        <v>3391</v>
      </c>
      <c r="Z34" s="3298" t="s">
        <v>3391</v>
      </c>
      <c r="AA34" s="3298" t="s">
        <v>3391</v>
      </c>
      <c r="AB34" s="3298" t="s">
        <v>3392</v>
      </c>
      <c r="AC34" s="3298" t="s">
        <v>3133</v>
      </c>
      <c r="AD34" s="3298" t="s">
        <v>3393</v>
      </c>
      <c r="AE34" s="3298" t="s">
        <v>3203</v>
      </c>
      <c r="AF34" s="3298">
        <v>11320</v>
      </c>
      <c r="AG34" s="3298">
        <v>37730.51</v>
      </c>
      <c r="AH34" s="3298">
        <v>37730.51</v>
      </c>
      <c r="AI34" s="3298">
        <v>409</v>
      </c>
      <c r="AJ34" s="3298">
        <v>409</v>
      </c>
      <c r="AK34" s="3298">
        <v>3067.49</v>
      </c>
      <c r="AL34" s="3298">
        <v>3067.5</v>
      </c>
      <c r="AM34" s="3298" t="s">
        <v>2797</v>
      </c>
      <c r="AN34" s="3298" t="s">
        <v>2797</v>
      </c>
      <c r="AO34" s="3298">
        <v>0</v>
      </c>
      <c r="AP34" s="3298" t="s">
        <v>3394</v>
      </c>
      <c r="AQ34" s="3298" t="s">
        <v>2797</v>
      </c>
      <c r="AR34" s="3298" t="s">
        <v>2797</v>
      </c>
      <c r="AS34" s="3298" t="s">
        <v>2797</v>
      </c>
      <c r="AT34" s="3298" t="s">
        <v>3214</v>
      </c>
    </row>
    <row r="35" spans="1:46">
      <c r="A35" s="3298" t="s">
        <v>3395</v>
      </c>
      <c r="B35" s="3298" t="s">
        <v>3120</v>
      </c>
      <c r="C35" s="3298" t="s">
        <v>3162</v>
      </c>
      <c r="D35" s="3298" t="s">
        <v>3147</v>
      </c>
      <c r="E35" s="3298" t="s">
        <v>3292</v>
      </c>
      <c r="F35" s="3298" t="s">
        <v>3395</v>
      </c>
      <c r="G35" s="3298" t="s">
        <v>3123</v>
      </c>
      <c r="H35" s="3298" t="s">
        <v>3396</v>
      </c>
      <c r="I35" s="3298" t="s">
        <v>3397</v>
      </c>
      <c r="J35" s="3298">
        <v>100000</v>
      </c>
      <c r="K35" s="3298">
        <v>150000</v>
      </c>
      <c r="L35" s="3298" t="s">
        <v>3398</v>
      </c>
      <c r="M35" s="3298" t="s">
        <v>2797</v>
      </c>
      <c r="N35" s="3298" t="s">
        <v>3356</v>
      </c>
      <c r="O35" s="3298" t="s">
        <v>2797</v>
      </c>
      <c r="P35" s="3298" t="s">
        <v>2797</v>
      </c>
      <c r="Q35" s="3298" t="s">
        <v>2797</v>
      </c>
      <c r="R35" s="3298" t="s">
        <v>2797</v>
      </c>
      <c r="S35" s="3298" t="s">
        <v>2797</v>
      </c>
      <c r="T35" s="3298" t="s">
        <v>2797</v>
      </c>
      <c r="U35" s="3298" t="s">
        <v>2797</v>
      </c>
      <c r="V35" s="3298" t="s">
        <v>2797</v>
      </c>
      <c r="W35" s="3298" t="s">
        <v>3244</v>
      </c>
      <c r="X35" s="3298" t="s">
        <v>3399</v>
      </c>
      <c r="Y35" s="3298" t="s">
        <v>3400</v>
      </c>
      <c r="Z35" s="3298" t="s">
        <v>3400</v>
      </c>
      <c r="AA35" s="3298" t="s">
        <v>3400</v>
      </c>
      <c r="AB35" s="3298" t="s">
        <v>3401</v>
      </c>
      <c r="AC35" s="3298" t="s">
        <v>3133</v>
      </c>
      <c r="AD35" s="3298" t="s">
        <v>3402</v>
      </c>
      <c r="AE35" s="3298" t="s">
        <v>2797</v>
      </c>
      <c r="AF35" s="3298">
        <v>25380</v>
      </c>
      <c r="AG35" s="3298">
        <v>42300</v>
      </c>
      <c r="AH35" s="3298">
        <v>42900</v>
      </c>
      <c r="AI35" s="3298">
        <v>282</v>
      </c>
      <c r="AJ35" s="3298">
        <v>286</v>
      </c>
      <c r="AK35" s="3298">
        <v>2820</v>
      </c>
      <c r="AL35" s="3298">
        <v>2860</v>
      </c>
      <c r="AM35" s="3298" t="s">
        <v>2797</v>
      </c>
      <c r="AN35" s="3298" t="s">
        <v>2797</v>
      </c>
      <c r="AO35" s="3298">
        <v>1.42</v>
      </c>
      <c r="AP35" s="3298" t="s">
        <v>3403</v>
      </c>
      <c r="AQ35" s="3298" t="s">
        <v>2797</v>
      </c>
      <c r="AR35" s="3298" t="s">
        <v>2797</v>
      </c>
      <c r="AS35" s="3298" t="s">
        <v>2797</v>
      </c>
      <c r="AT35" s="3298" t="s">
        <v>3300</v>
      </c>
    </row>
    <row r="36" spans="1:46">
      <c r="A36" s="3298" t="s">
        <v>3404</v>
      </c>
      <c r="B36" s="3298" t="s">
        <v>3120</v>
      </c>
      <c r="C36" s="3298" t="s">
        <v>3121</v>
      </c>
      <c r="D36" s="3298" t="s">
        <v>3122</v>
      </c>
      <c r="E36" s="3298" t="s">
        <v>3381</v>
      </c>
      <c r="F36" s="3298" t="s">
        <v>3404</v>
      </c>
      <c r="G36" s="3298" t="s">
        <v>3123</v>
      </c>
      <c r="H36" s="3298" t="s">
        <v>3405</v>
      </c>
      <c r="I36" s="3298" t="s">
        <v>3365</v>
      </c>
      <c r="J36" s="3298">
        <v>69569.19</v>
      </c>
      <c r="K36" s="3298">
        <v>173923</v>
      </c>
      <c r="L36" s="3298" t="s">
        <v>3406</v>
      </c>
      <c r="M36" s="3298" t="s">
        <v>2797</v>
      </c>
      <c r="N36" s="3298" t="s">
        <v>3356</v>
      </c>
      <c r="O36" s="3298" t="s">
        <v>3407</v>
      </c>
      <c r="P36" s="3298" t="s">
        <v>2797</v>
      </c>
      <c r="Q36" s="3298" t="s">
        <v>2797</v>
      </c>
      <c r="R36" s="3298" t="s">
        <v>2797</v>
      </c>
      <c r="S36" s="3298" t="s">
        <v>2797</v>
      </c>
      <c r="T36" s="3298" t="s">
        <v>2797</v>
      </c>
      <c r="U36" s="3298" t="s">
        <v>2797</v>
      </c>
      <c r="V36" s="3298" t="s">
        <v>2797</v>
      </c>
      <c r="W36" s="3298" t="s">
        <v>3244</v>
      </c>
      <c r="X36" s="3298" t="s">
        <v>3408</v>
      </c>
      <c r="Y36" s="3298" t="s">
        <v>3409</v>
      </c>
      <c r="Z36" s="3298" t="s">
        <v>3409</v>
      </c>
      <c r="AA36" s="3298" t="s">
        <v>3409</v>
      </c>
      <c r="AB36" s="3298" t="s">
        <v>3410</v>
      </c>
      <c r="AC36" s="3298" t="s">
        <v>3133</v>
      </c>
      <c r="AD36" s="3298" t="s">
        <v>3411</v>
      </c>
      <c r="AE36" s="3298" t="s">
        <v>3412</v>
      </c>
      <c r="AF36" s="3298">
        <v>12679</v>
      </c>
      <c r="AG36" s="3298">
        <v>42263.27</v>
      </c>
      <c r="AH36" s="3298">
        <v>75760.850000000006</v>
      </c>
      <c r="AI36" s="3298">
        <v>405</v>
      </c>
      <c r="AJ36" s="3298">
        <v>726</v>
      </c>
      <c r="AK36" s="3298">
        <v>2429.9899999999998</v>
      </c>
      <c r="AL36" s="3298">
        <v>4356</v>
      </c>
      <c r="AM36" s="3298" t="s">
        <v>2797</v>
      </c>
      <c r="AN36" s="3298" t="s">
        <v>2797</v>
      </c>
      <c r="AO36" s="3298">
        <v>79.260000000000005</v>
      </c>
      <c r="AP36" s="3298" t="s">
        <v>3135</v>
      </c>
      <c r="AQ36" s="3298" t="s">
        <v>2797</v>
      </c>
      <c r="AR36" s="3298" t="s">
        <v>2797</v>
      </c>
      <c r="AS36" s="3298" t="s">
        <v>2797</v>
      </c>
      <c r="AT36" s="3298" t="s">
        <v>3214</v>
      </c>
    </row>
    <row r="37" spans="1:46">
      <c r="A37" s="3298" t="s">
        <v>3413</v>
      </c>
      <c r="B37" s="3298" t="s">
        <v>3120</v>
      </c>
      <c r="C37" s="3298" t="s">
        <v>3162</v>
      </c>
      <c r="D37" s="3298" t="s">
        <v>3147</v>
      </c>
      <c r="E37" s="3298" t="s">
        <v>3292</v>
      </c>
      <c r="F37" s="3298" t="s">
        <v>3413</v>
      </c>
      <c r="G37" s="3298" t="s">
        <v>3123</v>
      </c>
      <c r="H37" s="3298" t="s">
        <v>3414</v>
      </c>
      <c r="I37" s="3298" t="s">
        <v>3365</v>
      </c>
      <c r="J37" s="3298">
        <v>91402</v>
      </c>
      <c r="K37" s="3298">
        <v>228505</v>
      </c>
      <c r="L37" s="3298" t="s">
        <v>3303</v>
      </c>
      <c r="M37" s="3298" t="s">
        <v>2797</v>
      </c>
      <c r="N37" s="3298" t="s">
        <v>3356</v>
      </c>
      <c r="O37" s="3298" t="s">
        <v>3305</v>
      </c>
      <c r="P37" s="3298" t="s">
        <v>2797</v>
      </c>
      <c r="Q37" s="3298" t="s">
        <v>2797</v>
      </c>
      <c r="R37" s="3298" t="s">
        <v>2797</v>
      </c>
      <c r="S37" s="3298" t="s">
        <v>2797</v>
      </c>
      <c r="T37" s="3298" t="s">
        <v>2797</v>
      </c>
      <c r="U37" s="3298" t="s">
        <v>2797</v>
      </c>
      <c r="V37" s="3298" t="s">
        <v>2797</v>
      </c>
      <c r="W37" s="3298" t="s">
        <v>3244</v>
      </c>
      <c r="X37" s="3298" t="s">
        <v>3415</v>
      </c>
      <c r="Y37" s="3298" t="s">
        <v>3416</v>
      </c>
      <c r="Z37" s="3298" t="s">
        <v>3416</v>
      </c>
      <c r="AA37" s="3298" t="s">
        <v>3416</v>
      </c>
      <c r="AB37" s="3298" t="s">
        <v>3417</v>
      </c>
      <c r="AC37" s="3298" t="s">
        <v>3133</v>
      </c>
      <c r="AD37" s="3298" t="s">
        <v>3418</v>
      </c>
      <c r="AE37" s="3298" t="s">
        <v>3419</v>
      </c>
      <c r="AF37" s="3298">
        <v>21389</v>
      </c>
      <c r="AG37" s="3298">
        <v>35646.589999999997</v>
      </c>
      <c r="AH37" s="3298">
        <v>62244.76</v>
      </c>
      <c r="AI37" s="3298">
        <v>260</v>
      </c>
      <c r="AJ37" s="3298">
        <v>454</v>
      </c>
      <c r="AK37" s="3298">
        <v>1559.99</v>
      </c>
      <c r="AL37" s="3298">
        <v>2724</v>
      </c>
      <c r="AM37" s="3298" t="s">
        <v>2797</v>
      </c>
      <c r="AN37" s="3298" t="s">
        <v>2797</v>
      </c>
      <c r="AO37" s="3298">
        <v>74.62</v>
      </c>
      <c r="AP37" s="3298" t="s">
        <v>3171</v>
      </c>
      <c r="AQ37" s="3298" t="s">
        <v>2797</v>
      </c>
      <c r="AR37" s="3298" t="s">
        <v>2797</v>
      </c>
      <c r="AS37" s="3298" t="s">
        <v>2797</v>
      </c>
      <c r="AT37" s="3298" t="s">
        <v>3300</v>
      </c>
    </row>
    <row r="38" spans="1:46">
      <c r="A38" s="3298" t="s">
        <v>3420</v>
      </c>
      <c r="B38" s="3298" t="s">
        <v>3120</v>
      </c>
      <c r="C38" s="3298" t="s">
        <v>3162</v>
      </c>
      <c r="D38" s="3298" t="s">
        <v>3147</v>
      </c>
      <c r="E38" s="3298" t="s">
        <v>3205</v>
      </c>
      <c r="F38" s="3298" t="s">
        <v>3420</v>
      </c>
      <c r="G38" s="3298" t="s">
        <v>3123</v>
      </c>
      <c r="H38" s="3298" t="s">
        <v>3421</v>
      </c>
      <c r="I38" s="3298" t="s">
        <v>3365</v>
      </c>
      <c r="J38" s="3298">
        <v>121093.5</v>
      </c>
      <c r="K38" s="3298">
        <v>302733.8</v>
      </c>
      <c r="L38" s="3298" t="s">
        <v>3406</v>
      </c>
      <c r="M38" s="3298" t="s">
        <v>2797</v>
      </c>
      <c r="N38" s="3298" t="s">
        <v>3356</v>
      </c>
      <c r="O38" s="3298" t="s">
        <v>3422</v>
      </c>
      <c r="P38" s="3298" t="s">
        <v>2797</v>
      </c>
      <c r="Q38" s="3298" t="s">
        <v>2797</v>
      </c>
      <c r="R38" s="3298" t="s">
        <v>2797</v>
      </c>
      <c r="S38" s="3298" t="s">
        <v>2797</v>
      </c>
      <c r="T38" s="3298" t="s">
        <v>2797</v>
      </c>
      <c r="U38" s="3298" t="s">
        <v>2797</v>
      </c>
      <c r="V38" s="3298" t="s">
        <v>2797</v>
      </c>
      <c r="W38" s="3298" t="s">
        <v>3244</v>
      </c>
      <c r="X38" s="3298" t="s">
        <v>3423</v>
      </c>
      <c r="Y38" s="3298" t="s">
        <v>3424</v>
      </c>
      <c r="Z38" s="3298" t="s">
        <v>3424</v>
      </c>
      <c r="AA38" s="3298" t="s">
        <v>3424</v>
      </c>
      <c r="AB38" s="3298" t="s">
        <v>3425</v>
      </c>
      <c r="AC38" s="3298" t="s">
        <v>3133</v>
      </c>
      <c r="AD38" s="3298" t="s">
        <v>3426</v>
      </c>
      <c r="AE38" s="3298" t="s">
        <v>2797</v>
      </c>
      <c r="AF38" s="3298">
        <v>8773</v>
      </c>
      <c r="AG38" s="3298">
        <v>29243.93</v>
      </c>
      <c r="AH38" s="3298">
        <v>64845.56</v>
      </c>
      <c r="AI38" s="3298">
        <v>161</v>
      </c>
      <c r="AJ38" s="3298">
        <v>357</v>
      </c>
      <c r="AK38" s="3298">
        <v>965.99</v>
      </c>
      <c r="AL38" s="3298">
        <v>2142</v>
      </c>
      <c r="AM38" s="3298" t="s">
        <v>2797</v>
      </c>
      <c r="AN38" s="3298" t="s">
        <v>2797</v>
      </c>
      <c r="AO38" s="3298">
        <v>121.74</v>
      </c>
      <c r="AP38" s="3298" t="s">
        <v>3427</v>
      </c>
      <c r="AQ38" s="3298" t="s">
        <v>2797</v>
      </c>
      <c r="AR38" s="3298" t="s">
        <v>2797</v>
      </c>
      <c r="AS38" s="3298" t="s">
        <v>2797</v>
      </c>
      <c r="AT38" s="3298" t="s">
        <v>3214</v>
      </c>
    </row>
    <row r="39" spans="1:46">
      <c r="A39" s="3298" t="s">
        <v>3428</v>
      </c>
      <c r="B39" s="3298" t="s">
        <v>3120</v>
      </c>
      <c r="C39" s="3298" t="s">
        <v>3121</v>
      </c>
      <c r="D39" s="3298" t="s">
        <v>3122</v>
      </c>
      <c r="E39" s="3298" t="s">
        <v>3381</v>
      </c>
      <c r="F39" s="3298" t="s">
        <v>3428</v>
      </c>
      <c r="G39" s="3298" t="s">
        <v>3123</v>
      </c>
      <c r="H39" s="3298" t="s">
        <v>3429</v>
      </c>
      <c r="I39" s="3298" t="s">
        <v>3365</v>
      </c>
      <c r="J39" s="3298">
        <v>73939.33</v>
      </c>
      <c r="K39" s="3298">
        <v>147878.70000000001</v>
      </c>
      <c r="L39" s="3298" t="s">
        <v>3341</v>
      </c>
      <c r="M39" s="3298" t="s">
        <v>2797</v>
      </c>
      <c r="N39" s="3298" t="s">
        <v>3356</v>
      </c>
      <c r="O39" s="3298" t="s">
        <v>2797</v>
      </c>
      <c r="P39" s="3298" t="s">
        <v>2797</v>
      </c>
      <c r="Q39" s="3298" t="s">
        <v>2797</v>
      </c>
      <c r="R39" s="3298" t="s">
        <v>2797</v>
      </c>
      <c r="S39" s="3298" t="s">
        <v>2797</v>
      </c>
      <c r="T39" s="3298" t="s">
        <v>2797</v>
      </c>
      <c r="U39" s="3298" t="s">
        <v>2797</v>
      </c>
      <c r="V39" s="3298" t="s">
        <v>2797</v>
      </c>
      <c r="W39" s="3298" t="s">
        <v>3244</v>
      </c>
      <c r="X39" s="3298" t="s">
        <v>3430</v>
      </c>
      <c r="Y39" s="3298" t="s">
        <v>3431</v>
      </c>
      <c r="Z39" s="3298" t="s">
        <v>3431</v>
      </c>
      <c r="AA39" s="3298" t="s">
        <v>3431</v>
      </c>
      <c r="AB39" s="3298" t="s">
        <v>3432</v>
      </c>
      <c r="AC39" s="3298" t="s">
        <v>3133</v>
      </c>
      <c r="AD39" s="3298" t="s">
        <v>3194</v>
      </c>
      <c r="AE39" s="3298" t="s">
        <v>3195</v>
      </c>
      <c r="AF39" s="3298">
        <v>11142.43</v>
      </c>
      <c r="AG39" s="3298">
        <v>37141.440000000002</v>
      </c>
      <c r="AH39" s="3298">
        <v>66545.39</v>
      </c>
      <c r="AI39" s="3298">
        <v>334.88</v>
      </c>
      <c r="AJ39" s="3298">
        <v>600</v>
      </c>
      <c r="AK39" s="3298">
        <v>2511.61</v>
      </c>
      <c r="AL39" s="3298">
        <v>4500</v>
      </c>
      <c r="AM39" s="3298" t="s">
        <v>2797</v>
      </c>
      <c r="AN39" s="3298" t="s">
        <v>2797</v>
      </c>
      <c r="AO39" s="3298">
        <v>79.17</v>
      </c>
      <c r="AP39" s="3298" t="s">
        <v>3135</v>
      </c>
      <c r="AQ39" s="3298" t="s">
        <v>2797</v>
      </c>
      <c r="AR39" s="3298" t="s">
        <v>2797</v>
      </c>
      <c r="AS39" s="3298" t="s">
        <v>2797</v>
      </c>
      <c r="AT39" s="3298" t="s">
        <v>3214</v>
      </c>
    </row>
    <row r="40" spans="1:46">
      <c r="A40" s="3298" t="s">
        <v>3433</v>
      </c>
      <c r="B40" s="3298" t="s">
        <v>3120</v>
      </c>
      <c r="C40" s="3298" t="s">
        <v>3121</v>
      </c>
      <c r="D40" s="3298" t="s">
        <v>3122</v>
      </c>
      <c r="E40" s="3298" t="s">
        <v>3236</v>
      </c>
      <c r="F40" s="3298" t="s">
        <v>3433</v>
      </c>
      <c r="G40" s="3298" t="s">
        <v>3123</v>
      </c>
      <c r="H40" s="3298" t="s">
        <v>3434</v>
      </c>
      <c r="I40" s="3298" t="s">
        <v>3365</v>
      </c>
      <c r="J40" s="3298">
        <v>50698</v>
      </c>
      <c r="K40" s="3298">
        <v>76047</v>
      </c>
      <c r="L40" s="3298" t="s">
        <v>3398</v>
      </c>
      <c r="M40" s="3298" t="s">
        <v>2797</v>
      </c>
      <c r="N40" s="3298" t="s">
        <v>3356</v>
      </c>
      <c r="O40" s="3298" t="s">
        <v>3435</v>
      </c>
      <c r="P40" s="3298" t="s">
        <v>2797</v>
      </c>
      <c r="Q40" s="3298" t="s">
        <v>2797</v>
      </c>
      <c r="R40" s="3298" t="s">
        <v>2797</v>
      </c>
      <c r="S40" s="3298" t="s">
        <v>2797</v>
      </c>
      <c r="T40" s="3298" t="s">
        <v>2797</v>
      </c>
      <c r="U40" s="3298" t="s">
        <v>2797</v>
      </c>
      <c r="V40" s="3298" t="s">
        <v>2797</v>
      </c>
      <c r="W40" s="3298" t="s">
        <v>3436</v>
      </c>
      <c r="X40" s="3298" t="s">
        <v>3437</v>
      </c>
      <c r="Y40" s="3298" t="s">
        <v>3438</v>
      </c>
      <c r="Z40" s="3298" t="s">
        <v>3438</v>
      </c>
      <c r="AA40" s="3298" t="s">
        <v>3438</v>
      </c>
      <c r="AB40" s="3298" t="s">
        <v>3439</v>
      </c>
      <c r="AC40" s="3298" t="s">
        <v>3133</v>
      </c>
      <c r="AD40" s="3298" t="s">
        <v>3194</v>
      </c>
      <c r="AE40" s="3298" t="s">
        <v>2797</v>
      </c>
      <c r="AF40" s="3298">
        <v>6548</v>
      </c>
      <c r="AG40" s="3298" t="s">
        <v>2797</v>
      </c>
      <c r="AH40" s="3298">
        <v>21825.49</v>
      </c>
      <c r="AI40" s="3298" t="s">
        <v>2797</v>
      </c>
      <c r="AJ40" s="3298">
        <v>287</v>
      </c>
      <c r="AK40" s="3298" t="s">
        <v>2797</v>
      </c>
      <c r="AL40" s="3298">
        <v>2870</v>
      </c>
      <c r="AM40" s="3298" t="s">
        <v>2797</v>
      </c>
      <c r="AN40" s="3298" t="s">
        <v>2797</v>
      </c>
      <c r="AO40" s="3298" t="s">
        <v>2797</v>
      </c>
      <c r="AP40" s="3298" t="s">
        <v>3135</v>
      </c>
      <c r="AQ40" s="3298" t="s">
        <v>2797</v>
      </c>
      <c r="AR40" s="3298" t="s">
        <v>2797</v>
      </c>
      <c r="AS40" s="3298" t="s">
        <v>2797</v>
      </c>
      <c r="AT40" s="3298" t="s">
        <v>3214</v>
      </c>
    </row>
    <row r="41" spans="1:46">
      <c r="A41" s="3298" t="s">
        <v>3440</v>
      </c>
      <c r="B41" s="3298" t="s">
        <v>3120</v>
      </c>
      <c r="C41" s="3298" t="s">
        <v>3162</v>
      </c>
      <c r="D41" s="3298" t="s">
        <v>3147</v>
      </c>
      <c r="E41" s="3298" t="s">
        <v>3226</v>
      </c>
      <c r="F41" s="3298" t="s">
        <v>3440</v>
      </c>
      <c r="G41" s="3298" t="s">
        <v>3123</v>
      </c>
      <c r="H41" s="3298" t="s">
        <v>3441</v>
      </c>
      <c r="I41" s="3298" t="s">
        <v>3365</v>
      </c>
      <c r="J41" s="3298">
        <v>100833.4</v>
      </c>
      <c r="K41" s="3298">
        <v>252083.5</v>
      </c>
      <c r="L41" s="3298" t="s">
        <v>3303</v>
      </c>
      <c r="M41" s="3298" t="s">
        <v>2797</v>
      </c>
      <c r="N41" s="3298" t="s">
        <v>3356</v>
      </c>
      <c r="O41" s="3298" t="s">
        <v>3305</v>
      </c>
      <c r="P41" s="3298" t="s">
        <v>2797</v>
      </c>
      <c r="Q41" s="3298" t="s">
        <v>2797</v>
      </c>
      <c r="R41" s="3298" t="s">
        <v>2797</v>
      </c>
      <c r="S41" s="3298" t="s">
        <v>2797</v>
      </c>
      <c r="T41" s="3298" t="s">
        <v>2797</v>
      </c>
      <c r="U41" s="3298" t="s">
        <v>2797</v>
      </c>
      <c r="V41" s="3298" t="s">
        <v>2797</v>
      </c>
      <c r="W41" s="3298" t="s">
        <v>3436</v>
      </c>
      <c r="X41" s="3298" t="s">
        <v>3442</v>
      </c>
      <c r="Y41" s="3298" t="s">
        <v>3443</v>
      </c>
      <c r="Z41" s="3298" t="s">
        <v>3443</v>
      </c>
      <c r="AA41" s="3298" t="s">
        <v>3443</v>
      </c>
      <c r="AB41" s="3298" t="s">
        <v>3444</v>
      </c>
      <c r="AC41" s="3298" t="s">
        <v>3133</v>
      </c>
      <c r="AD41" s="3298" t="s">
        <v>3445</v>
      </c>
      <c r="AE41" s="3298" t="s">
        <v>2797</v>
      </c>
      <c r="AF41" s="3298">
        <v>6035</v>
      </c>
      <c r="AG41" s="3298">
        <v>20116.150000000001</v>
      </c>
      <c r="AH41" s="3298">
        <v>45072.51</v>
      </c>
      <c r="AI41" s="3298">
        <v>133</v>
      </c>
      <c r="AJ41" s="3298">
        <v>298</v>
      </c>
      <c r="AK41" s="3298">
        <v>797.99</v>
      </c>
      <c r="AL41" s="3298">
        <v>1788</v>
      </c>
      <c r="AM41" s="3298" t="s">
        <v>2797</v>
      </c>
      <c r="AN41" s="3298" t="s">
        <v>2797</v>
      </c>
      <c r="AO41" s="3298">
        <v>124.06</v>
      </c>
      <c r="AP41" s="3298" t="s">
        <v>3446</v>
      </c>
      <c r="AQ41" s="3298" t="s">
        <v>2797</v>
      </c>
      <c r="AR41" s="3298" t="s">
        <v>2797</v>
      </c>
      <c r="AS41" s="3298" t="s">
        <v>2797</v>
      </c>
      <c r="AT41" s="3298" t="s">
        <v>3214</v>
      </c>
    </row>
    <row r="42" spans="1:46">
      <c r="A42" s="3298" t="s">
        <v>3447</v>
      </c>
      <c r="B42" s="3298" t="s">
        <v>3120</v>
      </c>
      <c r="C42" s="3298" t="s">
        <v>3162</v>
      </c>
      <c r="D42" s="3298" t="s">
        <v>3122</v>
      </c>
      <c r="E42" s="3298" t="s">
        <v>3236</v>
      </c>
      <c r="F42" s="3298" t="s">
        <v>3447</v>
      </c>
      <c r="G42" s="3298" t="s">
        <v>3123</v>
      </c>
      <c r="H42" s="3298" t="s">
        <v>3448</v>
      </c>
      <c r="I42" s="3298" t="s">
        <v>3365</v>
      </c>
      <c r="J42" s="3298">
        <v>106409.2</v>
      </c>
      <c r="K42" s="3298">
        <v>319227.59999999998</v>
      </c>
      <c r="L42" s="3298" t="s">
        <v>3449</v>
      </c>
      <c r="M42" s="3298" t="s">
        <v>2797</v>
      </c>
      <c r="N42" s="3298" t="s">
        <v>3356</v>
      </c>
      <c r="O42" s="3298" t="s">
        <v>2797</v>
      </c>
      <c r="P42" s="3298" t="s">
        <v>2797</v>
      </c>
      <c r="Q42" s="3298" t="s">
        <v>2797</v>
      </c>
      <c r="R42" s="3298" t="s">
        <v>2797</v>
      </c>
      <c r="S42" s="3298" t="s">
        <v>2797</v>
      </c>
      <c r="T42" s="3298" t="s">
        <v>2797</v>
      </c>
      <c r="U42" s="3298" t="s">
        <v>2797</v>
      </c>
      <c r="V42" s="3298" t="s">
        <v>2797</v>
      </c>
      <c r="W42" s="3298" t="s">
        <v>3436</v>
      </c>
      <c r="X42" s="3298" t="s">
        <v>3442</v>
      </c>
      <c r="Y42" s="3298" t="s">
        <v>3443</v>
      </c>
      <c r="Z42" s="3298" t="s">
        <v>3443</v>
      </c>
      <c r="AA42" s="3298" t="s">
        <v>3443</v>
      </c>
      <c r="AB42" s="3298" t="s">
        <v>3450</v>
      </c>
      <c r="AC42" s="3298" t="s">
        <v>3133</v>
      </c>
      <c r="AD42" s="3298" t="s">
        <v>3451</v>
      </c>
      <c r="AE42" s="3298" t="s">
        <v>2797</v>
      </c>
      <c r="AF42" s="3298">
        <v>9098</v>
      </c>
      <c r="AG42" s="3298">
        <v>30326.47</v>
      </c>
      <c r="AH42" s="3298">
        <v>31124.68</v>
      </c>
      <c r="AI42" s="3298">
        <v>190</v>
      </c>
      <c r="AJ42" s="3298">
        <v>195</v>
      </c>
      <c r="AK42" s="3298">
        <v>949.99</v>
      </c>
      <c r="AL42" s="3298">
        <v>975</v>
      </c>
      <c r="AM42" s="3298" t="s">
        <v>2797</v>
      </c>
      <c r="AN42" s="3298" t="s">
        <v>2797</v>
      </c>
      <c r="AO42" s="3298">
        <v>2.63</v>
      </c>
      <c r="AP42" s="3298" t="s">
        <v>3446</v>
      </c>
      <c r="AQ42" s="3298" t="s">
        <v>2797</v>
      </c>
      <c r="AR42" s="3298" t="s">
        <v>2797</v>
      </c>
      <c r="AS42" s="3298" t="s">
        <v>2797</v>
      </c>
      <c r="AT42" s="3298" t="s">
        <v>3214</v>
      </c>
    </row>
    <row r="43" spans="1:46">
      <c r="A43" s="3298" t="s">
        <v>3452</v>
      </c>
      <c r="B43" s="3298" t="s">
        <v>3120</v>
      </c>
      <c r="C43" s="3298" t="s">
        <v>3121</v>
      </c>
      <c r="D43" s="3298" t="s">
        <v>3147</v>
      </c>
      <c r="E43" s="3298" t="s">
        <v>3226</v>
      </c>
      <c r="F43" s="3298" t="s">
        <v>3452</v>
      </c>
      <c r="G43" s="3298" t="s">
        <v>3123</v>
      </c>
      <c r="H43" s="3298" t="s">
        <v>3453</v>
      </c>
      <c r="I43" s="3298" t="s">
        <v>3365</v>
      </c>
      <c r="J43" s="3298">
        <v>66476.100000000006</v>
      </c>
      <c r="K43" s="3298">
        <v>199428.3</v>
      </c>
      <c r="L43" s="3298" t="s">
        <v>3449</v>
      </c>
      <c r="M43" s="3298" t="s">
        <v>2797</v>
      </c>
      <c r="N43" s="3298" t="s">
        <v>3356</v>
      </c>
      <c r="O43" s="3298" t="s">
        <v>3422</v>
      </c>
      <c r="P43" s="3298" t="s">
        <v>2797</v>
      </c>
      <c r="Q43" s="3298" t="s">
        <v>2797</v>
      </c>
      <c r="R43" s="3298" t="s">
        <v>2797</v>
      </c>
      <c r="S43" s="3298" t="s">
        <v>2797</v>
      </c>
      <c r="T43" s="3298" t="s">
        <v>2797</v>
      </c>
      <c r="U43" s="3298" t="s">
        <v>2797</v>
      </c>
      <c r="V43" s="3298" t="s">
        <v>2797</v>
      </c>
      <c r="W43" s="3298" t="s">
        <v>3436</v>
      </c>
      <c r="X43" s="3298" t="s">
        <v>3454</v>
      </c>
      <c r="Y43" s="3298" t="s">
        <v>3455</v>
      </c>
      <c r="Z43" s="3298" t="s">
        <v>3455</v>
      </c>
      <c r="AA43" s="3298" t="s">
        <v>3455</v>
      </c>
      <c r="AB43" s="3298" t="s">
        <v>3456</v>
      </c>
      <c r="AC43" s="3298" t="s">
        <v>3133</v>
      </c>
      <c r="AD43" s="3298" t="s">
        <v>3457</v>
      </c>
      <c r="AE43" s="3298" t="s">
        <v>2797</v>
      </c>
      <c r="AF43" s="3298">
        <v>3740</v>
      </c>
      <c r="AG43" s="3298">
        <v>12464.2</v>
      </c>
      <c r="AH43" s="3298">
        <v>20241.97</v>
      </c>
      <c r="AI43" s="3298">
        <v>125</v>
      </c>
      <c r="AJ43" s="3298">
        <v>203</v>
      </c>
      <c r="AK43" s="3298">
        <v>624.99</v>
      </c>
      <c r="AL43" s="3298">
        <v>1015</v>
      </c>
      <c r="AM43" s="3298" t="s">
        <v>2797</v>
      </c>
      <c r="AN43" s="3298" t="s">
        <v>2797</v>
      </c>
      <c r="AO43" s="3298">
        <v>62.4</v>
      </c>
      <c r="AP43" s="3298" t="s">
        <v>3135</v>
      </c>
      <c r="AQ43" s="3298" t="s">
        <v>2797</v>
      </c>
      <c r="AR43" s="3298" t="s">
        <v>2797</v>
      </c>
      <c r="AS43" s="3298" t="s">
        <v>2797</v>
      </c>
      <c r="AT43" s="3298" t="s">
        <v>3214</v>
      </c>
    </row>
    <row r="44" spans="1:46">
      <c r="A44" s="3298" t="s">
        <v>3458</v>
      </c>
      <c r="B44" s="3298" t="s">
        <v>3120</v>
      </c>
      <c r="C44" s="3298" t="s">
        <v>3121</v>
      </c>
      <c r="D44" s="3298" t="s">
        <v>3147</v>
      </c>
      <c r="E44" s="3298" t="s">
        <v>3226</v>
      </c>
      <c r="F44" s="3298" t="s">
        <v>3458</v>
      </c>
      <c r="G44" s="3298" t="s">
        <v>3123</v>
      </c>
      <c r="H44" s="3298" t="s">
        <v>3459</v>
      </c>
      <c r="I44" s="3298" t="s">
        <v>3365</v>
      </c>
      <c r="J44" s="3298">
        <v>61008.7</v>
      </c>
      <c r="K44" s="3298">
        <v>183026.1</v>
      </c>
      <c r="L44" s="3298" t="s">
        <v>3449</v>
      </c>
      <c r="M44" s="3298" t="s">
        <v>2797</v>
      </c>
      <c r="N44" s="3298" t="s">
        <v>3315</v>
      </c>
      <c r="O44" s="3298" t="s">
        <v>3422</v>
      </c>
      <c r="P44" s="3298" t="s">
        <v>2797</v>
      </c>
      <c r="Q44" s="3298" t="s">
        <v>2797</v>
      </c>
      <c r="R44" s="3298" t="s">
        <v>2797</v>
      </c>
      <c r="S44" s="3298" t="s">
        <v>2797</v>
      </c>
      <c r="T44" s="3298" t="s">
        <v>2797</v>
      </c>
      <c r="U44" s="3298" t="s">
        <v>2797</v>
      </c>
      <c r="V44" s="3298" t="s">
        <v>2797</v>
      </c>
      <c r="W44" s="3298" t="s">
        <v>3436</v>
      </c>
      <c r="X44" s="3298" t="s">
        <v>3454</v>
      </c>
      <c r="Y44" s="3298" t="s">
        <v>3455</v>
      </c>
      <c r="Z44" s="3298" t="s">
        <v>3455</v>
      </c>
      <c r="AA44" s="3298" t="s">
        <v>3455</v>
      </c>
      <c r="AB44" s="3298" t="s">
        <v>3460</v>
      </c>
      <c r="AC44" s="3298" t="s">
        <v>3133</v>
      </c>
      <c r="AD44" s="3298" t="s">
        <v>3461</v>
      </c>
      <c r="AE44" s="3298" t="s">
        <v>3462</v>
      </c>
      <c r="AF44" s="3298">
        <v>3735</v>
      </c>
      <c r="AG44" s="3298">
        <v>12445.7</v>
      </c>
      <c r="AH44" s="3298">
        <v>24983.06</v>
      </c>
      <c r="AI44" s="3298">
        <v>136</v>
      </c>
      <c r="AJ44" s="3298">
        <v>273</v>
      </c>
      <c r="AK44" s="3298">
        <v>679.99</v>
      </c>
      <c r="AL44" s="3298">
        <v>1365</v>
      </c>
      <c r="AM44" s="3298" t="s">
        <v>2797</v>
      </c>
      <c r="AN44" s="3298" t="s">
        <v>2797</v>
      </c>
      <c r="AO44" s="3298">
        <v>100.74</v>
      </c>
      <c r="AP44" s="3298" t="s">
        <v>3135</v>
      </c>
      <c r="AQ44" s="3298" t="s">
        <v>2797</v>
      </c>
      <c r="AR44" s="3298" t="s">
        <v>2797</v>
      </c>
      <c r="AS44" s="3298" t="s">
        <v>2797</v>
      </c>
      <c r="AT44" s="3298" t="s">
        <v>3214</v>
      </c>
    </row>
    <row r="45" spans="1:46">
      <c r="A45" s="3298" t="s">
        <v>3463</v>
      </c>
      <c r="B45" s="3298" t="s">
        <v>3120</v>
      </c>
      <c r="C45" s="3298" t="s">
        <v>3162</v>
      </c>
      <c r="D45" s="3298" t="s">
        <v>3122</v>
      </c>
      <c r="E45" s="3298" t="s">
        <v>3236</v>
      </c>
      <c r="F45" s="3298" t="s">
        <v>3463</v>
      </c>
      <c r="G45" s="3298" t="s">
        <v>3123</v>
      </c>
      <c r="H45" s="3298" t="s">
        <v>3464</v>
      </c>
      <c r="I45" s="3298" t="s">
        <v>3465</v>
      </c>
      <c r="J45" s="3298">
        <v>84255.2</v>
      </c>
      <c r="K45" s="3298">
        <v>252765.6</v>
      </c>
      <c r="L45" s="3298" t="s">
        <v>3449</v>
      </c>
      <c r="M45" s="3298" t="s">
        <v>2797</v>
      </c>
      <c r="N45" s="3298" t="s">
        <v>3304</v>
      </c>
      <c r="O45" s="3298" t="s">
        <v>2797</v>
      </c>
      <c r="P45" s="3298" t="s">
        <v>2797</v>
      </c>
      <c r="Q45" s="3298" t="s">
        <v>2797</v>
      </c>
      <c r="R45" s="3298" t="s">
        <v>2797</v>
      </c>
      <c r="S45" s="3298" t="s">
        <v>2797</v>
      </c>
      <c r="T45" s="3298" t="s">
        <v>2797</v>
      </c>
      <c r="U45" s="3298" t="s">
        <v>2797</v>
      </c>
      <c r="V45" s="3298" t="s">
        <v>2797</v>
      </c>
      <c r="W45" s="3298" t="s">
        <v>3436</v>
      </c>
      <c r="X45" s="3298" t="s">
        <v>3466</v>
      </c>
      <c r="Y45" s="3298" t="s">
        <v>3454</v>
      </c>
      <c r="Z45" s="3298" t="s">
        <v>3454</v>
      </c>
      <c r="AA45" s="3298" t="s">
        <v>3454</v>
      </c>
      <c r="AB45" s="3298" t="s">
        <v>3467</v>
      </c>
      <c r="AC45" s="3298" t="s">
        <v>3133</v>
      </c>
      <c r="AD45" s="3298" t="s">
        <v>3194</v>
      </c>
      <c r="AE45" s="3298" t="s">
        <v>3195</v>
      </c>
      <c r="AF45" s="3298">
        <v>7053</v>
      </c>
      <c r="AG45" s="3298">
        <v>23507.08</v>
      </c>
      <c r="AH45" s="3298">
        <v>60284.58</v>
      </c>
      <c r="AI45" s="3298">
        <v>186</v>
      </c>
      <c r="AJ45" s="3298">
        <v>477</v>
      </c>
      <c r="AK45" s="3298">
        <v>929.99</v>
      </c>
      <c r="AL45" s="3298">
        <v>2385</v>
      </c>
      <c r="AM45" s="3298" t="s">
        <v>2797</v>
      </c>
      <c r="AN45" s="3298" t="s">
        <v>2797</v>
      </c>
      <c r="AO45" s="3298">
        <v>156.44999999999999</v>
      </c>
      <c r="AP45" s="3298" t="s">
        <v>3394</v>
      </c>
      <c r="AQ45" s="3298" t="s">
        <v>2797</v>
      </c>
      <c r="AR45" s="3298" t="s">
        <v>2797</v>
      </c>
      <c r="AS45" s="3298" t="s">
        <v>2797</v>
      </c>
      <c r="AT45" s="3298" t="s">
        <v>3214</v>
      </c>
    </row>
    <row r="46" spans="1:46">
      <c r="A46" s="3298" t="s">
        <v>3468</v>
      </c>
      <c r="B46" s="3298" t="s">
        <v>3120</v>
      </c>
      <c r="C46" s="3298" t="s">
        <v>3121</v>
      </c>
      <c r="D46" s="3298" t="s">
        <v>3122</v>
      </c>
      <c r="E46" s="3298" t="s">
        <v>3236</v>
      </c>
      <c r="F46" s="3298" t="s">
        <v>3468</v>
      </c>
      <c r="G46" s="3298" t="s">
        <v>3123</v>
      </c>
      <c r="H46" s="3298" t="s">
        <v>3469</v>
      </c>
      <c r="I46" s="3298" t="s">
        <v>3365</v>
      </c>
      <c r="J46" s="3298">
        <v>16388.919999999998</v>
      </c>
      <c r="K46" s="3298">
        <v>32777.839999999997</v>
      </c>
      <c r="L46" s="3298" t="s">
        <v>3470</v>
      </c>
      <c r="M46" s="3298" t="s">
        <v>2797</v>
      </c>
      <c r="N46" s="3298" t="s">
        <v>3356</v>
      </c>
      <c r="O46" s="3298" t="s">
        <v>2797</v>
      </c>
      <c r="P46" s="3298" t="s">
        <v>2797</v>
      </c>
      <c r="Q46" s="3298" t="s">
        <v>2797</v>
      </c>
      <c r="R46" s="3298" t="s">
        <v>2797</v>
      </c>
      <c r="S46" s="3298" t="s">
        <v>2797</v>
      </c>
      <c r="T46" s="3298" t="s">
        <v>2797</v>
      </c>
      <c r="U46" s="3298" t="s">
        <v>2797</v>
      </c>
      <c r="V46" s="3298" t="s">
        <v>2797</v>
      </c>
      <c r="W46" s="3298" t="s">
        <v>3436</v>
      </c>
      <c r="X46" s="3298" t="s">
        <v>3471</v>
      </c>
      <c r="Y46" s="3298" t="s">
        <v>3472</v>
      </c>
      <c r="Z46" s="3298" t="s">
        <v>3472</v>
      </c>
      <c r="AA46" s="3298" t="s">
        <v>3472</v>
      </c>
      <c r="AB46" s="3298" t="s">
        <v>3473</v>
      </c>
      <c r="AC46" s="3298" t="s">
        <v>3133</v>
      </c>
      <c r="AD46" s="3298" t="s">
        <v>3474</v>
      </c>
      <c r="AE46" s="3298" t="s">
        <v>2797</v>
      </c>
      <c r="AF46" s="3298">
        <v>1084.1300000000001</v>
      </c>
      <c r="AG46" s="3298">
        <v>3613.76</v>
      </c>
      <c r="AH46" s="3298">
        <v>8137.1</v>
      </c>
      <c r="AI46" s="3298">
        <v>147</v>
      </c>
      <c r="AJ46" s="3298">
        <v>331</v>
      </c>
      <c r="AK46" s="3298">
        <v>1102.5</v>
      </c>
      <c r="AL46" s="3298">
        <v>2482.5</v>
      </c>
      <c r="AM46" s="3298" t="s">
        <v>2797</v>
      </c>
      <c r="AN46" s="3298" t="s">
        <v>2797</v>
      </c>
      <c r="AO46" s="3298">
        <v>125.17</v>
      </c>
      <c r="AP46" s="3298" t="s">
        <v>3135</v>
      </c>
      <c r="AQ46" s="3298" t="s">
        <v>2797</v>
      </c>
      <c r="AR46" s="3298" t="s">
        <v>2797</v>
      </c>
      <c r="AS46" s="3298" t="s">
        <v>2797</v>
      </c>
      <c r="AT46" s="3298" t="s">
        <v>3214</v>
      </c>
    </row>
    <row r="47" spans="1:46">
      <c r="A47" s="3298" t="s">
        <v>3475</v>
      </c>
      <c r="B47" s="3298" t="s">
        <v>3120</v>
      </c>
      <c r="C47" s="3298" t="s">
        <v>3162</v>
      </c>
      <c r="D47" s="3298" t="s">
        <v>3147</v>
      </c>
      <c r="E47" s="3298" t="s">
        <v>3312</v>
      </c>
      <c r="F47" s="3298" t="s">
        <v>3475</v>
      </c>
      <c r="G47" s="3298" t="s">
        <v>3263</v>
      </c>
      <c r="H47" s="3298" t="s">
        <v>3476</v>
      </c>
      <c r="I47" s="3298" t="s">
        <v>3477</v>
      </c>
      <c r="J47" s="3298">
        <v>70844.2</v>
      </c>
      <c r="K47" s="3298">
        <v>177110.5</v>
      </c>
      <c r="L47" s="3298" t="s">
        <v>3303</v>
      </c>
      <c r="M47" s="3298" t="s">
        <v>2797</v>
      </c>
      <c r="N47" s="3298" t="s">
        <v>3356</v>
      </c>
      <c r="O47" s="3298" t="s">
        <v>3357</v>
      </c>
      <c r="P47" s="3298" t="s">
        <v>2797</v>
      </c>
      <c r="Q47" s="3298" t="s">
        <v>2797</v>
      </c>
      <c r="R47" s="3298" t="s">
        <v>2797</v>
      </c>
      <c r="S47" s="3298" t="s">
        <v>2797</v>
      </c>
      <c r="T47" s="3298" t="s">
        <v>2797</v>
      </c>
      <c r="U47" s="3298" t="s">
        <v>2797</v>
      </c>
      <c r="V47" s="3298" t="s">
        <v>2797</v>
      </c>
      <c r="W47" s="3298" t="s">
        <v>3436</v>
      </c>
      <c r="X47" s="3298" t="s">
        <v>3478</v>
      </c>
      <c r="Y47" s="3298" t="s">
        <v>3479</v>
      </c>
      <c r="Z47" s="3298" t="s">
        <v>3479</v>
      </c>
      <c r="AA47" s="3298" t="s">
        <v>3479</v>
      </c>
      <c r="AB47" s="3298" t="s">
        <v>3480</v>
      </c>
      <c r="AC47" s="3298" t="s">
        <v>3133</v>
      </c>
      <c r="AD47" s="3298" t="s">
        <v>3481</v>
      </c>
      <c r="AE47" s="3298" t="s">
        <v>2797</v>
      </c>
      <c r="AF47" s="3298">
        <v>3188</v>
      </c>
      <c r="AG47" s="3298">
        <v>10626.57</v>
      </c>
      <c r="AH47" s="3298">
        <v>10945.43</v>
      </c>
      <c r="AI47" s="3298">
        <v>100</v>
      </c>
      <c r="AJ47" s="3298">
        <v>103</v>
      </c>
      <c r="AK47" s="3298">
        <v>599.99</v>
      </c>
      <c r="AL47" s="3298">
        <v>618</v>
      </c>
      <c r="AM47" s="3298" t="s">
        <v>2797</v>
      </c>
      <c r="AN47" s="3298" t="s">
        <v>2797</v>
      </c>
      <c r="AO47" s="3298">
        <v>3</v>
      </c>
      <c r="AP47" s="3298" t="s">
        <v>3135</v>
      </c>
      <c r="AQ47" s="3298" t="s">
        <v>2797</v>
      </c>
      <c r="AR47" s="3298" t="s">
        <v>2797</v>
      </c>
      <c r="AS47" s="3298" t="s">
        <v>2797</v>
      </c>
      <c r="AT47" s="3298" t="s">
        <v>3214</v>
      </c>
    </row>
    <row r="48" spans="1:46">
      <c r="A48" s="3298" t="s">
        <v>3482</v>
      </c>
      <c r="B48" s="3298" t="s">
        <v>3120</v>
      </c>
      <c r="C48" s="3298" t="s">
        <v>3121</v>
      </c>
      <c r="D48" s="3298" t="s">
        <v>3147</v>
      </c>
      <c r="E48" s="3298" t="s">
        <v>3236</v>
      </c>
      <c r="F48" s="3298" t="s">
        <v>3482</v>
      </c>
      <c r="G48" s="3298" t="s">
        <v>3123</v>
      </c>
      <c r="H48" s="3298" t="s">
        <v>3483</v>
      </c>
      <c r="I48" s="3298" t="s">
        <v>3365</v>
      </c>
      <c r="J48" s="3298">
        <v>44053.760000000002</v>
      </c>
      <c r="K48" s="3298">
        <v>88107.520000000004</v>
      </c>
      <c r="L48" s="3298" t="s">
        <v>3470</v>
      </c>
      <c r="M48" s="3298" t="s">
        <v>2797</v>
      </c>
      <c r="N48" s="3298" t="s">
        <v>3484</v>
      </c>
      <c r="O48" s="3298" t="s">
        <v>2797</v>
      </c>
      <c r="P48" s="3298" t="s">
        <v>2797</v>
      </c>
      <c r="Q48" s="3298" t="s">
        <v>2797</v>
      </c>
      <c r="R48" s="3298" t="s">
        <v>2797</v>
      </c>
      <c r="S48" s="3298" t="s">
        <v>2797</v>
      </c>
      <c r="T48" s="3298" t="s">
        <v>2797</v>
      </c>
      <c r="U48" s="3298" t="s">
        <v>2797</v>
      </c>
      <c r="V48" s="3298" t="s">
        <v>2797</v>
      </c>
      <c r="W48" s="3298" t="s">
        <v>3436</v>
      </c>
      <c r="X48" s="3298" t="s">
        <v>3485</v>
      </c>
      <c r="Y48" s="3298" t="s">
        <v>3486</v>
      </c>
      <c r="Z48" s="3298" t="s">
        <v>3486</v>
      </c>
      <c r="AA48" s="3298" t="s">
        <v>3486</v>
      </c>
      <c r="AB48" s="3298" t="s">
        <v>3487</v>
      </c>
      <c r="AC48" s="3298" t="s">
        <v>3133</v>
      </c>
      <c r="AD48" s="3298" t="s">
        <v>3488</v>
      </c>
      <c r="AE48" s="3298" t="s">
        <v>2797</v>
      </c>
      <c r="AF48" s="3298">
        <v>2776</v>
      </c>
      <c r="AG48" s="3298" t="s">
        <v>2797</v>
      </c>
      <c r="AH48" s="3298">
        <v>12158.84</v>
      </c>
      <c r="AI48" s="3298" t="s">
        <v>2797</v>
      </c>
      <c r="AJ48" s="3298">
        <v>184</v>
      </c>
      <c r="AK48" s="3298" t="s">
        <v>2797</v>
      </c>
      <c r="AL48" s="3298">
        <v>1380</v>
      </c>
      <c r="AM48" s="3298" t="s">
        <v>2797</v>
      </c>
      <c r="AN48" s="3298" t="s">
        <v>2797</v>
      </c>
      <c r="AO48" s="3298" t="s">
        <v>2797</v>
      </c>
      <c r="AP48" s="3298" t="s">
        <v>3135</v>
      </c>
      <c r="AQ48" s="3298" t="s">
        <v>2797</v>
      </c>
      <c r="AR48" s="3298" t="s">
        <v>2797</v>
      </c>
      <c r="AS48" s="3298" t="s">
        <v>2797</v>
      </c>
      <c r="AT48" s="3298" t="s">
        <v>3214</v>
      </c>
    </row>
    <row r="49" spans="1:46">
      <c r="A49" s="3298" t="s">
        <v>3489</v>
      </c>
      <c r="B49" s="3298" t="s">
        <v>3120</v>
      </c>
      <c r="C49" s="3298" t="s">
        <v>3121</v>
      </c>
      <c r="D49" s="3298" t="s">
        <v>3147</v>
      </c>
      <c r="E49" s="3298" t="s">
        <v>3292</v>
      </c>
      <c r="F49" s="3298" t="s">
        <v>3489</v>
      </c>
      <c r="G49" s="3298" t="s">
        <v>3123</v>
      </c>
      <c r="H49" s="3298" t="s">
        <v>3490</v>
      </c>
      <c r="I49" s="3298" t="s">
        <v>3365</v>
      </c>
      <c r="J49" s="3298">
        <v>25817.69</v>
      </c>
      <c r="K49" s="3298">
        <v>64544.22</v>
      </c>
      <c r="L49" s="3298" t="s">
        <v>3406</v>
      </c>
      <c r="M49" s="3298" t="s">
        <v>2797</v>
      </c>
      <c r="N49" s="3298" t="s">
        <v>3491</v>
      </c>
      <c r="O49" s="3298" t="s">
        <v>3492</v>
      </c>
      <c r="P49" s="3298" t="s">
        <v>2797</v>
      </c>
      <c r="Q49" s="3298" t="s">
        <v>2797</v>
      </c>
      <c r="R49" s="3298" t="s">
        <v>2797</v>
      </c>
      <c r="S49" s="3298" t="s">
        <v>2797</v>
      </c>
      <c r="T49" s="3298" t="s">
        <v>2797</v>
      </c>
      <c r="U49" s="3298" t="s">
        <v>2797</v>
      </c>
      <c r="V49" s="3298" t="s">
        <v>2797</v>
      </c>
      <c r="W49" s="3298" t="s">
        <v>3436</v>
      </c>
      <c r="X49" s="3298" t="s">
        <v>3493</v>
      </c>
      <c r="Y49" s="3298" t="s">
        <v>3494</v>
      </c>
      <c r="Z49" s="3298" t="s">
        <v>3494</v>
      </c>
      <c r="AA49" s="3298" t="s">
        <v>3494</v>
      </c>
      <c r="AB49" s="3298" t="s">
        <v>3495</v>
      </c>
      <c r="AC49" s="3298" t="s">
        <v>3133</v>
      </c>
      <c r="AD49" s="3298" t="s">
        <v>3187</v>
      </c>
      <c r="AE49" s="3298" t="s">
        <v>2797</v>
      </c>
      <c r="AF49" s="3298">
        <v>1453</v>
      </c>
      <c r="AG49" s="3298">
        <v>4840.8100000000004</v>
      </c>
      <c r="AH49" s="3298">
        <v>4840.8100000000004</v>
      </c>
      <c r="AI49" s="3298">
        <v>125</v>
      </c>
      <c r="AJ49" s="3298">
        <v>125</v>
      </c>
      <c r="AK49" s="3298">
        <v>750</v>
      </c>
      <c r="AL49" s="3298">
        <v>750</v>
      </c>
      <c r="AM49" s="3298" t="s">
        <v>2797</v>
      </c>
      <c r="AN49" s="3298" t="s">
        <v>2797</v>
      </c>
      <c r="AO49" s="3298">
        <v>0</v>
      </c>
      <c r="AP49" s="3298" t="s">
        <v>3135</v>
      </c>
      <c r="AQ49" s="3298" t="s">
        <v>2797</v>
      </c>
      <c r="AR49" s="3298" t="s">
        <v>2797</v>
      </c>
      <c r="AS49" s="3298" t="s">
        <v>2797</v>
      </c>
      <c r="AT49" s="3298" t="s">
        <v>3300</v>
      </c>
    </row>
    <row r="50" spans="1:46">
      <c r="A50" s="3298" t="s">
        <v>3496</v>
      </c>
      <c r="B50" s="3298" t="s">
        <v>3120</v>
      </c>
      <c r="C50" s="3298" t="s">
        <v>3121</v>
      </c>
      <c r="D50" s="3298" t="s">
        <v>3147</v>
      </c>
      <c r="E50" s="3298" t="s">
        <v>3292</v>
      </c>
      <c r="F50" s="3298" t="s">
        <v>3496</v>
      </c>
      <c r="G50" s="3298" t="s">
        <v>3123</v>
      </c>
      <c r="H50" s="3298" t="s">
        <v>3497</v>
      </c>
      <c r="I50" s="3298" t="s">
        <v>3365</v>
      </c>
      <c r="J50" s="3298">
        <v>26512.73</v>
      </c>
      <c r="K50" s="3298">
        <v>53025.46</v>
      </c>
      <c r="L50" s="3298" t="s">
        <v>3341</v>
      </c>
      <c r="M50" s="3298" t="s">
        <v>2797</v>
      </c>
      <c r="N50" s="3298" t="s">
        <v>3498</v>
      </c>
      <c r="O50" s="3298" t="s">
        <v>3499</v>
      </c>
      <c r="P50" s="3298" t="s">
        <v>2797</v>
      </c>
      <c r="Q50" s="3298" t="s">
        <v>2797</v>
      </c>
      <c r="R50" s="3298" t="s">
        <v>2797</v>
      </c>
      <c r="S50" s="3298" t="s">
        <v>2797</v>
      </c>
      <c r="T50" s="3298" t="s">
        <v>2797</v>
      </c>
      <c r="U50" s="3298" t="s">
        <v>2797</v>
      </c>
      <c r="V50" s="3298" t="s">
        <v>2797</v>
      </c>
      <c r="W50" s="3298" t="s">
        <v>3436</v>
      </c>
      <c r="X50" s="3298" t="s">
        <v>3493</v>
      </c>
      <c r="Y50" s="3298" t="s">
        <v>3494</v>
      </c>
      <c r="Z50" s="3298" t="s">
        <v>3494</v>
      </c>
      <c r="AA50" s="3298" t="s">
        <v>3494</v>
      </c>
      <c r="AB50" s="3298" t="s">
        <v>3500</v>
      </c>
      <c r="AC50" s="3298" t="s">
        <v>3133</v>
      </c>
      <c r="AD50" s="3298" t="s">
        <v>3187</v>
      </c>
      <c r="AE50" s="3298" t="s">
        <v>2797</v>
      </c>
      <c r="AF50" s="3298">
        <v>1194</v>
      </c>
      <c r="AG50" s="3298">
        <v>3976.9</v>
      </c>
      <c r="AH50" s="3298">
        <v>3976.9</v>
      </c>
      <c r="AI50" s="3298">
        <v>100</v>
      </c>
      <c r="AJ50" s="3298">
        <v>100</v>
      </c>
      <c r="AK50" s="3298">
        <v>750</v>
      </c>
      <c r="AL50" s="3298">
        <v>750</v>
      </c>
      <c r="AM50" s="3298" t="s">
        <v>2797</v>
      </c>
      <c r="AN50" s="3298" t="s">
        <v>2797</v>
      </c>
      <c r="AO50" s="3298">
        <v>0</v>
      </c>
      <c r="AP50" s="3298" t="s">
        <v>3135</v>
      </c>
      <c r="AQ50" s="3298" t="s">
        <v>2797</v>
      </c>
      <c r="AR50" s="3298" t="s">
        <v>2797</v>
      </c>
      <c r="AS50" s="3298" t="s">
        <v>2797</v>
      </c>
      <c r="AT50" s="3298" t="s">
        <v>3300</v>
      </c>
    </row>
    <row r="51" spans="1:46">
      <c r="A51" s="3298" t="s">
        <v>3501</v>
      </c>
      <c r="B51" s="3298" t="s">
        <v>3120</v>
      </c>
      <c r="C51" s="3298" t="s">
        <v>3121</v>
      </c>
      <c r="D51" s="3298" t="s">
        <v>3147</v>
      </c>
      <c r="E51" s="3298" t="s">
        <v>3226</v>
      </c>
      <c r="F51" s="3298" t="s">
        <v>3501</v>
      </c>
      <c r="G51" s="3298" t="s">
        <v>3123</v>
      </c>
      <c r="H51" s="3298" t="s">
        <v>3502</v>
      </c>
      <c r="I51" s="3298" t="s">
        <v>3365</v>
      </c>
      <c r="J51" s="3298">
        <v>29892.400000000001</v>
      </c>
      <c r="K51" s="3298">
        <v>104025.5</v>
      </c>
      <c r="L51" s="3298" t="s">
        <v>3503</v>
      </c>
      <c r="M51" s="3298" t="s">
        <v>2797</v>
      </c>
      <c r="N51" s="3298" t="s">
        <v>3491</v>
      </c>
      <c r="O51" s="3298" t="s">
        <v>2797</v>
      </c>
      <c r="P51" s="3298" t="s">
        <v>2797</v>
      </c>
      <c r="Q51" s="3298" t="s">
        <v>2797</v>
      </c>
      <c r="R51" s="3298" t="s">
        <v>2797</v>
      </c>
      <c r="S51" s="3298" t="s">
        <v>2797</v>
      </c>
      <c r="T51" s="3298" t="s">
        <v>2797</v>
      </c>
      <c r="U51" s="3298" t="s">
        <v>2797</v>
      </c>
      <c r="V51" s="3298" t="s">
        <v>2797</v>
      </c>
      <c r="W51" s="3298" t="s">
        <v>3436</v>
      </c>
      <c r="X51" s="3298" t="s">
        <v>3504</v>
      </c>
      <c r="Y51" s="3298" t="s">
        <v>3505</v>
      </c>
      <c r="Z51" s="3298" t="s">
        <v>3505</v>
      </c>
      <c r="AA51" s="3298" t="s">
        <v>3505</v>
      </c>
      <c r="AB51" s="3298" t="s">
        <v>3506</v>
      </c>
      <c r="AC51" s="3298" t="s">
        <v>3133</v>
      </c>
      <c r="AD51" s="3298" t="s">
        <v>3507</v>
      </c>
      <c r="AE51" s="3298" t="s">
        <v>2797</v>
      </c>
      <c r="AF51" s="3298">
        <v>2680</v>
      </c>
      <c r="AG51" s="3298">
        <v>8922.8700000000008</v>
      </c>
      <c r="AH51" s="3298">
        <v>8922.8700000000008</v>
      </c>
      <c r="AI51" s="3298">
        <v>199</v>
      </c>
      <c r="AJ51" s="3298">
        <v>199</v>
      </c>
      <c r="AK51" s="3298">
        <v>857.75</v>
      </c>
      <c r="AL51" s="3298">
        <v>857.75</v>
      </c>
      <c r="AM51" s="3298" t="s">
        <v>2797</v>
      </c>
      <c r="AN51" s="3298" t="s">
        <v>2797</v>
      </c>
      <c r="AO51" s="3298">
        <v>0</v>
      </c>
      <c r="AP51" s="3298" t="s">
        <v>3135</v>
      </c>
      <c r="AQ51" s="3298" t="s">
        <v>2797</v>
      </c>
      <c r="AR51" s="3298" t="s">
        <v>2797</v>
      </c>
      <c r="AS51" s="3298" t="s">
        <v>2797</v>
      </c>
      <c r="AT51" s="3298" t="s">
        <v>3214</v>
      </c>
    </row>
  </sheetData>
  <phoneticPr fontId="228"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7"/>
  <sheetViews>
    <sheetView workbookViewId="0">
      <selection activeCell="F25" sqref="F25"/>
    </sheetView>
  </sheetViews>
  <sheetFormatPr defaultRowHeight="13.5"/>
  <cols>
    <col min="2" max="2" width="20.5" bestFit="1" customWidth="1"/>
    <col min="3" max="4" width="17.25" bestFit="1" customWidth="1"/>
  </cols>
  <sheetData>
    <row r="1" spans="2:4">
      <c r="B1" s="3314" t="s">
        <v>3582</v>
      </c>
      <c r="C1" s="3314" t="s">
        <v>3579</v>
      </c>
      <c r="D1" s="3314" t="s">
        <v>3580</v>
      </c>
    </row>
    <row r="2" spans="2:4">
      <c r="B2" s="3314" t="s">
        <v>3574</v>
      </c>
      <c r="C2" s="3315">
        <f ca="1">结果表!O39</f>
        <v>30230</v>
      </c>
      <c r="D2" s="3315">
        <f ca="1">结果表!O41</f>
        <v>28632</v>
      </c>
    </row>
    <row r="3" spans="2:4">
      <c r="B3" s="3314" t="s">
        <v>3575</v>
      </c>
      <c r="C3" s="3315">
        <v>9194</v>
      </c>
      <c r="D3" s="3315">
        <v>8252</v>
      </c>
    </row>
    <row r="4" spans="2:4">
      <c r="B4" s="3314" t="s">
        <v>3576</v>
      </c>
      <c r="C4" s="3315">
        <v>9277</v>
      </c>
      <c r="D4" s="3315">
        <v>7934</v>
      </c>
    </row>
    <row r="5" spans="2:4">
      <c r="B5" s="3314" t="s">
        <v>3577</v>
      </c>
      <c r="C5" s="3315">
        <v>3225</v>
      </c>
      <c r="D5" s="3315">
        <v>3079</v>
      </c>
    </row>
    <row r="6" spans="2:4">
      <c r="B6" s="3314" t="s">
        <v>3578</v>
      </c>
      <c r="C6" s="3315">
        <f ca="1">SUM(C2:C5)</f>
        <v>51926</v>
      </c>
      <c r="D6" s="3315">
        <f ca="1">SUM(D2:D5)</f>
        <v>47897</v>
      </c>
    </row>
    <row r="7" spans="2:4">
      <c r="B7" s="3314" t="s">
        <v>3581</v>
      </c>
      <c r="C7" s="3315">
        <f ca="1">C2+C3+C4</f>
        <v>48701</v>
      </c>
      <c r="D7" s="3315">
        <f ca="1">D2+D3+D4</f>
        <v>44818</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2" t="s">
        <v>2026</v>
      </c>
      <c r="B1" s="3322"/>
      <c r="C1" s="3322"/>
      <c r="D1" s="3322"/>
      <c r="E1" s="3322"/>
      <c r="F1" s="3322"/>
      <c r="G1" s="3322"/>
      <c r="H1" s="3322"/>
      <c r="I1" s="3322"/>
      <c r="J1" s="3322"/>
      <c r="K1" s="3322"/>
      <c r="L1" s="3322"/>
      <c r="M1" s="3322"/>
      <c r="N1" s="3322"/>
      <c r="O1" s="3322"/>
      <c r="P1" s="3322"/>
      <c r="Q1" s="3322"/>
      <c r="R1" s="3322"/>
    </row>
    <row r="2" spans="1:18">
      <c r="A2" s="1720" t="s">
        <v>2028</v>
      </c>
      <c r="B2" s="1720"/>
      <c r="C2" s="1720"/>
      <c r="D2" s="1720"/>
      <c r="E2" s="1720"/>
      <c r="F2" s="1720"/>
      <c r="G2" s="1720"/>
      <c r="H2" s="1720"/>
      <c r="I2" s="1721"/>
      <c r="J2" s="1721"/>
      <c r="K2" s="1722" t="str">
        <f>"估价期日："&amp;TEXT(项目基本情况!D3,"yyyy年m月d日;;")</f>
        <v>估价期日：2021年2月27日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23" t="s">
        <v>2017</v>
      </c>
      <c r="B3" s="3323" t="s">
        <v>2711</v>
      </c>
      <c r="C3" s="3324" t="s">
        <v>2018</v>
      </c>
      <c r="D3" s="3323" t="s">
        <v>2715</v>
      </c>
      <c r="E3" s="3318" t="s">
        <v>2019</v>
      </c>
      <c r="F3" s="3318"/>
      <c r="G3" s="3318"/>
      <c r="H3" s="3318" t="s">
        <v>2020</v>
      </c>
      <c r="I3" s="3318"/>
      <c r="J3" s="3318"/>
      <c r="K3" s="3324" t="s">
        <v>2021</v>
      </c>
      <c r="L3" s="3324" t="s">
        <v>2022</v>
      </c>
      <c r="M3" s="3323" t="s">
        <v>2712</v>
      </c>
      <c r="N3" s="3325" t="str">
        <f>"（分摊）"&amp;项目基本情况!B16&amp;"国有建设用地使用权面积/㎡"</f>
        <v>（分摊）出让国有建设用地使用权面积/㎡</v>
      </c>
      <c r="O3" s="3323" t="s">
        <v>2051</v>
      </c>
      <c r="P3" s="3324" t="s">
        <v>2031</v>
      </c>
      <c r="Q3" s="3324" t="s">
        <v>2052</v>
      </c>
      <c r="R3" s="3324" t="s">
        <v>2023</v>
      </c>
    </row>
    <row r="4" spans="1:18" ht="36.75" customHeight="1">
      <c r="A4" s="3323"/>
      <c r="B4" s="3323"/>
      <c r="C4" s="3324"/>
      <c r="D4" s="3323"/>
      <c r="E4" s="2489" t="s">
        <v>2030</v>
      </c>
      <c r="F4" s="2489" t="s">
        <v>2724</v>
      </c>
      <c r="G4" s="2489" t="s">
        <v>2024</v>
      </c>
      <c r="H4" s="2489" t="s">
        <v>2025</v>
      </c>
      <c r="I4" s="2489" t="s">
        <v>2725</v>
      </c>
      <c r="J4" s="2489" t="s">
        <v>2024</v>
      </c>
      <c r="K4" s="3324"/>
      <c r="L4" s="3324"/>
      <c r="M4" s="3323"/>
      <c r="N4" s="3325"/>
      <c r="O4" s="3323"/>
      <c r="P4" s="3324"/>
      <c r="Q4" s="3324"/>
      <c r="R4" s="3324"/>
    </row>
    <row r="5" spans="1:18" ht="135" customHeight="1">
      <c r="A5" s="1855" t="s">
        <v>2635</v>
      </c>
      <c r="B5" s="2582" t="s">
        <v>2633</v>
      </c>
      <c r="C5" s="2488">
        <v>22</v>
      </c>
      <c r="D5" s="2487" t="s">
        <v>2634</v>
      </c>
      <c r="E5" s="1723" t="str">
        <f>项目基本情况!B12</f>
        <v>住宅、商业</v>
      </c>
      <c r="F5" s="2487">
        <v>258</v>
      </c>
      <c r="G5" s="1723">
        <f>项目基本情况!B13</f>
        <v>0</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v>
      </c>
      <c r="M5" s="1723">
        <f>IF(项目基本情况!B16="出让",项目基本情况!D20,"——")</f>
        <v>0</v>
      </c>
      <c r="N5" s="1723">
        <f>项目基本情况!C22</f>
        <v>59775.26</v>
      </c>
      <c r="O5" s="1723">
        <f>项目基本情况!C21</f>
        <v>172032.86</v>
      </c>
      <c r="P5" s="1723">
        <f ca="1">结果表!E42</f>
        <v>5057</v>
      </c>
      <c r="Q5" s="1723">
        <f ca="1">结果表!D42</f>
        <v>1757</v>
      </c>
      <c r="R5" s="1724">
        <f ca="1">结果表!C42</f>
        <v>30230</v>
      </c>
    </row>
    <row r="6" spans="1:18">
      <c r="A6" s="3319" t="str">
        <f>IF(项目基本情况!B9="市场价格","——","抵押价格")</f>
        <v>抵押价格</v>
      </c>
      <c r="B6" s="3320"/>
      <c r="C6" s="3320"/>
      <c r="D6" s="3320"/>
      <c r="E6" s="3320"/>
      <c r="F6" s="3320"/>
      <c r="G6" s="3320"/>
      <c r="H6" s="3320"/>
      <c r="I6" s="3320"/>
      <c r="J6" s="3320"/>
      <c r="K6" s="3320"/>
      <c r="L6" s="3320"/>
      <c r="M6" s="3320"/>
      <c r="N6" s="3320"/>
      <c r="O6" s="3320"/>
      <c r="P6" s="3320"/>
      <c r="Q6" s="3321"/>
      <c r="R6" s="1725">
        <f ca="1">结果表!O39</f>
        <v>30230</v>
      </c>
    </row>
    <row r="7" spans="1:18">
      <c r="A7" s="3319" t="str">
        <f>IF(项目基本情况!B9="市场价格","——",IF(项目基本情况!E8="已注销及未注销","抵押担保权已注销时的抵押价格","——"))</f>
        <v>——</v>
      </c>
      <c r="B7" s="3320"/>
      <c r="C7" s="3320"/>
      <c r="D7" s="3320"/>
      <c r="E7" s="3320"/>
      <c r="F7" s="3320"/>
      <c r="G7" s="3320"/>
      <c r="H7" s="3320"/>
      <c r="I7" s="3320"/>
      <c r="J7" s="3320"/>
      <c r="K7" s="3320"/>
      <c r="L7" s="3320"/>
      <c r="M7" s="3320"/>
      <c r="N7" s="3320"/>
      <c r="O7" s="3320"/>
      <c r="P7" s="3320"/>
      <c r="Q7" s="3321"/>
      <c r="R7" s="1725" t="str">
        <f>结果表!O40</f>
        <v>——</v>
      </c>
    </row>
    <row r="8" spans="1:18">
      <c r="A8" s="3319" t="str">
        <f>IF(项目基本情况!B9="市场价格","——",项目基本情况!E9)</f>
        <v>抵押净值</v>
      </c>
      <c r="B8" s="3320"/>
      <c r="C8" s="3320"/>
      <c r="D8" s="3320"/>
      <c r="E8" s="3320"/>
      <c r="F8" s="3320"/>
      <c r="G8" s="3320"/>
      <c r="H8" s="3320"/>
      <c r="I8" s="3320"/>
      <c r="J8" s="3320"/>
      <c r="K8" s="3320"/>
      <c r="L8" s="3320"/>
      <c r="M8" s="3320"/>
      <c r="N8" s="3320"/>
      <c r="O8" s="3320"/>
      <c r="P8" s="3320"/>
      <c r="Q8" s="3321"/>
      <c r="R8" s="1725">
        <f ca="1">结果表!O41</f>
        <v>28632</v>
      </c>
    </row>
    <row r="9" spans="1:18">
      <c r="A9" s="1726" t="s">
        <v>2029</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2016</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26" t="s">
        <v>2053</v>
      </c>
      <c r="B1" s="3326"/>
      <c r="C1" s="3326"/>
      <c r="D1" s="3326"/>
    </row>
    <row r="2" spans="1:4" ht="47.25" customHeight="1">
      <c r="A2" s="3330" t="str">
        <f>"1.权利限制："&amp;项目基本情况!L24&amp;"未设定租赁等其他他项权利。"</f>
        <v>1.权利限制：根据估价对象《不动产权证书》原件、《国有土地使用权》复印件，截至估价期日，估价对象抵押权未见登记。未设定租赁等其他他项权利。</v>
      </c>
      <c r="B2" s="3330"/>
      <c r="C2" s="3330"/>
      <c r="D2" s="3330"/>
    </row>
    <row r="3" spans="1:4" ht="48" customHeight="1">
      <c r="A3" s="332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326"/>
      <c r="C3" s="3326"/>
      <c r="D3" s="3326"/>
    </row>
    <row r="4" spans="1:4" ht="36.75" customHeight="1">
      <c r="A4" s="3326" t="str">
        <f>"3.估价规划限制条件：详见"&amp;项目基本情况!E21&amp;"。"</f>
        <v>3.估价规划限制条件：详见《建设工程规划许可证》[]、《出让合同》[]。</v>
      </c>
      <c r="B4" s="3326"/>
      <c r="C4" s="3326"/>
      <c r="D4" s="3326"/>
    </row>
    <row r="5" spans="1:4">
      <c r="A5" s="3329" t="s">
        <v>2054</v>
      </c>
      <c r="B5" s="3329"/>
      <c r="C5" s="3329"/>
      <c r="D5" s="3329"/>
    </row>
    <row r="6" spans="1:4">
      <c r="A6" s="3326" t="s">
        <v>2032</v>
      </c>
      <c r="B6" s="3326"/>
      <c r="C6" s="3326"/>
      <c r="D6" s="3326"/>
    </row>
    <row r="7" spans="1:4" ht="33" customHeight="1">
      <c r="A7" s="3326" t="s">
        <v>2555</v>
      </c>
      <c r="B7" s="3326"/>
      <c r="C7" s="3326"/>
      <c r="D7" s="3326"/>
    </row>
    <row r="8" spans="1:4" ht="32.25" customHeight="1">
      <c r="A8" s="33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6"/>
      <c r="C8" s="3326"/>
      <c r="D8" s="3326"/>
    </row>
    <row r="9" spans="1:4" ht="33.75" customHeight="1">
      <c r="A9" s="33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6"/>
      <c r="C9" s="3326"/>
      <c r="D9" s="3326"/>
    </row>
    <row r="10" spans="1:4">
      <c r="A10" s="3326" t="str">
        <f>IF(项目基本情况!B8="抵押","4.估价师所知悉的法定优先受偿款情况为：","——")</f>
        <v>4.估价师所知悉的法定优先受偿款情况为：</v>
      </c>
      <c r="B10" s="3326"/>
      <c r="C10" s="3326"/>
      <c r="D10" s="3326"/>
    </row>
    <row r="11" spans="1:4" ht="37.5" customHeight="1">
      <c r="A11" s="33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8"/>
      <c r="C11" s="3328"/>
      <c r="D11" s="3328"/>
    </row>
    <row r="12" spans="1:4" ht="168" customHeight="1">
      <c r="A12" s="3329" t="s">
        <v>2056</v>
      </c>
      <c r="B12" s="3329"/>
      <c r="C12" s="3329"/>
      <c r="D12" s="3329"/>
    </row>
    <row r="13" spans="1:4">
      <c r="A13" s="3327" t="s">
        <v>2726</v>
      </c>
      <c r="B13" s="3327"/>
      <c r="C13" s="3327"/>
      <c r="D13" s="3327"/>
    </row>
    <row r="14" spans="1:4">
      <c r="A14" s="3328" t="str">
        <f>IF(项目基本情况!B8="抵押","综上，"&amp;结果表!K47,"——")</f>
        <v>综上，本次评估不存在估价师知悉的法定优先受偿款</v>
      </c>
      <c r="B14" s="3328"/>
      <c r="C14" s="3328"/>
      <c r="D14" s="3328"/>
    </row>
    <row r="15" spans="1:4" ht="58.5" customHeight="1">
      <c r="A15" s="33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6"/>
      <c r="C15" s="3326"/>
      <c r="D15" s="3326"/>
    </row>
    <row r="16" spans="1:4" ht="70.5" customHeight="1">
      <c r="A16" s="33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6"/>
      <c r="C16" s="3326"/>
      <c r="D16" s="3326"/>
    </row>
    <row r="17" spans="1:4">
      <c r="A17" s="3326" t="s">
        <v>2682</v>
      </c>
      <c r="B17" s="3326"/>
      <c r="C17" s="3326"/>
      <c r="D17" s="3326"/>
    </row>
    <row r="18" spans="1:4">
      <c r="A18" s="3326" t="s">
        <v>2674</v>
      </c>
      <c r="B18" s="3326"/>
      <c r="C18" s="3326"/>
      <c r="D18" s="3326"/>
    </row>
    <row r="19" spans="1:4">
      <c r="A19" s="2583" t="s">
        <v>2675</v>
      </c>
      <c r="B19" s="2583" t="s">
        <v>2676</v>
      </c>
      <c r="C19" s="2583" t="s">
        <v>2677</v>
      </c>
      <c r="D19" s="2583" t="s">
        <v>2678</v>
      </c>
    </row>
    <row r="20" spans="1:4">
      <c r="A20" s="2583" t="str">
        <f>项目基本情况!B4</f>
        <v>王鹏</v>
      </c>
      <c r="B20" s="2583">
        <f ca="1">项目基本情况!C4</f>
        <v>2002110030</v>
      </c>
      <c r="C20" s="2585"/>
      <c r="D20" s="1713" t="s">
        <v>2683</v>
      </c>
    </row>
    <row r="21" spans="1:4">
      <c r="A21" s="2583" t="str">
        <f>项目基本情况!D4</f>
        <v>郑燚</v>
      </c>
      <c r="B21" s="2583">
        <f ca="1">项目基本情况!E4</f>
        <v>2014110011</v>
      </c>
      <c r="C21" s="2585"/>
      <c r="D21" s="1713" t="s">
        <v>2684</v>
      </c>
    </row>
    <row r="23" spans="1:4">
      <c r="A23" s="3326" t="s">
        <v>2679</v>
      </c>
      <c r="B23" s="3326"/>
      <c r="C23" s="3326"/>
      <c r="D23" s="3326"/>
    </row>
    <row r="24" spans="1:4">
      <c r="A24" s="2583" t="s">
        <v>2675</v>
      </c>
      <c r="B24" s="2583" t="s">
        <v>2680</v>
      </c>
      <c r="C24" s="2583" t="s">
        <v>2677</v>
      </c>
      <c r="D24" s="2583" t="s">
        <v>2678</v>
      </c>
    </row>
    <row r="25" spans="1:4">
      <c r="A25" s="2586" t="s">
        <v>2681</v>
      </c>
      <c r="B25" s="2583" t="s">
        <v>942</v>
      </c>
      <c r="C25" s="2585"/>
      <c r="D25" s="1713" t="s">
        <v>2684</v>
      </c>
    </row>
    <row r="29" spans="1:4">
      <c r="D29" s="2584" t="s">
        <v>2027</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38" t="s">
        <v>53</v>
      </c>
      <c r="B15" s="3339" t="s">
        <v>837</v>
      </c>
      <c r="C15" s="3335"/>
    </row>
    <row r="16" spans="1:7" ht="14.25">
      <c r="A16" s="3338"/>
      <c r="B16" s="3336" t="s">
        <v>54</v>
      </c>
      <c r="C16" s="1154" t="s">
        <v>53</v>
      </c>
    </row>
    <row r="17" spans="1:3" ht="14.25">
      <c r="A17" s="3338"/>
      <c r="B17" s="3336"/>
      <c r="C17" s="1154" t="s">
        <v>55</v>
      </c>
    </row>
    <row r="18" spans="1:3" ht="14.25">
      <c r="A18" s="3338"/>
      <c r="B18" s="3336"/>
      <c r="C18" s="1154" t="s">
        <v>56</v>
      </c>
    </row>
    <row r="19" spans="1:3" ht="14.25">
      <c r="A19" s="3338"/>
      <c r="B19" s="3334" t="s">
        <v>57</v>
      </c>
      <c r="C19" s="3335"/>
    </row>
    <row r="20" spans="1:3" ht="14.25">
      <c r="A20" s="1155" t="s">
        <v>58</v>
      </c>
      <c r="B20" s="1156"/>
      <c r="C20" s="1157"/>
    </row>
    <row r="21" spans="1:3" ht="14.25">
      <c r="A21" s="3337" t="s">
        <v>59</v>
      </c>
      <c r="B21" s="3334" t="s">
        <v>60</v>
      </c>
      <c r="C21" s="3335"/>
    </row>
    <row r="22" spans="1:3" ht="14.25">
      <c r="A22" s="3337"/>
      <c r="B22" s="3334" t="s">
        <v>61</v>
      </c>
      <c r="C22" s="3335"/>
    </row>
    <row r="23" spans="1:3" ht="14.25">
      <c r="A23" s="3337"/>
      <c r="B23" s="3334" t="s">
        <v>62</v>
      </c>
      <c r="C23" s="3335"/>
    </row>
    <row r="24" spans="1:3" ht="14.25">
      <c r="A24" s="3337"/>
      <c r="B24" s="3340" t="s">
        <v>63</v>
      </c>
      <c r="C24" s="1158" t="s">
        <v>828</v>
      </c>
    </row>
    <row r="25" spans="1:3" ht="14.25">
      <c r="A25" s="3337"/>
      <c r="B25" s="3341"/>
      <c r="C25" s="1158" t="s">
        <v>829</v>
      </c>
    </row>
    <row r="26" spans="1:3" ht="14.25">
      <c r="A26" s="3337"/>
      <c r="B26" s="3341"/>
      <c r="C26" s="1158" t="s">
        <v>830</v>
      </c>
    </row>
    <row r="27" spans="1:3" ht="14.25">
      <c r="A27" s="3337"/>
      <c r="B27" s="3341"/>
      <c r="C27" s="1158" t="s">
        <v>831</v>
      </c>
    </row>
    <row r="28" spans="1:3" ht="14.25">
      <c r="A28" s="3337"/>
      <c r="B28" s="3341"/>
      <c r="C28" s="1158" t="s">
        <v>832</v>
      </c>
    </row>
    <row r="29" spans="1:3" ht="14.25">
      <c r="A29" s="3337"/>
      <c r="B29" s="3341"/>
      <c r="C29" s="1158" t="s">
        <v>833</v>
      </c>
    </row>
    <row r="30" spans="1:3" ht="14.25">
      <c r="A30" s="3337"/>
      <c r="B30" s="3341"/>
      <c r="C30" s="1158" t="s">
        <v>834</v>
      </c>
    </row>
    <row r="31" spans="1:3" ht="14.25">
      <c r="A31" s="3337"/>
      <c r="B31" s="3341"/>
      <c r="C31" s="1158" t="s">
        <v>835</v>
      </c>
    </row>
    <row r="32" spans="1:3" ht="14.25">
      <c r="A32" s="3337"/>
      <c r="B32" s="3341"/>
      <c r="C32" s="1158" t="s">
        <v>1636</v>
      </c>
    </row>
    <row r="33" spans="1:3" ht="14.25">
      <c r="A33" s="3337"/>
      <c r="B33" s="3331" t="s">
        <v>1642</v>
      </c>
      <c r="C33" s="1158" t="s">
        <v>1637</v>
      </c>
    </row>
    <row r="34" spans="1:3" ht="14.25">
      <c r="A34" s="3337"/>
      <c r="B34" s="3332"/>
      <c r="C34" s="1163" t="s">
        <v>1638</v>
      </c>
    </row>
    <row r="35" spans="1:3" ht="14.25">
      <c r="A35" s="3337"/>
      <c r="B35" s="3332"/>
      <c r="C35" s="1164" t="s">
        <v>1639</v>
      </c>
    </row>
    <row r="36" spans="1:3" ht="14.25">
      <c r="A36" s="3337"/>
      <c r="B36" s="3332"/>
      <c r="C36" s="1164" t="s">
        <v>1640</v>
      </c>
    </row>
    <row r="37" spans="1:3" ht="14.25">
      <c r="A37" s="3337"/>
      <c r="B37" s="3333"/>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4" customWidth="1"/>
    <col min="2" max="2" width="22.75" style="2824" bestFit="1" customWidth="1"/>
    <col min="3" max="3" width="25.75" style="2824" bestFit="1" customWidth="1"/>
    <col min="4" max="4" width="22.625" style="2824"/>
    <col min="5" max="5" width="22.75" style="2824" bestFit="1" customWidth="1"/>
    <col min="6" max="6" width="25.625" style="2824" customWidth="1"/>
    <col min="7" max="16384" width="22.625" style="2824"/>
  </cols>
  <sheetData>
    <row r="1" spans="1:7" ht="20.25" customHeight="1">
      <c r="A1" s="3019"/>
      <c r="B1" s="3019"/>
      <c r="C1" s="3019"/>
      <c r="D1" s="3019"/>
      <c r="E1" s="3019"/>
      <c r="F1" s="3019"/>
      <c r="G1" s="3019"/>
    </row>
    <row r="2" spans="1:7" ht="20.25" customHeight="1">
      <c r="A2" s="3020" t="s">
        <v>1897</v>
      </c>
      <c r="B2" s="3021">
        <f ca="1">TODAY()</f>
        <v>44258</v>
      </c>
      <c r="C2" s="3022" t="s">
        <v>1898</v>
      </c>
      <c r="D2" s="3022"/>
      <c r="E2" s="3019"/>
      <c r="F2" s="3019"/>
      <c r="G2" s="3019"/>
    </row>
    <row r="3" spans="1:7" ht="20.25" customHeight="1">
      <c r="A3" s="3043" t="s">
        <v>1899</v>
      </c>
      <c r="B3" s="3024" t="s">
        <v>1900</v>
      </c>
      <c r="C3" s="3025" t="s">
        <v>1901</v>
      </c>
      <c r="D3" s="3044" t="s">
        <v>1902</v>
      </c>
      <c r="E3" s="3024" t="s">
        <v>1903</v>
      </c>
      <c r="F3" s="3024" t="s">
        <v>1901</v>
      </c>
      <c r="G3" s="3019"/>
    </row>
    <row r="4" spans="1:7" ht="20.25" customHeight="1">
      <c r="A4" s="3024" t="s">
        <v>1904</v>
      </c>
      <c r="B4" s="3024">
        <f ca="1">IF(C4&lt;B2,"已过期",1119970066)</f>
        <v>1119970066</v>
      </c>
      <c r="C4" s="3027">
        <v>44876</v>
      </c>
      <c r="D4" s="3035" t="s">
        <v>1904</v>
      </c>
      <c r="E4" s="3024">
        <f ca="1">IF(F4&lt;B2,"已过期",96010014)</f>
        <v>96010014</v>
      </c>
      <c r="F4" s="3026">
        <v>47118</v>
      </c>
      <c r="G4" s="3019"/>
    </row>
    <row r="5" spans="1:7" ht="20.25" customHeight="1">
      <c r="A5" s="3024" t="s">
        <v>1905</v>
      </c>
      <c r="B5" s="3024">
        <f ca="1">IF(C5&lt;B2,"已过期",1119970111)</f>
        <v>1119970111</v>
      </c>
      <c r="C5" s="3027">
        <v>44876</v>
      </c>
      <c r="D5" s="3035" t="s">
        <v>1905</v>
      </c>
      <c r="E5" s="3024">
        <f ca="1">IF(F5&lt;B2,"已过期",94010078)</f>
        <v>94010078</v>
      </c>
      <c r="F5" s="3026">
        <v>46387</v>
      </c>
      <c r="G5" s="3019"/>
    </row>
    <row r="6" spans="1:7" ht="20.25" customHeight="1">
      <c r="A6" s="3024" t="s">
        <v>1906</v>
      </c>
      <c r="B6" s="3024">
        <f ca="1">IF(C6&lt;B2,"已过期",1120050019)</f>
        <v>1120050019</v>
      </c>
      <c r="C6" s="3027">
        <v>44395</v>
      </c>
      <c r="D6" s="3035" t="s">
        <v>1906</v>
      </c>
      <c r="E6" s="3024">
        <f ca="1">IF(F6&lt;B2,"已过期",2002110030)</f>
        <v>2002110030</v>
      </c>
      <c r="F6" s="3026">
        <v>46387</v>
      </c>
      <c r="G6" s="3019"/>
    </row>
    <row r="7" spans="1:7" ht="20.25" customHeight="1">
      <c r="A7" s="3024" t="s">
        <v>1907</v>
      </c>
      <c r="B7" s="3024">
        <f ca="1">IF(C7&lt;B2,"已过期",1120000080)</f>
        <v>1120000080</v>
      </c>
      <c r="C7" s="3027">
        <v>44876</v>
      </c>
      <c r="D7" s="3035" t="s">
        <v>1907</v>
      </c>
      <c r="E7" s="3024">
        <f ca="1">IF(F7&lt;B2,"已过期",2000110082)</f>
        <v>2000110082</v>
      </c>
      <c r="F7" s="3026">
        <v>46387</v>
      </c>
      <c r="G7" s="3019"/>
    </row>
    <row r="8" spans="1:7" ht="20.25" customHeight="1">
      <c r="A8" s="3024" t="s">
        <v>1908</v>
      </c>
      <c r="B8" s="3024">
        <f ca="1">IF(C8&lt;B2,"已过期",1419970001)</f>
        <v>1419970001</v>
      </c>
      <c r="C8" s="3027">
        <v>44899</v>
      </c>
      <c r="D8" s="3035" t="s">
        <v>1908</v>
      </c>
      <c r="E8" s="3024">
        <f ca="1">IF(F8&lt;B2,"已过期",2002110125)</f>
        <v>2002110125</v>
      </c>
      <c r="F8" s="3026">
        <v>47118</v>
      </c>
      <c r="G8" s="3019"/>
    </row>
    <row r="9" spans="1:7" ht="20.25" customHeight="1">
      <c r="A9" s="3024" t="s">
        <v>1909</v>
      </c>
      <c r="B9" s="3024">
        <f ca="1">IF(C9&lt;B2,"已过期",1120060040)</f>
        <v>1120060040</v>
      </c>
      <c r="C9" s="3027">
        <v>44554</v>
      </c>
      <c r="D9" s="3035" t="s">
        <v>1909</v>
      </c>
      <c r="E9" s="3024">
        <f ca="1">IF(F9&lt;B2,"已过期",2004110096)</f>
        <v>2004110096</v>
      </c>
      <c r="F9" s="3026">
        <v>47118</v>
      </c>
      <c r="G9" s="3019"/>
    </row>
    <row r="10" spans="1:7" ht="20.25" customHeight="1">
      <c r="A10" s="3024" t="s">
        <v>1910</v>
      </c>
      <c r="B10" s="3024">
        <f ca="1">IF(C10&lt;B2,"已过期",1120100036)</f>
        <v>1120100036</v>
      </c>
      <c r="C10" s="3027">
        <v>44675</v>
      </c>
      <c r="D10" s="3035" t="s">
        <v>1910</v>
      </c>
      <c r="E10" s="3024">
        <f ca="1">IF(F10&lt;B2,"已过期",2010110070)</f>
        <v>2010110070</v>
      </c>
      <c r="F10" s="3026">
        <v>47907</v>
      </c>
      <c r="G10" s="3019"/>
    </row>
    <row r="11" spans="1:7" ht="20.25" customHeight="1">
      <c r="A11" s="3024" t="s">
        <v>1911</v>
      </c>
      <c r="B11" s="3024">
        <f ca="1">IF(C11&lt;B2,"已过期",1120070131)</f>
        <v>1120070131</v>
      </c>
      <c r="C11" s="3027">
        <v>44849</v>
      </c>
      <c r="D11" s="3035" t="s">
        <v>1911</v>
      </c>
      <c r="E11" s="3024">
        <f ca="1">IF(F11&lt;B2,"已过期",2014110011)</f>
        <v>2014110011</v>
      </c>
      <c r="F11" s="3026">
        <v>49302</v>
      </c>
      <c r="G11" s="3019"/>
    </row>
    <row r="12" spans="1:7" ht="20.25" customHeight="1">
      <c r="A12" s="3024" t="s">
        <v>2944</v>
      </c>
      <c r="B12" s="3024">
        <f ca="1">IF(C12&lt;B2,"已过期",1120040230)</f>
        <v>1120040230</v>
      </c>
      <c r="C12" s="3027">
        <v>44864</v>
      </c>
      <c r="D12" s="3035" t="s">
        <v>2945</v>
      </c>
      <c r="E12" s="3024">
        <f ca="1">IF(F12&lt;B2,"已过期",98030020)</f>
        <v>98030020</v>
      </c>
      <c r="F12" s="3026">
        <v>47118</v>
      </c>
      <c r="G12" s="3019"/>
    </row>
    <row r="13" spans="1:7" ht="20.25" customHeight="1">
      <c r="A13" s="3024"/>
      <c r="B13" s="3024"/>
      <c r="C13" s="3027"/>
      <c r="D13" s="3035" t="s">
        <v>1912</v>
      </c>
      <c r="E13" s="3024">
        <f ca="1">IF(F13&lt;B2,"已过期",2011110090)</f>
        <v>2011110090</v>
      </c>
      <c r="F13" s="3026">
        <v>48302</v>
      </c>
      <c r="G13" s="3019"/>
    </row>
    <row r="14" spans="1:7" ht="20.25" customHeight="1">
      <c r="A14" s="3024" t="s">
        <v>1913</v>
      </c>
      <c r="B14" s="3024">
        <f ca="1">IF(C14&lt;B2,"已过期",1120020033)</f>
        <v>1120020033</v>
      </c>
      <c r="C14" s="3027">
        <v>44339</v>
      </c>
      <c r="D14" s="3035" t="s">
        <v>1913</v>
      </c>
      <c r="E14" s="3024">
        <f ca="1">IF(F14&lt;B2,"已过期",2000110137)</f>
        <v>2000110137</v>
      </c>
      <c r="F14" s="3026">
        <v>46387</v>
      </c>
      <c r="G14" s="3019"/>
    </row>
    <row r="15" spans="1:7" ht="20.25" customHeight="1">
      <c r="A15" s="3024" t="s">
        <v>2959</v>
      </c>
      <c r="B15" s="3024">
        <f ca="1">IF(C14&lt;B2,"已过期",1119980106)</f>
        <v>1119980106</v>
      </c>
      <c r="C15" s="3027">
        <v>44969</v>
      </c>
      <c r="D15" s="3035"/>
      <c r="E15" s="3024"/>
      <c r="F15" s="3024"/>
      <c r="G15" s="3019"/>
    </row>
    <row r="16" spans="1:7" s="2825" customFormat="1" ht="20.25" customHeight="1">
      <c r="A16" s="3023" t="s">
        <v>2041</v>
      </c>
      <c r="B16" s="3023" t="s">
        <v>2041</v>
      </c>
      <c r="C16" s="3027"/>
      <c r="D16" s="3036" t="s">
        <v>2041</v>
      </c>
      <c r="E16" s="3024" t="s">
        <v>2041</v>
      </c>
      <c r="F16" s="3026"/>
      <c r="G16" s="3028"/>
    </row>
    <row r="17" spans="1:7" ht="20.25" customHeight="1">
      <c r="A17" s="3345" t="s">
        <v>1914</v>
      </c>
      <c r="B17" s="3346"/>
      <c r="C17" s="3346"/>
      <c r="D17" s="3346"/>
      <c r="E17" s="3346"/>
      <c r="F17" s="3346"/>
      <c r="G17" s="3028"/>
    </row>
    <row r="18" spans="1:7" ht="20.25" customHeight="1">
      <c r="A18" s="3342" t="s">
        <v>1915</v>
      </c>
      <c r="B18" s="3342"/>
      <c r="C18" s="3343"/>
      <c r="D18" s="3344" t="s">
        <v>1916</v>
      </c>
      <c r="E18" s="3342"/>
      <c r="F18" s="3342"/>
      <c r="G18" s="3028"/>
    </row>
    <row r="19" spans="1:7" s="2823" customFormat="1" ht="20.25" customHeight="1">
      <c r="A19" s="3029" t="s">
        <v>1917</v>
      </c>
      <c r="B19" s="3030" t="s">
        <v>1918</v>
      </c>
      <c r="C19" s="3037" t="s">
        <v>1919</v>
      </c>
      <c r="D19" s="3035" t="s">
        <v>1917</v>
      </c>
      <c r="E19" s="3030" t="s">
        <v>1918</v>
      </c>
      <c r="F19" s="3030" t="s">
        <v>1919</v>
      </c>
      <c r="G19" s="3020"/>
    </row>
    <row r="20" spans="1:7" s="2823" customFormat="1" ht="20.25" customHeight="1">
      <c r="A20" s="3031" t="s">
        <v>1920</v>
      </c>
      <c r="B20" s="3031" t="s">
        <v>1921</v>
      </c>
      <c r="C20" s="3038">
        <v>44820</v>
      </c>
      <c r="D20" s="3040" t="s">
        <v>1922</v>
      </c>
      <c r="E20" s="3031" t="s">
        <v>1923</v>
      </c>
      <c r="F20" s="3032">
        <v>44377</v>
      </c>
      <c r="G20" s="3020"/>
    </row>
    <row r="21" spans="1:7" s="2823" customFormat="1" ht="20.25" customHeight="1">
      <c r="A21" s="3031"/>
      <c r="B21" s="3031"/>
      <c r="C21" s="3039"/>
      <c r="D21" s="3040" t="s">
        <v>1924</v>
      </c>
      <c r="E21" s="3031" t="s">
        <v>2958</v>
      </c>
      <c r="F21" s="3032">
        <v>44012</v>
      </c>
      <c r="G21" s="3020"/>
    </row>
    <row r="22" spans="1:7" ht="20.25" customHeight="1">
      <c r="A22" s="3019"/>
      <c r="B22" s="3019"/>
      <c r="C22" s="3033"/>
      <c r="D22" s="3041"/>
      <c r="E22" s="3042"/>
      <c r="F22" s="3034" t="s">
        <v>2972</v>
      </c>
      <c r="G22" s="3019"/>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F27" sqref="AF27"/>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6"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1" t="s">
        <v>864</v>
      </c>
    </row>
    <row r="2" spans="1:23">
      <c r="A2" s="8" t="s">
        <v>73</v>
      </c>
      <c r="B2" s="8" t="s">
        <v>150</v>
      </c>
      <c r="C2" s="1487"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2521</v>
      </c>
      <c r="S2" s="9" t="s">
        <v>75</v>
      </c>
      <c r="T2" s="9" t="s">
        <v>76</v>
      </c>
      <c r="U2" s="9" t="s">
        <v>75</v>
      </c>
      <c r="V2" s="9" t="s">
        <v>77</v>
      </c>
      <c r="W2" s="9" t="s">
        <v>865</v>
      </c>
    </row>
    <row r="3" spans="1:23">
      <c r="A3" s="8" t="s">
        <v>78</v>
      </c>
      <c r="B3" s="10" t="s">
        <v>151</v>
      </c>
      <c r="C3" s="1488" t="s">
        <v>1700</v>
      </c>
      <c r="D3" s="9" t="s">
        <v>79</v>
      </c>
      <c r="E3" s="9" t="s">
        <v>6</v>
      </c>
      <c r="F3" s="9" t="s">
        <v>80</v>
      </c>
      <c r="G3" s="9">
        <v>50</v>
      </c>
      <c r="H3" s="9" t="s">
        <v>81</v>
      </c>
      <c r="I3" s="9" t="s">
        <v>82</v>
      </c>
      <c r="J3" s="9" t="s">
        <v>83</v>
      </c>
      <c r="K3" s="9" t="s">
        <v>84</v>
      </c>
      <c r="L3" s="9" t="s">
        <v>84</v>
      </c>
      <c r="M3" s="9" t="s">
        <v>84</v>
      </c>
      <c r="N3" s="9" t="s">
        <v>84</v>
      </c>
      <c r="O3" s="9" t="s">
        <v>84</v>
      </c>
      <c r="P3" s="992" t="s">
        <v>593</v>
      </c>
      <c r="Q3" s="9" t="s">
        <v>84</v>
      </c>
      <c r="R3" s="992" t="s">
        <v>2522</v>
      </c>
      <c r="S3" s="9" t="s">
        <v>84</v>
      </c>
      <c r="T3" s="9" t="s">
        <v>85</v>
      </c>
      <c r="U3" s="9" t="s">
        <v>84</v>
      </c>
      <c r="V3" s="9" t="s">
        <v>86</v>
      </c>
      <c r="W3" s="9" t="s">
        <v>866</v>
      </c>
    </row>
    <row r="4" spans="1:23">
      <c r="A4" s="8" t="s">
        <v>87</v>
      </c>
      <c r="B4" s="8" t="s">
        <v>152</v>
      </c>
      <c r="C4" s="1487" t="s">
        <v>1701</v>
      </c>
      <c r="D4" s="9" t="s">
        <v>1982</v>
      </c>
      <c r="E4" s="9" t="s">
        <v>88</v>
      </c>
      <c r="F4" s="9" t="s">
        <v>89</v>
      </c>
      <c r="G4" s="9">
        <v>70</v>
      </c>
      <c r="H4" s="9" t="s">
        <v>90</v>
      </c>
      <c r="I4" s="9" t="s">
        <v>91</v>
      </c>
      <c r="K4" s="9" t="s">
        <v>92</v>
      </c>
      <c r="L4" s="9" t="s">
        <v>92</v>
      </c>
      <c r="M4" s="9" t="s">
        <v>92</v>
      </c>
      <c r="N4" s="9" t="s">
        <v>92</v>
      </c>
      <c r="O4" s="9" t="s">
        <v>92</v>
      </c>
      <c r="P4" s="992" t="s">
        <v>753</v>
      </c>
      <c r="Q4" s="9" t="s">
        <v>92</v>
      </c>
      <c r="R4" s="992" t="s">
        <v>2523</v>
      </c>
      <c r="S4" s="9" t="s">
        <v>92</v>
      </c>
      <c r="T4" s="9" t="s">
        <v>93</v>
      </c>
      <c r="U4" s="9" t="s">
        <v>92</v>
      </c>
      <c r="W4" s="9" t="s">
        <v>867</v>
      </c>
    </row>
    <row r="5" spans="1:23">
      <c r="A5" s="8" t="s">
        <v>94</v>
      </c>
      <c r="B5" s="8" t="s">
        <v>153</v>
      </c>
      <c r="C5" s="1487" t="s">
        <v>1702</v>
      </c>
      <c r="F5" s="9" t="s">
        <v>95</v>
      </c>
      <c r="H5" s="9" t="s">
        <v>70</v>
      </c>
      <c r="I5" s="9" t="s">
        <v>96</v>
      </c>
      <c r="K5" s="9" t="s">
        <v>97</v>
      </c>
      <c r="L5" s="9" t="s">
        <v>97</v>
      </c>
      <c r="M5" s="9" t="s">
        <v>97</v>
      </c>
      <c r="N5" s="9" t="s">
        <v>97</v>
      </c>
      <c r="O5" s="9" t="s">
        <v>97</v>
      </c>
      <c r="P5" s="992" t="s">
        <v>539</v>
      </c>
      <c r="Q5" s="9" t="s">
        <v>97</v>
      </c>
      <c r="R5" s="992" t="s">
        <v>2524</v>
      </c>
      <c r="S5" s="9" t="s">
        <v>97</v>
      </c>
      <c r="T5" s="9" t="s">
        <v>98</v>
      </c>
      <c r="U5" s="9" t="s">
        <v>97</v>
      </c>
      <c r="W5" s="9" t="s">
        <v>868</v>
      </c>
    </row>
    <row r="6" spans="1:23">
      <c r="A6" s="8" t="s">
        <v>99</v>
      </c>
      <c r="B6" s="1131" t="s">
        <v>1630</v>
      </c>
      <c r="C6" s="1489" t="s">
        <v>1703</v>
      </c>
      <c r="F6" s="9" t="s">
        <v>71</v>
      </c>
      <c r="H6" s="9" t="s">
        <v>72</v>
      </c>
      <c r="I6" s="9" t="s">
        <v>100</v>
      </c>
      <c r="K6" s="9" t="s">
        <v>101</v>
      </c>
      <c r="L6" s="9" t="s">
        <v>101</v>
      </c>
      <c r="M6" s="9" t="s">
        <v>101</v>
      </c>
      <c r="N6" s="9" t="s">
        <v>101</v>
      </c>
      <c r="O6" s="9" t="s">
        <v>101</v>
      </c>
      <c r="P6" s="992" t="s">
        <v>871</v>
      </c>
      <c r="Q6" s="9" t="s">
        <v>101</v>
      </c>
      <c r="R6" s="992" t="s">
        <v>2525</v>
      </c>
      <c r="S6" s="9" t="s">
        <v>101</v>
      </c>
      <c r="T6" s="9"/>
      <c r="U6" s="9" t="s">
        <v>101</v>
      </c>
      <c r="W6" s="9" t="s">
        <v>869</v>
      </c>
    </row>
    <row r="7" spans="1:23">
      <c r="A7" s="8" t="s">
        <v>102</v>
      </c>
      <c r="B7" s="8" t="s">
        <v>103</v>
      </c>
      <c r="C7" s="1487" t="s">
        <v>1704</v>
      </c>
      <c r="F7" s="9" t="s">
        <v>154</v>
      </c>
      <c r="H7" s="9" t="s">
        <v>104</v>
      </c>
      <c r="I7" s="9" t="s">
        <v>105</v>
      </c>
    </row>
    <row r="8" spans="1:23">
      <c r="A8" s="8" t="s">
        <v>106</v>
      </c>
      <c r="B8" s="8" t="s">
        <v>107</v>
      </c>
      <c r="C8" s="1487" t="s">
        <v>1705</v>
      </c>
      <c r="F8" s="9" t="s">
        <v>155</v>
      </c>
      <c r="H8" s="9"/>
      <c r="I8" s="9" t="s">
        <v>108</v>
      </c>
    </row>
    <row r="9" spans="1:23">
      <c r="A9" s="8" t="s">
        <v>109</v>
      </c>
      <c r="B9" s="3278" t="s">
        <v>3071</v>
      </c>
      <c r="C9" s="1487" t="s">
        <v>1706</v>
      </c>
      <c r="F9" s="9" t="s">
        <v>110</v>
      </c>
      <c r="H9" s="9"/>
    </row>
    <row r="10" spans="1:23">
      <c r="A10" s="8" t="s">
        <v>111</v>
      </c>
      <c r="B10" s="8" t="s">
        <v>156</v>
      </c>
      <c r="C10" s="1487" t="s">
        <v>1707</v>
      </c>
      <c r="F10" s="9" t="s">
        <v>6</v>
      </c>
    </row>
    <row r="11" spans="1:23">
      <c r="A11" s="8" t="s">
        <v>112</v>
      </c>
      <c r="B11" s="8" t="s">
        <v>157</v>
      </c>
      <c r="C11" s="1487" t="s">
        <v>1708</v>
      </c>
    </row>
    <row r="12" spans="1:23">
      <c r="A12" s="8" t="s">
        <v>113</v>
      </c>
      <c r="B12" s="8" t="s">
        <v>158</v>
      </c>
      <c r="C12" s="1487" t="s">
        <v>1709</v>
      </c>
    </row>
    <row r="13" spans="1:23">
      <c r="A13" s="8" t="s">
        <v>114</v>
      </c>
      <c r="B13" s="8" t="s">
        <v>159</v>
      </c>
      <c r="C13" s="1487" t="s">
        <v>1710</v>
      </c>
    </row>
    <row r="14" spans="1:23">
      <c r="A14" s="8" t="s">
        <v>115</v>
      </c>
      <c r="B14" s="8" t="s">
        <v>160</v>
      </c>
      <c r="C14" s="1490" t="s">
        <v>1886</v>
      </c>
    </row>
    <row r="15" spans="1:23">
      <c r="A15" s="8" t="s">
        <v>116</v>
      </c>
      <c r="B15" s="8" t="s">
        <v>1671</v>
      </c>
      <c r="C15" s="1490"/>
    </row>
    <row r="16" spans="1:23">
      <c r="A16" s="8" t="s">
        <v>117</v>
      </c>
      <c r="B16" s="8" t="s">
        <v>1672</v>
      </c>
      <c r="C16" s="1490"/>
    </row>
    <row r="17" spans="1:3">
      <c r="A17" s="8" t="s">
        <v>118</v>
      </c>
      <c r="B17" s="8" t="s">
        <v>1673</v>
      </c>
      <c r="C17" s="1490"/>
    </row>
    <row r="18" spans="1:3">
      <c r="A18" s="8" t="s">
        <v>119</v>
      </c>
      <c r="B18" s="2786" t="s">
        <v>2920</v>
      </c>
      <c r="C18" s="1490"/>
    </row>
    <row r="19" spans="1:3">
      <c r="A19" s="8" t="s">
        <v>120</v>
      </c>
      <c r="B19" s="2786" t="s">
        <v>2927</v>
      </c>
      <c r="C19" s="1490"/>
    </row>
    <row r="20" spans="1:3">
      <c r="A20" s="8" t="s">
        <v>121</v>
      </c>
      <c r="B20" s="2786" t="s">
        <v>2973</v>
      </c>
      <c r="C20" s="1490"/>
    </row>
    <row r="21" spans="1:3">
      <c r="A21" s="8" t="s">
        <v>122</v>
      </c>
      <c r="B21" s="3278" t="s">
        <v>3072</v>
      </c>
      <c r="C21" s="1490"/>
    </row>
    <row r="22" spans="1:3">
      <c r="A22" s="8" t="s">
        <v>123</v>
      </c>
      <c r="B22" s="8"/>
      <c r="C22" s="1490"/>
    </row>
    <row r="23" spans="1:3">
      <c r="A23" s="8" t="s">
        <v>124</v>
      </c>
      <c r="B23" s="8" t="s">
        <v>1631</v>
      </c>
      <c r="C23" s="1490"/>
    </row>
    <row r="24" spans="1:3">
      <c r="A24" s="8" t="s">
        <v>12</v>
      </c>
      <c r="B24" s="8" t="s">
        <v>1631</v>
      </c>
      <c r="C24" s="1490"/>
    </row>
    <row r="25" spans="1:3">
      <c r="A25" s="8" t="s">
        <v>125</v>
      </c>
      <c r="B25" s="8" t="s">
        <v>1631</v>
      </c>
      <c r="C25" s="1490"/>
    </row>
    <row r="26" spans="1:3">
      <c r="A26" s="8" t="s">
        <v>126</v>
      </c>
      <c r="B26" s="8" t="s">
        <v>1631</v>
      </c>
      <c r="C26" s="1490"/>
    </row>
    <row r="27" spans="1:3">
      <c r="A27" s="8" t="s">
        <v>1631</v>
      </c>
      <c r="B27" s="8" t="s">
        <v>1631</v>
      </c>
      <c r="C27" s="1490"/>
    </row>
    <row r="28" spans="1:3">
      <c r="A28" s="8" t="s">
        <v>1631</v>
      </c>
      <c r="B28" s="8" t="s">
        <v>1631</v>
      </c>
      <c r="C28" s="1490"/>
    </row>
    <row r="29" spans="1:3">
      <c r="A29" s="8" t="s">
        <v>1631</v>
      </c>
      <c r="B29" s="8" t="s">
        <v>1631</v>
      </c>
      <c r="C29" s="1490"/>
    </row>
    <row r="30" spans="1:3">
      <c r="A30" s="8" t="s">
        <v>1631</v>
      </c>
      <c r="B30" s="8" t="s">
        <v>1631</v>
      </c>
      <c r="C30" s="1490"/>
    </row>
    <row r="31" spans="1:3">
      <c r="A31" s="8" t="s">
        <v>1631</v>
      </c>
      <c r="B31" s="8" t="s">
        <v>1631</v>
      </c>
      <c r="C31" s="1490"/>
    </row>
    <row r="32" spans="1:3">
      <c r="A32" s="8" t="s">
        <v>1631</v>
      </c>
      <c r="B32" s="8" t="s">
        <v>1631</v>
      </c>
      <c r="C32" s="1490"/>
    </row>
    <row r="33" spans="1:3">
      <c r="A33" s="8" t="s">
        <v>1631</v>
      </c>
      <c r="B33" s="8" t="s">
        <v>1631</v>
      </c>
      <c r="C33" s="1490"/>
    </row>
    <row r="34" spans="1:3">
      <c r="A34" s="8" t="s">
        <v>1631</v>
      </c>
      <c r="B34" s="8" t="s">
        <v>1631</v>
      </c>
      <c r="C34" s="1490"/>
    </row>
    <row r="35" spans="1:3">
      <c r="A35" s="8" t="s">
        <v>1631</v>
      </c>
      <c r="B35" s="8" t="s">
        <v>1631</v>
      </c>
      <c r="C35" s="1490"/>
    </row>
    <row r="36" spans="1:3">
      <c r="A36" s="8" t="s">
        <v>1631</v>
      </c>
      <c r="B36" s="8" t="s">
        <v>1631</v>
      </c>
      <c r="C36" s="1490"/>
    </row>
    <row r="37" spans="1:3">
      <c r="A37" s="8" t="s">
        <v>1631</v>
      </c>
      <c r="B37" s="8" t="s">
        <v>1631</v>
      </c>
      <c r="C37" s="1490"/>
    </row>
    <row r="38" spans="1:3">
      <c r="A38" s="8" t="s">
        <v>1631</v>
      </c>
      <c r="B38" s="8" t="s">
        <v>1631</v>
      </c>
      <c r="C38" s="1490"/>
    </row>
    <row r="39" spans="1:3">
      <c r="A39" s="8" t="s">
        <v>1631</v>
      </c>
      <c r="B39" s="8" t="s">
        <v>1631</v>
      </c>
      <c r="C39" s="1490"/>
    </row>
    <row r="40" spans="1:3">
      <c r="A40" s="8" t="s">
        <v>1631</v>
      </c>
      <c r="B40" s="8" t="s">
        <v>1631</v>
      </c>
      <c r="C40" s="1490"/>
    </row>
    <row r="41" spans="1:3">
      <c r="A41" s="8" t="s">
        <v>1631</v>
      </c>
      <c r="B41" s="8" t="s">
        <v>1631</v>
      </c>
      <c r="C41" s="1490"/>
    </row>
    <row r="42" spans="1:3">
      <c r="A42" s="8" t="s">
        <v>1631</v>
      </c>
      <c r="B42" s="8" t="s">
        <v>1631</v>
      </c>
      <c r="C42" s="1490"/>
    </row>
    <row r="43" spans="1:3">
      <c r="A43" s="8" t="s">
        <v>1631</v>
      </c>
      <c r="B43" s="8" t="s">
        <v>1631</v>
      </c>
      <c r="C43" s="1490"/>
    </row>
    <row r="44" spans="1:3">
      <c r="A44" s="8" t="s">
        <v>1631</v>
      </c>
      <c r="B44" s="8" t="s">
        <v>1631</v>
      </c>
      <c r="C44" s="1490"/>
    </row>
    <row r="45" spans="1:3">
      <c r="A45" s="8" t="s">
        <v>1631</v>
      </c>
      <c r="B45" s="8" t="s">
        <v>1631</v>
      </c>
      <c r="C45" s="1490"/>
    </row>
    <row r="46" spans="1:3">
      <c r="A46" s="8" t="s">
        <v>1631</v>
      </c>
      <c r="B46" s="8" t="s">
        <v>1631</v>
      </c>
      <c r="C46" s="1490"/>
    </row>
    <row r="47" spans="1:3">
      <c r="A47" s="8" t="s">
        <v>1631</v>
      </c>
      <c r="B47" s="8" t="s">
        <v>1631</v>
      </c>
      <c r="C47" s="1490"/>
    </row>
    <row r="48" spans="1:3">
      <c r="A48" s="8" t="s">
        <v>1631</v>
      </c>
      <c r="B48" s="8" t="s">
        <v>1631</v>
      </c>
      <c r="C48" s="1490"/>
    </row>
    <row r="49" spans="1:5">
      <c r="A49" s="8" t="s">
        <v>1631</v>
      </c>
      <c r="B49" s="8" t="s">
        <v>1631</v>
      </c>
      <c r="C49" s="1490"/>
    </row>
    <row r="50" spans="1:5">
      <c r="A50" s="8" t="s">
        <v>1631</v>
      </c>
      <c r="B50" s="8" t="s">
        <v>1631</v>
      </c>
      <c r="C50" s="1490"/>
    </row>
    <row r="51" spans="1:5">
      <c r="A51" s="1681" t="s">
        <v>1930</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内江市内江经开区甜德街西侧，甜和街东侧A-5-2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1974</v>
      </c>
      <c r="B52" s="1684" t="s">
        <v>1975</v>
      </c>
      <c r="C52" s="1682" t="s">
        <v>1976</v>
      </c>
      <c r="D52" s="1682" t="s">
        <v>1977</v>
      </c>
      <c r="E52" s="1683"/>
    </row>
    <row r="53" spans="1:5">
      <c r="A53" s="3347" t="s">
        <v>1978</v>
      </c>
      <c r="B53" s="1682" t="s">
        <v>1984</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27日，在规划利用条件下、设定土地开发程度为红线外“七通”、宗地内场地，设定用途为，剩余土地使用年限为的出让国有建设用地使用权价格。</v>
      </c>
      <c r="D53" s="1683"/>
      <c r="E53" s="1683"/>
    </row>
    <row r="54" spans="1:5">
      <c r="A54" s="3347"/>
      <c r="B54" s="1682" t="s">
        <v>1985</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47"/>
      <c r="B55" s="1682" t="s">
        <v>1979</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47"/>
      <c r="B56" s="1682" t="s">
        <v>1980</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47"/>
      <c r="B57" s="1682" t="s">
        <v>1981</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2037</v>
      </c>
      <c r="B58" s="1682"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167</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不动产收益法-商业</vt:lpstr>
      <vt:lpstr>酒店收入计算</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'不动产比较法-洋房'!Print_Area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2021-03-03T01:02:47Z</dcterms:modified>
</cp:coreProperties>
</file>