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租金案例" sheetId="80"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15" l="1"/>
  <c r="Y6" i="1"/>
  <c r="D33" i="43"/>
  <c r="C14" i="74"/>
  <c r="B14" i="74"/>
  <c r="N6" i="1"/>
  <c r="M20" i="1"/>
  <c r="G42" i="1"/>
  <c r="G40" i="1"/>
  <c r="I35" i="1"/>
  <c r="K30" i="1"/>
  <c r="K42" i="1" s="1"/>
  <c r="I30" i="1"/>
  <c r="H30" i="1"/>
  <c r="H41" i="1" s="1"/>
  <c r="G30" i="1"/>
  <c r="G41" i="1" s="1"/>
  <c r="B59" i="1"/>
  <c r="H40" i="1" l="1"/>
  <c r="K41" i="1"/>
  <c r="H42" i="1"/>
  <c r="K40" i="1"/>
  <c r="F19" i="6" l="1"/>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s="1"/>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M28" i="15"/>
  <c r="J15" i="15"/>
  <c r="D3" i="73"/>
  <c r="M28" i="67"/>
  <c r="E7" i="76"/>
  <c r="M26" i="67"/>
  <c r="F8" i="67"/>
  <c r="AO13" i="1"/>
  <c r="M6" i="67"/>
  <c r="F6" i="67"/>
  <c r="B10" i="76"/>
  <c r="M24" i="15"/>
  <c r="F37" i="15"/>
  <c r="B8" i="76"/>
  <c r="E2" i="69"/>
  <c r="F38" i="15"/>
  <c r="F38" i="67"/>
  <c r="M9" i="67"/>
  <c r="L47" i="67"/>
  <c r="F7" i="67"/>
  <c r="E9" i="76"/>
  <c r="F5" i="73"/>
  <c r="L48" i="15"/>
  <c r="D6" i="73"/>
  <c r="F9" i="15"/>
  <c r="M6" i="15"/>
  <c r="M8" i="67"/>
  <c r="C76" i="15"/>
  <c r="F9" i="67"/>
  <c r="F43" i="67"/>
  <c r="M23" i="15"/>
  <c r="C76" i="67"/>
  <c r="M24" i="67"/>
  <c r="M29" i="15"/>
  <c r="M26" i="15"/>
  <c r="B11" i="76"/>
  <c r="F36" i="15"/>
  <c r="M22" i="15"/>
  <c r="F13" i="67"/>
  <c r="D5" i="73"/>
  <c r="M22" i="67"/>
  <c r="F37" i="67"/>
  <c r="F40" i="67"/>
  <c r="F7" i="15"/>
  <c r="F7" i="73"/>
  <c r="F26" i="15"/>
  <c r="B12" i="76"/>
  <c r="E10" i="76"/>
  <c r="F3" i="73"/>
  <c r="F40" i="15"/>
  <c r="F36" i="67"/>
  <c r="F16" i="67"/>
  <c r="M8" i="15"/>
  <c r="M23" i="67"/>
  <c r="F8" i="15"/>
  <c r="J15" i="67"/>
  <c r="B7" i="76"/>
  <c r="E2" i="68"/>
  <c r="L48" i="67"/>
  <c r="F20" i="31"/>
  <c r="D4" i="73"/>
  <c r="F6" i="73"/>
  <c r="F16" i="15"/>
  <c r="F4" i="73"/>
  <c r="B13" i="76"/>
  <c r="F6" i="15"/>
  <c r="E12" i="76"/>
  <c r="M29" i="67"/>
  <c r="E11" i="76"/>
  <c r="B9" i="76"/>
  <c r="M9" i="15"/>
  <c r="F13" i="15"/>
  <c r="F43" i="15"/>
  <c r="F26" i="67"/>
  <c r="L47" i="15"/>
  <c r="F42" i="67"/>
  <c r="E13" i="76"/>
  <c r="F42" i="15"/>
  <c r="D7" i="73"/>
  <c r="W31" i="37" l="1"/>
  <c r="D86" i="43"/>
  <c r="F54" i="9"/>
  <c r="F28" i="15"/>
  <c r="F32" i="15"/>
  <c r="F60" i="15" s="1"/>
  <c r="F32" i="67"/>
  <c r="F60" i="67" s="1"/>
  <c r="F52" i="9"/>
  <c r="F28" i="67"/>
  <c r="C28" i="67" s="1"/>
  <c r="F30" i="68"/>
  <c r="F48" i="68" s="1"/>
  <c r="C21" i="68"/>
  <c r="C40" i="69"/>
  <c r="G28" i="6"/>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15"/>
  <c r="D9" i="68"/>
  <c r="G1" i="73"/>
  <c r="C36" i="68"/>
  <c r="C16" i="67"/>
  <c r="E83" i="43" l="1"/>
  <c r="B81" i="43" s="1"/>
  <c r="E26" i="43"/>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41" i="67"/>
  <c r="AE6" i="1"/>
  <c r="F27" i="68"/>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8" s="1"/>
  <c r="C7" i="68" s="1"/>
  <c r="C5" i="68"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5" i="6" l="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18" i="12"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D2" i="21"/>
  <c r="C20"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8"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5"/>
  <c r="D2" i="34"/>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1" i="1"/>
  <c r="AO8" i="1"/>
  <c r="AO12" i="1"/>
  <c r="AO7" i="1"/>
  <c r="AO9" i="1"/>
  <c r="D19" i="9"/>
  <c r="AO6"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C105" i="9" s="1"/>
  <c r="F118" i="9" l="1"/>
  <c r="H102" i="9"/>
  <c r="I4" i="52"/>
  <c r="E118" i="9"/>
  <c r="H118" i="9"/>
  <c r="C104" i="9" l="1"/>
  <c r="H101" i="9"/>
  <c r="H4" i="52"/>
  <c r="H119" i="9"/>
  <c r="H5" i="52" s="1"/>
  <c r="F119" i="9"/>
  <c r="F5" i="52" s="1"/>
  <c r="B53" i="72" s="1"/>
  <c r="F4" i="52"/>
  <c r="B51" i="72" s="1"/>
  <c r="D118" i="9"/>
  <c r="E4" i="52"/>
  <c r="B48" i="72" s="1"/>
  <c r="E14" i="74"/>
  <c r="D7" i="53"/>
  <c r="B21" i="72" s="1"/>
  <c r="D14" i="74" l="1"/>
  <c r="D5" i="53"/>
  <c r="D45" i="9"/>
  <c r="M48" i="9"/>
  <c r="H107" i="9"/>
  <c r="D119" i="9"/>
  <c r="D5" i="52" s="1"/>
  <c r="B49" i="72" s="1"/>
  <c r="D4" i="52"/>
  <c r="B47" i="72" s="1"/>
  <c r="B20" i="72" l="1"/>
  <c r="D6" i="53"/>
  <c r="B22" i="72" s="1"/>
  <c r="H108" i="9"/>
  <c r="M49" i="9"/>
  <c r="D13" i="53"/>
  <c r="D122" i="9"/>
  <c r="D53" i="9"/>
  <c r="C78" i="9"/>
  <c r="C73" i="9" s="1"/>
  <c r="C64" i="9"/>
  <c r="C63" i="9" s="1"/>
  <c r="C67" i="9" s="1"/>
  <c r="C72" i="9"/>
  <c r="C85" i="9"/>
  <c r="D52" i="9"/>
  <c r="C93" i="9"/>
  <c r="C86" i="9" s="1"/>
  <c r="D55" i="9"/>
  <c r="M53" i="9" s="1"/>
  <c r="B5" i="74"/>
  <c r="F14" i="74"/>
  <c r="D8" i="52" l="1"/>
  <c r="D123" i="9"/>
  <c r="D9" i="52" s="1"/>
  <c r="C79" i="9"/>
  <c r="L68" i="9"/>
  <c r="M68" i="9" s="1"/>
  <c r="L63" i="9"/>
  <c r="M63" i="9" s="1"/>
  <c r="L65" i="9"/>
  <c r="M65" i="9" s="1"/>
  <c r="L66" i="9"/>
  <c r="M66" i="9" s="1"/>
  <c r="L64" i="9"/>
  <c r="M64" i="9" s="1"/>
  <c r="L67" i="9"/>
  <c r="M67" i="9" s="1"/>
  <c r="D5" i="74"/>
  <c r="C5" i="74"/>
  <c r="C95" i="9"/>
  <c r="C68" i="9"/>
  <c r="D54" i="9" s="1"/>
  <c r="D48" i="9" s="1"/>
  <c r="M52" i="9" s="1"/>
  <c r="D59" i="9"/>
  <c r="M55" i="9" s="1"/>
  <c r="B30" i="72"/>
  <c r="D14" i="53"/>
  <c r="B32" i="72" s="1"/>
  <c r="C6" i="74"/>
  <c r="D15" i="53"/>
  <c r="B31" i="72" s="1"/>
  <c r="M69" i="9" l="1"/>
  <c r="N69" i="9" s="1"/>
  <c r="C96" i="9"/>
  <c r="E96" i="9" s="1"/>
  <c r="E97" i="9" s="1"/>
  <c r="C80" i="9"/>
  <c r="E80" i="9" s="1"/>
  <c r="E81" i="9" s="1"/>
  <c r="C97" i="9" l="1"/>
  <c r="C81" i="9"/>
  <c r="D58" i="9" s="1"/>
  <c r="D56" i="9" s="1"/>
  <c r="M54" i="9" s="1"/>
  <c r="N57" i="9" s="1"/>
  <c r="P57" i="9" l="1"/>
  <c r="N59" i="9"/>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<sst xmlns="http://schemas.openxmlformats.org/spreadsheetml/2006/main" count="7862" uniqueCount="3458">
  <si>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</si>
  <si>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</si>
  <si>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</si>
  <si>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</si>
  <si>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</si>
  <si>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</si>
  <si>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</si>
  <si>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</si>
  <si>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</si>
  <si>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</si>
  <si>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</si>
  <si>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</si>
  <si>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</si>
  <si>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</si>
  <si>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</si>
  <si>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</si>
  <si>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</si>
  <si>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</si>
  <si>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</si>
  <si>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</si>
  <si>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</si>
  <si>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</si>
  <si>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</si>
  <si>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</si>
  <si>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</si>
  <si>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</si>
  <si>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</si>
  <si>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</si>
  <si>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</si>
  <si>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</si>
  <si>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</si>
  <si>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</si>
  <si>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</si>
  <si>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</si>
  <si>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</si>
  <si>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</si>
  <si>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</si>
  <si>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</si>
  <si>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</si>
  <si>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</si>
  <si>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</si>
  <si>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</si>
  <si>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</si>
  <si>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</si>
  <si>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</si>
  <si>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</si>
  <si>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</si>
  <si>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</si>
  <si>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</si>
  <si>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</si>
  <si>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</si>
  <si>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</si>
  <si>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</si>
  <si>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</si>
  <si>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</si>
  <si>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</si>
  <si>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</si>
  <si>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</si>
  <si>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</si>
  <si>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</si>
  <si>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</si>
  <si>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</si>
  <si>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</si>
  <si>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</si>
  <si>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</si>
  <si>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</si>
  <si>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</si>
  <si>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</si>
  <si>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</si>
  <si>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</si>
  <si>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</si>
  <si>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</si>
  <si>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</si>
  <si>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</si>
  <si>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</si>
  <si>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</si>
  <si>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</si>
  <si>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</si>
  <si>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</si>
  <si>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</si>
  <si>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</si>
  <si>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</si>
  <si>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</si>
  <si>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</si>
  <si>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</si>
  <si>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</si>
  <si>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</si>
  <si>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</si>
  <si>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</si>
  <si>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</si>
  <si>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</si>
  <si>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</si>
  <si>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</si>
  <si>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</si>
  <si>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</si>
  <si>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</si>
  <si>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</si>
  <si>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</si>
  <si>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</si>
  <si>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</si>
  <si>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</si>
  <si>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</si>
  <si>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</si>
  <si>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</si>
  <si>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</si>
  <si>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</si>
  <si>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</si>
  <si>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</si>
  <si>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</si>
  <si>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</si>
  <si>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</si>
  <si>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</si>
  <si>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</si>
  <si>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</si>
  <si>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</si>
  <si>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</si>
  <si>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</si>
  <si>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</si>
  <si>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</si>
  <si>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</si>
  <si>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</si>
  <si>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</si>
  <si>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</si>
  <si>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</si>
  <si>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</si>
  <si>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</si>
  <si>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</si>
  <si>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</si>
  <si>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</si>
  <si>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</si>
  <si>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</si>
  <si>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</si>
  <si>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</si>
  <si>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</si>
  <si>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</si>
  <si>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</si>
  <si>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</si>
  <si>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</si>
  <si>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</si>
  <si>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</si>
  <si>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</si>
  <si>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</si>
  <si>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</si>
  <si>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</si>
  <si>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</si>
  <si>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</si>
  <si>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</si>
  <si>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</si>
  <si>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</si>
  <si>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</si>
  <si>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</si>
  <si>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</si>
  <si>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</si>
  <si>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</si>
  <si>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</si>
  <si>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</si>
  <si>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</si>
  <si>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</si>
  <si>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</si>
  <si>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</si>
  <si>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</si>
  <si>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</si>
  <si>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</si>
  <si>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</si>
  <si>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</si>
  <si>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</si>
  <si>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</si>
  <si>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</si>
  <si>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</si>
  <si>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</si>
  <si>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</si>
  <si>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</si>
  <si>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</si>
  <si>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</si>
  <si>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</si>
  <si>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</si>
  <si>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</si>
  <si>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</si>
  <si>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</si>
  <si>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</si>
  <si>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</si>
  <si>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</si>
  <si>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</si>
  <si>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</si>
  <si>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</si>
  <si>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</si>
  <si>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</si>
  <si>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</si>
  <si>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</si>
  <si>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</si>
  <si>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</si>
  <si>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</si>
  <si>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</si>
  <si>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</si>
  <si>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</si>
  <si>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</si>
  <si>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</si>
  <si>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</si>
  <si>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</si>
  <si>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</si>
  <si>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</si>
  <si>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</si>
  <si>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</si>
  <si>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</si>
  <si>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</si>
  <si>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</si>
  <si>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</si>
  <si>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</si>
  <si>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</si>
  <si>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</si>
  <si>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</si>
  <si>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</si>
  <si>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</si>
  <si>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</si>
  <si>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</si>
  <si>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</si>
  <si>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</si>
  <si>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</si>
  <si>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</si>
  <si>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</si>
  <si>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</si>
  <si>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</si>
  <si>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</si>
  <si>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</si>
  <si>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</si>
  <si>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</si>
  <si>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</si>
  <si>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</si>
  <si>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</si>
  <si>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</si>
  <si>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</si>
  <si>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</si>
  <si>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</si>
  <si>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</si>
  <si>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</si>
  <si>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</si>
  <si>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</si>
  <si>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</si>
  <si>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</si>
  <si>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</si>
  <si>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</si>
  <si>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</si>
  <si>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</si>
  <si>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</si>
  <si>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</si>
  <si>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</si>
  <si>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</si>
  <si>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</si>
  <si>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</si>
  <si>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</si>
  <si>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</si>
  <si>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</si>
  <si>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</si>
  <si>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</si>
  <si>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</si>
  <si>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</si>
  <si>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</si>
  <si>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</si>
  <si>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</si>
  <si>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</si>
  <si>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</si>
  <si>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</si>
  <si>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</si>
  <si>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</si>
  <si>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</si>
  <si>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</si>
  <si>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</si>
  <si>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</si>
  <si>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</si>
  <si>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</si>
  <si>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</si>
  <si>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</si>
  <si>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</si>
  <si>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</si>
  <si>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</si>
  <si>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</si>
  <si>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</si>
  <si>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</si>
  <si>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</si>
  <si>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</si>
  <si>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</si>
  <si>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</si>
  <si>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</si>
  <si>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</si>
  <si>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</si>
  <si>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</si>
  <si>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</si>
  <si>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</si>
  <si>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</si>
  <si>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</si>
  <si>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</si>
  <si>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</si>
  <si>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</si>
  <si>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</si>
  <si>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</si>
  <si>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</si>
  <si>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</si>
  <si>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</si>
  <si>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</si>
  <si>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</si>
  <si>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</si>
  <si>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</si>
  <si>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</si>
  <si>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</si>
  <si>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</si>
  <si>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</si>
  <si>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</si>
  <si>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</si>
  <si>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</si>
  <si>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</si>
  <si>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</si>
  <si>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</si>
  <si>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</si>
  <si>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</si>
  <si>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</si>
  <si>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</si>
  <si>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</si>
  <si>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</si>
  <si>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</si>
  <si>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</si>
  <si>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</si>
  <si>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</si>
  <si>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</si>
  <si>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</si>
  <si>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</si>
  <si>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</si>
  <si>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</si>
  <si>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</si>
  <si>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</si>
  <si>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</si>
  <si>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</si>
  <si>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</si>
  <si>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</si>
  <si>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</si>
  <si>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</si>
  <si>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</si>
  <si>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</si>
  <si>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</si>
  <si>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</si>
  <si>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</si>
  <si>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</si>
  <si>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</si>
  <si>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</si>
  <si>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</si>
  <si>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</si>
  <si>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</si>
  <si>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</si>
  <si>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</si>
  <si>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</si>
  <si>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</si>
  <si>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</si>
  <si>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</si>
  <si>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</si>
  <si>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</si>
  <si>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</si>
  <si>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</si>
  <si>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</si>
  <si>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</si>
  <si>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</si>
  <si>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</si>
  <si>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</si>
  <si>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</si>
  <si>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</si>
  <si>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</si>
  <si>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</si>
  <si>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</si>
  <si>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</si>
  <si>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</si>
  <si>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</si>
  <si>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</si>
  <si>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</si>
  <si>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</si>
  <si>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</si>
  <si>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</si>
  <si>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</si>
  <si>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</si>
  <si>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</si>
  <si>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</si>
  <si>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</si>
  <si>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</si>
  <si>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</si>
  <si>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</si>
  <si>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</si>
  <si>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</si>
  <si>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</si>
  <si>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</si>
  <si>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</si>
  <si>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</si>
  <si>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</si>
  <si>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</si>
  <si>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</si>
  <si>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</si>
  <si>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</si>
  <si>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</si>
  <si>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</si>
  <si>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</si>
  <si>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</si>
  <si>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</si>
  <si>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</si>
  <si>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</si>
  <si>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</si>
  <si>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</si>
  <si>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</si>
  <si>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</si>
  <si>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</si>
  <si>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</si>
  <si>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</si>
  <si>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</si>
  <si>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</si>
  <si>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</si>
  <si>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</si>
  <si>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</si>
  <si>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</si>
  <si>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</si>
  <si>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</si>
  <si>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</si>
  <si>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</si>
  <si>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</si>
  <si>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</si>
  <si>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</si>
  <si>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</si>
  <si>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</si>
  <si>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</si>
  <si>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</si>
  <si>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</si>
  <si>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</si>
  <si>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</si>
  <si>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</si>
  <si>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</si>
  <si>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</si>
  <si>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</si>
  <si>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</si>
  <si>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</si>
  <si>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</si>
  <si>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</si>
  <si>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</si>
  <si>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</si>
  <si>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</si>
  <si>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</si>
  <si>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</si>
  <si>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</si>
  <si>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</si>
  <si>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</si>
  <si>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</si>
  <si>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</si>
  <si>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</si>
  <si>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</si>
  <si>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</si>
  <si>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</si>
  <si>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</si>
  <si>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</si>
  <si>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</si>
  <si>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</si>
  <si>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</si>
  <si>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</si>
  <si>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</si>
  <si>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</si>
  <si>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</si>
  <si>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</si>
  <si>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</si>
  <si>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</si>
  <si>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</si>
  <si>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</si>
  <si>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</si>
  <si>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</si>
  <si>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</si>
  <si>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</si>
  <si>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</si>
  <si>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</si>
  <si>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</si>
  <si>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</si>
  <si>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</si>
  <si>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</si>
  <si>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</si>
  <si>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</si>
  <si>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</si>
  <si>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</si>
  <si>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</si>
  <si>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</si>
  <si>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</si>
  <si>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</si>
  <si>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</si>
  <si>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</si>
  <si>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</si>
  <si>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</si>
  <si>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</si>
  <si>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</si>
  <si>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</si>
  <si>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</si>
  <si>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</si>
  <si>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</si>
  <si>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</si>
  <si>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</si>
  <si>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</si>
  <si>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</si>
  <si>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</si>
  <si>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</si>
  <si>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</si>
  <si>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</si>
  <si>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</si>
  <si>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</si>
  <si>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</si>
  <si>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</si>
  <si>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</si>
  <si>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</si>
  <si>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</si>
  <si>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</si>
  <si>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</si>
  <si>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</si>
  <si>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</si>
  <si>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</si>
  <si>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</si>
  <si>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</si>
  <si>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</si>
  <si>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</si>
  <si>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</si>
  <si>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</si>
  <si>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</si>
  <si>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</si>
  <si>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</si>
  <si>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</si>
  <si>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</si>
  <si>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</si>
  <si>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</si>
  <si>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</si>
  <si>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</si>
  <si>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</si>
  <si>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</si>
  <si>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</si>
  <si>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</si>
  <si>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</si>
  <si>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</si>
  <si>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</si>
  <si>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</si>
  <si>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</si>
  <si>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</si>
  <si>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</si>
  <si>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</si>
  <si>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</si>
  <si>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</si>
  <si>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</si>
  <si>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</si>
  <si>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</si>
  <si>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</si>
  <si>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</si>
  <si>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</si>
  <si>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</si>
  <si>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</si>
  <si>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</si>
  <si>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</si>
  <si>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</si>
  <si>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</si>
  <si>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</si>
  <si>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</si>
  <si>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</si>
  <si>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</si>
  <si>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</si>
  <si>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</si>
  <si>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</si>
  <si>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</si>
  <si>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</si>
  <si>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</si>
  <si>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</si>
  <si>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</si>
  <si>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</si>
  <si>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</si>
  <si>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</si>
  <si>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</si>
  <si>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</si>
  <si>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</si>
  <si>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</si>
  <si>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</si>
  <si>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</si>
  <si>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</si>
  <si>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</si>
  <si>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</si>
  <si>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</si>
  <si>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</si>
  <si>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</si>
  <si>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</si>
  <si>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</si>
  <si>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</si>
  <si>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</si>
  <si>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</si>
  <si>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</si>
  <si>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</si>
  <si>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</si>
  <si>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</si>
  <si>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</si>
  <si>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</si>
  <si>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</si>
  <si>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</si>
  <si>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</si>
  <si>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</si>
  <si>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</si>
  <si>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</si>
  <si>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</si>
  <si>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</si>
  <si>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</si>
  <si>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</si>
  <si>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</si>
  <si>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</si>
  <si>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</si>
  <si>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</si>
  <si>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</si>
  <si>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</si>
  <si>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</si>
  <si>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</si>
  <si>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</si>
  <si>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</si>
  <si>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</si>
  <si>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</si>
  <si>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</si>
  <si>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</si>
  <si>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</si>
  <si>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</si>
  <si>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</si>
  <si>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</si>
  <si>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</si>
  <si>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</si>
  <si>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</si>
  <si>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</si>
  <si>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</si>
  <si>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</si>
  <si>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</si>
  <si>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</si>
  <si>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</si>
  <si>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</si>
  <si>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</si>
  <si>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</si>
  <si>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</si>
  <si>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</si>
  <si>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</si>
  <si>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</si>
  <si>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</si>
  <si>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</si>
  <si>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</si>
  <si>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</si>
  <si>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</si>
  <si>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</si>
  <si>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</si>
  <si>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</si>
  <si>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</si>
  <si>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</si>
  <si>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</si>
  <si>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</si>
  <si>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</si>
  <si>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</si>
  <si>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</si>
  <si>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</si>
  <si>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</si>
  <si>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</si>
  <si>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</si>
  <si>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</si>
  <si>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</si>
  <si>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</si>
  <si>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</si>
  <si>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</si>
  <si>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</si>
  <si>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</si>
  <si>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</si>
  <si>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</si>
  <si>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</si>
  <si>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</si>
  <si>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</si>
  <si>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</si>
  <si>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</si>
  <si>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</si>
  <si>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</si>
  <si>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</si>
  <si>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</si>
  <si>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</si>
  <si>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</si>
  <si>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</si>
  <si>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</si>
  <si>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</si>
  <si>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</si>
  <si>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</si>
  <si>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</si>
  <si>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</si>
  <si>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</si>
  <si>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</si>
  <si>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</si>
  <si>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</si>
  <si>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</si>
  <si>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</si>
  <si>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</si>
  <si>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</si>
  <si>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</si>
  <si>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</si>
  <si>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</si>
  <si>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</si>
  <si>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</si>
  <si>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</si>
  <si>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</si>
  <si>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</si>
  <si>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</si>
  <si>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</si>
  <si>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</si>
  <si>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</si>
  <si>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</si>
  <si>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</si>
  <si>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</si>
  <si>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</si>
  <si>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</si>
  <si>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</si>
  <si>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</si>
  <si>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</si>
  <si>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</si>
  <si>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</si>
  <si>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</si>
  <si>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</si>
  <si>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</si>
  <si>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</si>
  <si>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</si>
  <si>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</si>
  <si>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</si>
  <si>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</si>
  <si>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</si>
  <si>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</si>
  <si>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</si>
  <si>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</si>
  <si>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</si>
  <si>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</si>
  <si>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</si>
  <si>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</si>
  <si>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</si>
  <si>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</si>
  <si>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</si>
  <si>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</si>
  <si>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</si>
  <si>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</si>
  <si>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</si>
  <si>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</si>
  <si>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</si>
  <si>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</si>
  <si>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</si>
  <si>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</si>
  <si>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</si>
  <si>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</si>
  <si>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</si>
  <si>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</si>
  <si>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</si>
  <si>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</si>
  <si>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</si>
  <si>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</si>
  <si>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</si>
  <si>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</si>
  <si>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</si>
  <si>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</si>
  <si>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</si>
  <si>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</si>
  <si>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</si>
  <si>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</si>
  <si>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</si>
  <si>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</si>
  <si>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</si>
  <si>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</si>
  <si>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</si>
  <si>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</si>
  <si>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</si>
  <si>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</si>
  <si>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</si>
  <si>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</si>
  <si>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</si>
  <si>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</si>
  <si>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</si>
  <si>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</si>
  <si>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</si>
  <si>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</si>
  <si>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</si>
  <si>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</si>
  <si>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</si>
  <si>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</si>
  <si>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</si>
  <si>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</si>
  <si>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</si>
  <si>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</si>
  <si>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</si>
  <si>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</si>
  <si>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</si>
  <si>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</si>
  <si>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</si>
  <si>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</si>
  <si>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</si>
  <si>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</si>
  <si>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</si>
  <si>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</si>
  <si>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</si>
  <si>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</si>
  <si>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</si>
  <si>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</si>
  <si>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</si>
  <si>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</si>
  <si>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</si>
  <si>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</si>
  <si>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</si>
  <si>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</si>
  <si>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</si>
  <si>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</si>
  <si>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</si>
  <si>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</si>
  <si>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</si>
  <si>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</si>
  <si>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</si>
  <si>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</si>
  <si>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</si>
  <si>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</si>
  <si>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</si>
  <si>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</si>
  <si>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</si>
  <si>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</si>
  <si>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</si>
  <si>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</si>
  <si>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</si>
  <si>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</si>
  <si>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</si>
  <si>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</si>
  <si>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</si>
  <si>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</si>
  <si>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</si>
  <si>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</si>
  <si>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</si>
  <si>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</si>
  <si>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</si>
  <si>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</si>
  <si>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</si>
  <si>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</si>
  <si>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</si>
  <si>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</si>
  <si>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</si>
  <si>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</si>
  <si>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</si>
  <si>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</si>
  <si>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</si>
  <si>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</si>
  <si>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</si>
  <si>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</si>
  <si>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</si>
  <si>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</si>
  <si>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</si>
  <si>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</si>
  <si>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</si>
  <si>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</si>
  <si>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</si>
  <si>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</si>
  <si>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</si>
  <si>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</si>
  <si>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</si>
  <si>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</si>
  <si>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</si>
  <si>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</si>
  <si>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</si>
  <si>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</si>
  <si>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</si>
  <si>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</si>
  <si>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</si>
  <si>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</si>
  <si>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</si>
  <si>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</si>
  <si>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</si>
  <si>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</si>
  <si>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</si>
  <si>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</si>
  <si>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</si>
  <si>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</si>
  <si>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</si>
  <si>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</si>
  <si>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</si>
  <si>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</si>
  <si>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</si>
  <si>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</si>
  <si>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</si>
  <si>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</si>
  <si>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</si>
  <si>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</si>
  <si>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</si>
  <si>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</si>
  <si>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</si>
  <si>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</si>
  <si>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</si>
  <si>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</si>
  <si>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</si>
  <si>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</si>
  <si>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</si>
  <si>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</si>
  <si>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</si>
  <si>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</si>
  <si>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</si>
  <si>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</si>
  <si>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</si>
  <si>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</si>
  <si>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</si>
  <si>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</si>
  <si>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</si>
  <si>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</si>
  <si>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</si>
  <si>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</si>
  <si>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</si>
  <si>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</si>
  <si>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</si>
  <si>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</si>
  <si>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</si>
  <si>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</si>
  <si>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</si>
  <si>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</si>
  <si>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</si>
  <si>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</si>
  <si>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</si>
  <si>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</si>
  <si>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</si>
  <si>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</si>
  <si>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</si>
  <si>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</si>
  <si>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</si>
  <si>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</si>
  <si>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</si>
  <si>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</si>
  <si>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</si>
  <si>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</si>
  <si>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</si>
  <si>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</si>
  <si>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</si>
  <si>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</si>
  <si>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</si>
  <si>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</si>
  <si>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</si>
  <si>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</si>
  <si>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</si>
  <si>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</si>
  <si>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</si>
  <si>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</si>
  <si>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</si>
  <si>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</si>
  <si>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</si>
  <si>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</si>
  <si>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</si>
  <si>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</si>
  <si>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</si>
  <si>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</si>
  <si>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</si>
  <si>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</si>
  <si>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</si>
  <si>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</si>
  <si>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</si>
  <si>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</si>
  <si>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</si>
  <si>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</si>
  <si>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</si>
  <si>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</si>
  <si>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</si>
  <si>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</si>
  <si>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</si>
  <si>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</si>
  <si>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</si>
  <si>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</si>
  <si>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</si>
  <si>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</si>
  <si>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</si>
  <si>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</si>
  <si>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</si>
  <si>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</si>
  <si>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</si>
  <si>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</si>
  <si>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</si>
  <si>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</si>
  <si>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</si>
  <si>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</si>
  <si>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</si>
  <si>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</si>
  <si>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</si>
  <si>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</si>
  <si>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</si>
  <si>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</si>
  <si>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</si>
  <si>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</si>
  <si>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</si>
  <si>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</si>
  <si>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</si>
  <si>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</si>
  <si>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</si>
  <si>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</si>
  <si>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</si>
  <si>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</si>
  <si>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</si>
  <si>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</si>
  <si>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</si>
  <si>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</si>
  <si>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</si>
  <si>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</si>
  <si>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</si>
  <si>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</si>
  <si>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</si>
  <si>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</si>
  <si>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</si>
  <si>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</si>
  <si>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</si>
  <si>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</si>
  <si>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</si>
  <si>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</si>
  <si>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</si>
  <si>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</si>
  <si>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</si>
  <si>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</si>
  <si>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</si>
  <si>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</si>
  <si>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</si>
  <si>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</si>
  <si>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</si>
  <si>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</si>
  <si>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</si>
  <si>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</si>
  <si>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</si>
  <si>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</si>
  <si>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</si>
  <si>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</si>
  <si>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</si>
  <si>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</si>
  <si>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</si>
  <si>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</si>
  <si>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</si>
  <si>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</si>
  <si>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</si>
  <si>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</si>
  <si>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</si>
  <si>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</si>
  <si>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</si>
  <si>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</si>
  <si>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</si>
  <si>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</si>
  <si>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</si>
  <si>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</si>
  <si>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</si>
  <si>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</si>
  <si>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</si>
  <si>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</si>
  <si>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</si>
  <si>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</si>
  <si>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</si>
  <si>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</si>
  <si>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</si>
  <si>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</si>
  <si>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</si>
  <si>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</si>
  <si>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</si>
  <si>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</si>
  <si>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</si>
  <si>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</si>
  <si>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</si>
  <si>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</si>
  <si>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</si>
  <si>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</si>
  <si>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</si>
  <si>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</si>
  <si>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</si>
  <si>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</si>
  <si>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</si>
  <si>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</si>
  <si>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</si>
  <si>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</si>
  <si>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</si>
  <si>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</si>
  <si>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</si>
  <si>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</si>
  <si>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</si>
  <si>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</si>
  <si>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</si>
  <si>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</si>
  <si>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</si>
  <si>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</si>
  <si>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</si>
  <si>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</si>
  <si>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</si>
  <si>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</si>
  <si>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</si>
  <si>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</si>
  <si>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</si>
  <si>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</si>
  <si>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</si>
  <si>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</si>
  <si>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</si>
  <si>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</si>
  <si>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</si>
  <si>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</si>
  <si>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</si>
  <si>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</si>
  <si>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</si>
  <si>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</si>
  <si>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</si>
  <si>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</si>
  <si>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</si>
  <si>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</si>
  <si>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</si>
  <si>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</si>
  <si>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</si>
  <si>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</si>
  <si>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</si>
  <si>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</si>
  <si>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</si>
  <si>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</si>
  <si>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</si>
  <si>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</si>
  <si>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</si>
  <si>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</si>
  <si>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</si>
  <si>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</si>
  <si>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</si>
  <si>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</si>
  <si>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</si>
  <si>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</si>
  <si>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</si>
  <si>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</si>
  <si>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</si>
  <si>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</si>
  <si>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</si>
  <si>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</si>
  <si>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</si>
  <si>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</si>
  <si>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</si>
  <si>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</si>
  <si>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</si>
  <si>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</si>
  <si>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</si>
  <si>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</si>
  <si>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</si>
  <si>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</si>
  <si>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</si>
  <si>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</si>
  <si>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</si>
  <si>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</si>
  <si>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</si>
  <si>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</si>
  <si>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</si>
  <si>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</si>
  <si>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</si>
  <si>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</si>
  <si>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</si>
  <si>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</si>
  <si>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</si>
  <si>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</si>
  <si>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</si>
  <si>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</si>
  <si>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</si>
  <si>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</si>
  <si>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</si>
  <si>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</si>
  <si>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</si>
  <si>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</si>
  <si>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</si>
  <si>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</si>
  <si>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</si>
  <si>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</si>
  <si>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</si>
  <si>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</si>
  <si>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</si>
  <si>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</si>
  <si>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</si>
  <si>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</si>
  <si>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</si>
  <si>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</si>
  <si>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</si>
  <si>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</si>
  <si>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</si>
  <si>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</si>
  <si>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</si>
  <si>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</si>
  <si>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</si>
  <si>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</si>
  <si>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</si>
  <si>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</si>
  <si>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</si>
  <si>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</si>
  <si>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</si>
  <si>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</si>
  <si>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</si>
  <si>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</si>
  <si>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</si>
  <si>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</si>
  <si>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</si>
  <si>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</si>
  <si>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</si>
  <si>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</si>
  <si>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</si>
  <si>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</si>
  <si>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</si>
  <si>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</si>
  <si>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</si>
  <si>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</si>
  <si>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</si>
  <si>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</si>
  <si>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</si>
  <si>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</si>
  <si>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</si>
  <si>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</si>
  <si>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</si>
  <si>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</si>
  <si>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</si>
  <si>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</si>
  <si>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</si>
  <si>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</si>
  <si>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</si>
  <si>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</si>
  <si>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</si>
  <si>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</si>
  <si>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</si>
  <si>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</si>
  <si>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</si>
  <si>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</si>
  <si>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</si>
  <si>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</si>
  <si>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</si>
  <si>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</si>
  <si>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</si>
  <si>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</si>
  <si>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</si>
  <si>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</si>
  <si>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</si>
  <si>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</si>
  <si>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</si>
  <si>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</si>
  <si>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</si>
  <si>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</si>
  <si>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</si>
  <si>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</si>
  <si>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</si>
  <si>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</si>
  <si>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</si>
  <si>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</si>
  <si>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</si>
  <si>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</si>
  <si>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</si>
  <si>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</si>
  <si>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</si>
  <si>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</si>
  <si>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</si>
  <si>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</si>
  <si>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</si>
  <si>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</si>
  <si>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</si>
  <si>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</si>
  <si>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</si>
  <si>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</si>
  <si>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</si>
  <si>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</si>
  <si>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</si>
  <si>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</si>
  <si>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</si>
  <si>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</si>
  <si>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</si>
  <si>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</si>
  <si>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</si>
  <si>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</si>
  <si>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</si>
  <si>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</si>
  <si>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</si>
  <si>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</si>
  <si>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</si>
  <si>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</si>
  <si>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</si>
  <si>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</si>
  <si>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</si>
  <si>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</si>
  <si>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</si>
  <si>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</si>
  <si>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</si>
  <si>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</si>
  <si>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</si>
  <si>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</si>
  <si>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</si>
  <si>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</si>
  <si>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</si>
  <si>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</si>
  <si>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</si>
  <si>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</si>
  <si>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</si>
  <si>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</si>
  <si>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</si>
  <si>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</si>
  <si>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</si>
  <si>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</si>
  <si>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</si>
  <si>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</si>
  <si>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</si>
  <si>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</si>
  <si>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</si>
  <si>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</si>
  <si>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</si>
  <si>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</si>
  <si>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</si>
  <si>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</si>
  <si>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</si>
  <si>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</si>
  <si>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</si>
  <si>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</si>
  <si>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</si>
  <si>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</si>
  <si>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</si>
  <si>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</si>
  <si>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</si>
  <si>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</si>
  <si>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</si>
  <si>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</si>
  <si>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</si>
  <si>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</si>
  <si>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</si>
  <si>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</si>
  <si>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</si>
  <si>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</si>
  <si>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</si>
  <si>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</si>
  <si>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</si>
  <si>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</si>
  <si>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</si>
  <si>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</si>
  <si>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</si>
  <si>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</si>
  <si>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</si>
  <si>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</si>
  <si>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</si>
  <si>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</si>
  <si>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</si>
  <si>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</si>
  <si>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</si>
  <si>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</si>
  <si>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</si>
  <si>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</si>
  <si>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</si>
  <si>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</si>
  <si>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</si>
  <si>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</si>
  <si>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</si>
  <si>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</si>
  <si>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</si>
  <si>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</si>
  <si>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</si>
  <si>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</si>
  <si>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</si>
  <si>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</si>
  <si>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</si>
  <si>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</si>
  <si>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</si>
  <si>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</si>
  <si>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</si>
  <si>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</si>
  <si>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</si>
  <si>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</si>
  <si>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</si>
  <si>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</si>
  <si>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</si>
  <si>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</si>
  <si>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</si>
  <si>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</si>
  <si>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</si>
  <si>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</si>
  <si>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</si>
  <si>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</si>
  <si>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</si>
  <si>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</si>
  <si>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</si>
  <si>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</si>
  <si>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</si>
  <si>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</si>
  <si>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</si>
  <si>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</si>
  <si>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</si>
  <si>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</si>
  <si>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</si>
  <si>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</si>
  <si>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</si>
  <si>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</si>
  <si>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</si>
  <si>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</si>
  <si>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</si>
  <si>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</si>
  <si>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</si>
  <si>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</si>
  <si>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</si>
  <si>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</si>
  <si>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</si>
  <si>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</si>
  <si>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</si>
  <si>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</si>
  <si>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</si>
  <si>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</si>
  <si>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</si>
  <si>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</si>
  <si>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</si>
  <si>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</si>
  <si>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</si>
  <si>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</si>
  <si>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</si>
  <si>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</si>
  <si>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</si>
  <si>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</si>
  <si>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</si>
  <si>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</si>
  <si>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</si>
  <si>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</si>
  <si>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</si>
  <si>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</si>
  <si>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</si>
  <si>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</si>
  <si>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</si>
  <si>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</si>
  <si>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</si>
  <si>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</si>
  <si>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</si>
  <si>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</si>
  <si>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</si>
  <si>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</si>
  <si>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</si>
  <si>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</si>
  <si>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</si>
  <si>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</si>
  <si>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</si>
  <si>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</si>
  <si>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</si>
  <si>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</si>
  <si>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</si>
  <si>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</si>
  <si>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</si>
  <si>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</si>
  <si>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</si>
  <si>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</si>
  <si>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</si>
  <si>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</si>
  <si>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</si>
  <si>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</si>
  <si>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</si>
  <si>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</si>
  <si>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</si>
  <si>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</si>
  <si>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</si>
  <si>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</si>
  <si>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</si>
  <si>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</si>
  <si>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</si>
  <si>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</si>
  <si>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</si>
  <si>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</si>
  <si>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</si>
  <si>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</si>
  <si>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</si>
  <si>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</si>
  <si>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</si>
  <si>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</si>
  <si>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</si>
  <si>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</si>
  <si>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</si>
  <si>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</si>
  <si>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</si>
  <si>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</si>
  <si>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</si>
  <si>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</si>
  <si>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</si>
  <si>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</si>
  <si>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</si>
  <si>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</si>
  <si>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</si>
  <si>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</si>
  <si>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</si>
  <si>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</si>
  <si>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</si>
  <si>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</si>
  <si>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</si>
  <si>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</si>
  <si>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</si>
  <si>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</si>
  <si>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</si>
  <si>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</si>
  <si>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</si>
  <si>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</si>
  <si>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</si>
  <si>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</si>
  <si>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</si>
  <si>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</si>
  <si>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</si>
  <si>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</si>
  <si>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</si>
  <si>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</si>
  <si>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</si>
  <si>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</si>
  <si>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</si>
  <si>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</si>
  <si>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</si>
  <si>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</si>
  <si>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</si>
  <si>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</si>
  <si>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</si>
  <si>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</si>
  <si>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</si>
  <si>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</si>
  <si>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</si>
  <si>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</si>
  <si>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</si>
  <si>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</si>
  <si>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</si>
  <si>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</si>
  <si>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</si>
  <si>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</si>
  <si>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</si>
  <si>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</si>
  <si>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</si>
  <si>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</si>
  <si>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</si>
  <si>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</si>
  <si>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</si>
  <si>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</si>
  <si>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</si>
  <si>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</si>
  <si>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</si>
  <si>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</si>
  <si>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</si>
  <si>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</si>
  <si>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</si>
  <si>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</si>
  <si>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</si>
  <si>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</si>
  <si>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</si>
  <si>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</si>
  <si>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</si>
  <si>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</si>
  <si>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</si>
  <si>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</si>
  <si>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</si>
  <si>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</si>
  <si>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</si>
  <si>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</si>
  <si>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</si>
  <si>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</si>
  <si>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</si>
  <si>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</si>
  <si>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</si>
  <si>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</si>
  <si>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</si>
  <si>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</si>
  <si>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</si>
  <si>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</si>
  <si>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</si>
  <si>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</si>
  <si>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</si>
  <si>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</si>
  <si>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</si>
  <si>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</si>
  <si>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</si>
  <si>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</si>
  <si>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</si>
  <si>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</si>
  <si>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</si>
  <si>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</si>
  <si>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</si>
  <si>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</si>
  <si>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</si>
  <si>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</si>
  <si>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</si>
  <si>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</si>
  <si>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</si>
  <si>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</si>
  <si>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</si>
  <si>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</si>
  <si>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</si>
  <si>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</si>
  <si>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</si>
  <si>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</si>
  <si>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</si>
  <si>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</si>
  <si>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</si>
  <si>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</si>
  <si>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</si>
  <si>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</si>
  <si>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</si>
  <si>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</si>
  <si>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</si>
  <si>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</si>
  <si>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</si>
  <si>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</si>
  <si>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</si>
  <si>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</si>
  <si>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</si>
  <si>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</si>
  <si>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</si>
  <si>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</si>
  <si>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</si>
  <si>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</si>
  <si>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</si>
  <si>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</si>
  <si>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</si>
  <si>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</si>
  <si>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</si>
  <si>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</si>
  <si>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</si>
  <si>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</si>
  <si>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</si>
  <si>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</si>
  <si>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</si>
  <si>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</si>
  <si>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</si>
  <si>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</si>
  <si>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</si>
  <si>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</si>
  <si>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</si>
  <si>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</si>
  <si>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</si>
  <si>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</si>
  <si>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</si>
  <si>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</si>
  <si>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</si>
  <si>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</si>
  <si>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</si>
  <si>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</si>
  <si>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</si>
  <si>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</si>
  <si>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</si>
  <si>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</si>
  <si>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</si>
  <si>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</si>
  <si>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</si>
  <si>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</si>
  <si>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</si>
  <si>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</si>
  <si>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</si>
  <si>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</si>
  <si>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</si>
  <si>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</si>
  <si>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</si>
  <si>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</si>
  <si>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</si>
  <si>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</si>
  <si>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</si>
  <si>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</si>
  <si>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</si>
  <si>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</si>
  <si>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</si>
  <si>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</si>
  <si>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</si>
  <si>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</si>
  <si>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</si>
  <si>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</si>
  <si>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</si>
  <si>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</si>
  <si>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</si>
  <si>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</si>
  <si>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</si>
  <si>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</si>
  <si>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</si>
  <si>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</si>
  <si>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</si>
  <si>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</si>
  <si>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</si>
  <si>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</si>
  <si>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</si>
  <si>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</si>
  <si>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</si>
  <si>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</si>
  <si>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</si>
  <si>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</si>
  <si>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</si>
  <si>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</si>
  <si>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</si>
  <si>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</si>
  <si>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</si>
  <si>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</si>
  <si>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</si>
  <si>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</si>
  <si>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</si>
  <si>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</si>
  <si>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</si>
  <si>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</si>
  <si>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</si>
  <si>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</si>
  <si>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</si>
  <si>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</si>
  <si>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</si>
  <si>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</si>
  <si>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</si>
  <si>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</si>
  <si>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</si>
  <si>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</si>
  <si>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</si>
  <si>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</si>
  <si>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</si>
  <si>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</si>
  <si>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</si>
  <si>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</si>
  <si>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</si>
  <si>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</si>
  <si>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</si>
  <si>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</si>
  <si>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</si>
  <si>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</si>
  <si>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</si>
  <si>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</si>
  <si>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</si>
  <si>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</si>
  <si>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</si>
  <si>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</si>
  <si>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</si>
  <si>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</si>
  <si>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</si>
  <si>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</si>
  <si>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</si>
  <si>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</si>
  <si>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</si>
  <si>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</si>
  <si>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</si>
  <si>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</si>
  <si>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</si>
  <si>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</si>
  <si>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</si>
  <si>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</si>
  <si>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</si>
  <si>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</si>
  <si>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</si>
  <si>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</si>
  <si>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</si>
  <si>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</si>
  <si>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</si>
  <si>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</si>
  <si>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</si>
  <si>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</si>
  <si>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</si>
  <si>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</si>
  <si>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</si>
  <si>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</si>
  <si>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</si>
  <si>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</si>
  <si>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</si>
  <si>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</si>
  <si>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</si>
  <si>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</si>
  <si>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</si>
  <si>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</si>
  <si>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</si>
  <si>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</si>
  <si>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</si>
  <si>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</si>
  <si>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</si>
  <si>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</si>
  <si>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</si>
  <si>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</si>
  <si>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</si>
  <si>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</si>
  <si>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</si>
  <si>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</si>
  <si>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</si>
  <si>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</si>
  <si>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</si>
  <si>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</si>
  <si>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</si>
  <si>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</si>
  <si>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</si>
  <si>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</si>
  <si>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</si>
  <si>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</si>
  <si>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</si>
  <si>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</si>
  <si>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</si>
  <si>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</si>
  <si>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</si>
  <si>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</si>
  <si>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</si>
  <si>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</si>
  <si>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</si>
  <si>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</si>
  <si>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</si>
  <si>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</si>
  <si>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</si>
  <si>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</si>
  <si>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</si>
  <si>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</si>
  <si>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</si>
  <si>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</si>
  <si>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</si>
  <si>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</si>
  <si>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</si>
  <si>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</si>
  <si>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</si>
  <si>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</si>
  <si>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</si>
  <si>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</si>
  <si>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</si>
  <si>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</si>
  <si>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</si>
  <si>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</si>
  <si>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</si>
  <si>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</si>
  <si>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</si>
  <si>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</si>
  <si>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</si>
  <si>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</si>
  <si>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</si>
  <si>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</si>
  <si>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</si>
  <si>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</si>
  <si>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</si>
  <si>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</si>
  <si>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</si>
  <si>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</si>
  <si>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</si>
  <si>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</si>
  <si>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</si>
  <si>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</si>
  <si>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</si>
  <si>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</si>
  <si>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</si>
  <si>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</si>
  <si>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</si>
  <si>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</si>
  <si>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</si>
  <si>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</si>
  <si>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</si>
  <si>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</si>
  <si>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</si>
  <si>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</si>
  <si>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</si>
  <si>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</si>
  <si>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</si>
  <si>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</si>
  <si>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</si>
  <si>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</si>
  <si>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</si>
  <si>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</si>
  <si>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</si>
  <si>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</si>
  <si>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</si>
  <si>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</si>
  <si>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</si>
  <si>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</si>
  <si>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</si>
  <si>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</si>
  <si>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</si>
  <si>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</si>
  <si>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</si>
  <si>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</si>
  <si>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</si>
  <si>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</si>
  <si>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</si>
  <si>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</si>
  <si>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</si>
  <si>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</si>
  <si>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</si>
  <si>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</si>
  <si>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</si>
  <si>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</si>
  <si>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</si>
  <si>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</si>
  <si>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</si>
  <si>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</si>
  <si>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</si>
  <si>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</si>
  <si>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</si>
  <si>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</si>
  <si>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</si>
  <si>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</si>
  <si>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</si>
  <si>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</si>
  <si>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</si>
  <si>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</si>
  <si>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</si>
  <si>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</si>
  <si>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</si>
  <si>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</si>
  <si>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</si>
  <si>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</si>
  <si>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</si>
  <si>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</si>
  <si>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</si>
  <si>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</si>
  <si>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</si>
  <si>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</si>
  <si>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</si>
  <si>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</si>
  <si>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</si>
  <si>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</si>
  <si>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</si>
  <si>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</si>
  <si>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</si>
  <si>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</si>
  <si>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</si>
  <si>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</si>
  <si>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</si>
  <si>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</si>
  <si>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</si>
  <si>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</si>
  <si>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</si>
  <si>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</si>
  <si>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</si>
  <si>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</si>
  <si>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</si>
  <si>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</si>
  <si>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</si>
  <si>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</si>
  <si>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</si>
  <si>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</si>
  <si>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</si>
  <si>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</si>
  <si>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</si>
  <si>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</si>
  <si>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</si>
  <si>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</si>
  <si>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</si>
  <si>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</si>
  <si>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</si>
  <si>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</si>
  <si>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</si>
  <si>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</si>
  <si>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</si>
  <si>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</si>
  <si>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</si>
  <si>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</si>
  <si>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</si>
  <si>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</si>
  <si>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</si>
  <si>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</si>
  <si>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</si>
  <si>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</si>
  <si>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</si>
  <si>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</si>
  <si>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</si>
  <si>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</si>
  <si>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</si>
  <si>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</si>
  <si>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</si>
  <si>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</si>
  <si>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</si>
  <si>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</si>
  <si>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</si>
  <si>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</si>
  <si>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</si>
  <si>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</si>
  <si>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</si>
  <si>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</si>
  <si>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</si>
  <si>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</si>
  <si>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</si>
  <si>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</si>
  <si>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</si>
  <si>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</si>
  <si>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</si>
  <si>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</si>
  <si>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</si>
  <si>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</si>
  <si>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</si>
  <si>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</si>
  <si>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</si>
  <si>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</si>
  <si>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</si>
  <si>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</si>
  <si>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</si>
  <si>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</si>
  <si>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</si>
  <si>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</si>
  <si>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</si>
  <si>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</si>
  <si>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</si>
  <si>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</si>
  <si>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</si>
  <si>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</si>
  <si>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</si>
  <si>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</si>
  <si>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</si>
  <si>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</si>
  <si>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</si>
  <si>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</si>
  <si>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</si>
  <si>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</si>
  <si>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</si>
  <si>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</si>
  <si>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</si>
  <si>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</si>
  <si>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</si>
  <si>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</si>
  <si>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</si>
  <si>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</si>
  <si>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</si>
  <si>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</si>
  <si>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</si>
  <si>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</si>
  <si>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</si>
  <si>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</si>
  <si>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</si>
  <si>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</si>
  <si>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</si>
  <si>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</si>
  <si>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</si>
  <si>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</si>
  <si>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</si>
  <si>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</si>
  <si>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</si>
  <si>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</si>
  <si>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</si>
  <si>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</si>
  <si>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</si>
  <si>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</si>
  <si>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</si>
  <si>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</si>
  <si>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</si>
  <si>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</si>
  <si>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</si>
  <si>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</si>
  <si>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</si>
  <si>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</si>
  <si>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</si>
  <si>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</si>
  <si>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</si>
  <si>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</si>
  <si>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</si>
  <si>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</si>
  <si>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</si>
  <si>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</si>
  <si>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</si>
  <si>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</si>
  <si>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</si>
  <si>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</si>
  <si>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</si>
  <si>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</si>
  <si>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</si>
  <si>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</si>
  <si>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</si>
  <si>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</si>
  <si>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</si>
  <si>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</si>
  <si>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</si>
  <si>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</si>
  <si>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</si>
  <si>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</si>
  <si>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</si>
  <si>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</si>
  <si>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</si>
  <si>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</si>
  <si>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</si>
  <si>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</si>
  <si>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</si>
  <si>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</si>
  <si>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</si>
  <si>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</si>
  <si>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</si>
  <si>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</si>
  <si>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</si>
  <si>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</si>
  <si>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</si>
  <si>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</si>
  <si>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</si>
  <si>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</si>
  <si>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</si>
  <si>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</si>
  <si>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</si>
  <si>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</si>
  <si>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</si>
  <si>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</si>
  <si>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</si>
  <si>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</si>
  <si>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</si>
  <si>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</si>
  <si>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</si>
  <si>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</si>
  <si>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</si>
  <si>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</si>
  <si>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</si>
  <si>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</si>
  <si>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</si>
  <si>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</si>
  <si>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</si>
  <si>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</si>
  <si>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</si>
  <si>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</si>
  <si>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</si>
  <si>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</si>
  <si>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</si>
  <si>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</si>
  <si>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</si>
  <si>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</si>
  <si>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</si>
  <si>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</si>
  <si>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</si>
  <si>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</si>
  <si>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</si>
  <si>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</si>
  <si>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</si>
  <si>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</si>
  <si>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</si>
  <si>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</si>
  <si>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</si>
  <si>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</si>
  <si>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</si>
  <si>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</si>
  <si>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</si>
  <si>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</si>
  <si>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</si>
  <si>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</si>
  <si>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</si>
  <si>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</si>
  <si>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</si>
  <si>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</si>
  <si>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</si>
  <si>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</si>
  <si>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</si>
  <si>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</si>
  <si>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</si>
  <si>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</si>
  <si>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</si>
  <si>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</si>
  <si>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</si>
  <si>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</si>
  <si>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</si>
  <si>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</si>
  <si>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</si>
  <si>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</si>
  <si>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</si>
  <si>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</si>
  <si>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</si>
  <si>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</si>
  <si>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</si>
  <si>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</si>
  <si>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</si>
  <si>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</si>
  <si>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</si>
  <si>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</si>
  <si>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</si>
  <si>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</si>
  <si>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</si>
  <si>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</si>
  <si>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</si>
  <si>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</si>
  <si>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</si>
  <si>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</si>
  <si>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</si>
  <si>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</si>
  <si>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</si>
  <si>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</si>
  <si>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</si>
  <si>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</si>
  <si>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</si>
  <si>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</si>
  <si>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</si>
  <si>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</si>
  <si>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</si>
  <si>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</si>
  <si>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</si>
  <si>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</si>
  <si>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</si>
  <si>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</si>
  <si>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</si>
  <si>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</si>
  <si>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</si>
  <si>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</si>
  <si>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</si>
  <si>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</si>
  <si>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</si>
  <si>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</si>
  <si>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</si>
  <si>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</si>
  <si>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</si>
  <si>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</si>
  <si>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</si>
  <si>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</si>
  <si>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</si>
  <si>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</si>
  <si>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</si>
  <si>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</si>
  <si>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</si>
  <si>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</si>
  <si>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</si>
  <si>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</si>
  <si>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</si>
  <si>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</si>
  <si>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</si>
  <si>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</si>
  <si>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</si>
  <si>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</si>
  <si>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</si>
  <si>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</si>
  <si>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</si>
  <si>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</si>
  <si>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</si>
  <si>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</si>
  <si>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</si>
  <si>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</si>
  <si>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</si>
  <si>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</si>
  <si>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</si>
  <si>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</si>
  <si>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</si>
  <si>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</si>
  <si>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</si>
  <si>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</si>
  <si>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</si>
  <si>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</si>
  <si>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</si>
  <si>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</si>
  <si>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</si>
  <si>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</si>
  <si>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</si>
  <si>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</si>
  <si>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</si>
  <si>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</si>
  <si>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</si>
  <si>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</si>
  <si>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</si>
  <si>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</si>
  <si>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</si>
  <si>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</si>
  <si>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</si>
  <si>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</si>
  <si>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</si>
  <si>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</si>
  <si>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</si>
  <si>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</si>
  <si>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</si>
  <si>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</si>
  <si>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</si>
  <si>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</si>
  <si>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</si>
  <si>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</si>
  <si>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</si>
  <si>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</si>
  <si>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</si>
  <si>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</si>
  <si>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</si>
  <si>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</si>
  <si>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</si>
  <si>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</si>
  <si>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</si>
  <si>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</si>
  <si>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</si>
  <si>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</si>
  <si>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</si>
  <si>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</si>
  <si>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</si>
  <si>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</si>
  <si>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</si>
  <si>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</si>
  <si>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</si>
  <si>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</si>
  <si>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</si>
  <si>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</si>
  <si>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</si>
  <si>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</si>
  <si>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</si>
  <si>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</si>
  <si>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</si>
  <si>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</si>
  <si>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</si>
  <si>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</si>
  <si>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</si>
  <si>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</si>
  <si>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</si>
  <si>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</si>
  <si>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</si>
  <si>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</si>
  <si>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</si>
  <si>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</si>
  <si>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</si>
  <si>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</si>
  <si>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</si>
  <si>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</si>
  <si>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</si>
  <si>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</si>
  <si>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</si>
  <si>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</si>
  <si>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</si>
  <si>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</si>
  <si>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</si>
  <si>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</si>
  <si>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</si>
  <si>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</si>
  <si>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</si>
  <si>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</si>
  <si>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</si>
  <si>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</si>
  <si>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</si>
  <si>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</si>
  <si>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</si>
  <si>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</si>
  <si>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</si>
  <si>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</si>
  <si>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</si>
  <si>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</si>
  <si>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</si>
  <si>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</si>
  <si>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</si>
  <si>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</si>
  <si>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</si>
  <si>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</si>
  <si>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</si>
  <si>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</si>
  <si>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</si>
  <si>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</si>
  <si>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</si>
  <si>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</si>
  <si>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</si>
  <si>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</si>
  <si>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</si>
  <si>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</si>
  <si>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</si>
  <si>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</si>
  <si>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</si>
  <si>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</si>
  <si>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</si>
  <si>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</si>
  <si>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</si>
  <si>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</si>
  <si>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</si>
  <si>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</si>
  <si>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</si>
  <si>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</si>
  <si>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</si>
  <si>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</si>
  <si>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</si>
  <si>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</si>
  <si>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</si>
  <si>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</si>
  <si>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</si>
  <si>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</si>
  <si>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</si>
  <si>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</si>
  <si>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</si>
  <si>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</si>
  <si>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</si>
  <si>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</si>
  <si>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</si>
  <si>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</si>
  <si>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</si>
  <si>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</si>
  <si>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</si>
  <si>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</si>
  <si>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</si>
  <si>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</si>
  <si>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</si>
  <si>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</si>
  <si>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</si>
  <si>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</si>
  <si>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</si>
  <si>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</si>
  <si>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</si>
  <si>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</si>
  <si>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</si>
  <si>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</si>
  <si>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</si>
  <si>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</si>
  <si>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</si>
  <si>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</si>
  <si>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</si>
  <si>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</si>
  <si>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</si>
  <si>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</si>
  <si>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</si>
  <si>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</si>
  <si>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</si>
  <si>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</si>
  <si>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</si>
  <si>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</si>
  <si>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</si>
  <si>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</si>
  <si>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</si>
  <si>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</si>
  <si>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</si>
  <si>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</si>
  <si>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</si>
  <si>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</si>
  <si>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</si>
  <si>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</si>
  <si>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</si>
  <si>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</si>
  <si>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</si>
  <si>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</si>
  <si>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</si>
  <si>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</si>
  <si>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</si>
  <si>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</si>
  <si>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</si>
  <si>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</si>
  <si>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</si>
  <si>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</si>
  <si>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</si>
  <si>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</si>
  <si>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</si>
  <si>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</si>
  <si>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</si>
  <si>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</si>
  <si>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</si>
  <si>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</si>
  <si>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</si>
  <si>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</si>
  <si>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</si>
  <si>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</si>
  <si>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</si>
  <si>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</si>
  <si>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</si>
  <si>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</si>
  <si>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</si>
  <si>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</si>
  <si>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</si>
  <si>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</si>
  <si>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</si>
  <si>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</si>
  <si>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</si>
  <si>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</si>
  <si>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</si>
  <si>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</si>
  <si>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</si>
  <si>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</si>
  <si>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</si>
  <si>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</si>
  <si>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</si>
  <si>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</si>
  <si>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</si>
  <si>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</si>
  <si>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</si>
  <si>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</si>
  <si>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</si>
  <si>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</si>
  <si>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</si>
  <si>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</si>
  <si>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</si>
  <si>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</si>
  <si>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</si>
  <si>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</si>
  <si>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</si>
  <si>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</si>
  <si>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</si>
  <si>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</si>
  <si>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</si>
  <si>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</si>
  <si>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</si>
  <si>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</si>
  <si>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</si>
  <si>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</si>
  <si>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</si>
  <si>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</si>
  <si>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</si>
  <si>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</si>
  <si>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</si>
  <si>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</si>
  <si>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</si>
  <si>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</si>
  <si>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</si>
  <si>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</si>
  <si>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</si>
  <si>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</si>
  <si>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</si>
  <si>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</si>
  <si>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</si>
  <si>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</si>
  <si>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</si>
  <si>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</si>
  <si>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</si>
  <si>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</si>
  <si>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</si>
  <si>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</si>
  <si>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</si>
  <si>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</si>
  <si>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</si>
  <si>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</si>
  <si>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</si>
  <si>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</si>
  <si>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</si>
  <si>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</si>
  <si>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</si>
  <si>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</si>
  <si>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</si>
  <si>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</si>
  <si>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</si>
  <si>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</si>
  <si>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</si>
  <si>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</si>
  <si>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</si>
  <si>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</si>
  <si>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</si>
  <si>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</si>
  <si>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</si>
  <si>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</si>
  <si>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</si>
  <si>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</si>
  <si>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</si>
  <si>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</si>
  <si>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</si>
  <si>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</si>
  <si>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</si>
  <si>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</si>
  <si>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</si>
  <si>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</si>
  <si>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</si>
  <si>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</si>
  <si>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</si>
  <si>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</si>
  <si>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</si>
  <si>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</si>
  <si>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</si>
  <si>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</si>
  <si>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</si>
  <si>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</si>
  <si>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</si>
  <si>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</si>
  <si>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</si>
  <si>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</si>
  <si>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</si>
  <si>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</si>
  <si>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</si>
  <si>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</si>
  <si>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</si>
  <si>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</si>
  <si>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</si>
  <si>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</si>
  <si>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</si>
  <si>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</si>
  <si>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</si>
  <si>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</si>
  <si>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</si>
  <si>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</si>
  <si>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</si>
  <si>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</si>
  <si>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</si>
  <si>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</si>
  <si>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</si>
  <si>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</si>
  <si>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</si>
  <si>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</si>
  <si>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</si>
  <si>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</si>
  <si>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</si>
  <si>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</si>
  <si>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</si>
  <si>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</si>
  <si>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</si>
  <si>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</si>
  <si>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</si>
  <si>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</si>
  <si>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</si>
  <si>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</si>
  <si>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</si>
  <si>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</si>
  <si>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</si>
  <si>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</si>
  <si>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</si>
  <si>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</si>
  <si>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</si>
  <si>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</si>
  <si>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</si>
  <si>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</si>
  <si>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</si>
  <si>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</si>
  <si>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</si>
  <si>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</si>
  <si>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</si>
  <si>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</si>
  <si>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</si>
  <si>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</si>
  <si>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</si>
  <si>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</si>
  <si>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</si>
  <si>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</si>
  <si>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</si>
  <si>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</si>
  <si>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</si>
  <si>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</si>
  <si>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</si>
  <si>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</si>
  <si>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</si>
  <si>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</si>
  <si>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</si>
  <si>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</si>
  <si>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</si>
  <si>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</si>
  <si>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</si>
  <si>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</si>
  <si>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</si>
  <si>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</si>
  <si>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</si>
  <si>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</si>
  <si>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</si>
  <si>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</si>
  <si>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</si>
  <si>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</si>
  <si>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</si>
  <si>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</si>
  <si>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</si>
  <si>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</si>
  <si>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</si>
  <si>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</si>
  <si>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</si>
  <si>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</si>
  <si>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</si>
  <si>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</si>
  <si>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</si>
  <si>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</si>
  <si>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</si>
  <si>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</si>
  <si>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</si>
  <si>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</si>
  <si>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</si>
  <si>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</si>
  <si>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</si>
  <si>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</si>
  <si>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</si>
  <si>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</si>
  <si>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</si>
  <si>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</si>
  <si>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</si>
  <si>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</si>
  <si>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</si>
  <si>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</si>
  <si>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</si>
  <si>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</si>
  <si>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</si>
  <si>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</si>
  <si>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</si>
  <si>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</si>
  <si>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</si>
  <si>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</si>
  <si>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</si>
  <si>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</si>
  <si>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</si>
  <si>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</si>
  <si>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</si>
  <si>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</si>
  <si>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</si>
  <si>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</si>
  <si>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</si>
  <si>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</si>
  <si>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</si>
  <si>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</si>
  <si>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</si>
  <si>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</si>
  <si>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</si>
  <si>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</si>
  <si>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</si>
  <si>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</si>
  <si>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</si>
  <si>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</si>
  <si>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</si>
  <si>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</si>
  <si>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</si>
  <si>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</si>
  <si>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</si>
  <si>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</si>
  <si>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</si>
  <si>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</si>
  <si>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</si>
  <si>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</si>
  <si>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</si>
  <si>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</si>
  <si>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</si>
  <si>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</si>
  <si>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</si>
  <si>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</si>
  <si>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</si>
  <si>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</si>
  <si>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</si>
  <si>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</si>
  <si>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</si>
  <si>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</si>
  <si>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</si>
  <si>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</si>
  <si>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</si>
  <si>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</si>
  <si>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</si>
  <si>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</si>
  <si>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</si>
  <si>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</si>
  <si>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</si>
  <si>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</si>
  <si>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</si>
  <si>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</si>
  <si>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</si>
  <si>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</si>
  <si>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</si>
  <si>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</si>
  <si>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</si>
  <si>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</si>
  <si>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</si>
  <si>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</si>
  <si>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</si>
  <si>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</si>
  <si>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</si>
  <si>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</si>
  <si>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</si>
  <si>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</si>
  <si>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</si>
  <si>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</si>
  <si>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</si>
  <si>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</si>
  <si>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</si>
  <si>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</si>
  <si>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</si>
  <si>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</si>
  <si>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</si>
  <si>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</si>
  <si>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</si>
  <si>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</si>
  <si>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</si>
  <si>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</si>
  <si>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</si>
  <si>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</si>
  <si>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</si>
  <si>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</si>
  <si>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</si>
  <si>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</si>
  <si>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</si>
  <si>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</si>
  <si>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</si>
  <si>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</si>
  <si>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</si>
  <si>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</si>
  <si>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</si>
  <si>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</si>
  <si>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</si>
  <si>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</si>
  <si>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</si>
  <si>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</si>
  <si>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</si>
  <si>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</si>
  <si>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</si>
  <si>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</si>
  <si>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</si>
  <si>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</si>
  <si>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</si>
  <si>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</si>
  <si>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</si>
  <si>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</si>
  <si>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</si>
  <si>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</si>
  <si>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</si>
  <si>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</si>
  <si>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</si>
  <si>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</si>
  <si>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</si>
  <si>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</si>
  <si>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</si>
  <si>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</si>
  <si>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</si>
  <si>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</si>
  <si>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</si>
  <si>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</si>
  <si>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</si>
  <si>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</si>
  <si>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</si>
  <si>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</si>
  <si>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</si>
  <si>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</si>
  <si>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</si>
  <si>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</si>
  <si>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</si>
  <si>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</si>
  <si>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</si>
  <si>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</si>
  <si>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</si>
  <si>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</si>
  <si>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</si>
  <si>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</si>
  <si>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</si>
  <si>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</si>
  <si>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</si>
  <si>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</si>
  <si>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</si>
  <si>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</si>
  <si>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</si>
  <si>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</si>
  <si>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</si>
  <si>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</si>
  <si>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</si>
  <si>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</si>
  <si>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</si>
  <si>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</si>
  <si>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</si>
  <si>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</si>
  <si>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</si>
  <si>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</si>
  <si>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</si>
  <si>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</si>
  <si>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</si>
  <si>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</si>
  <si>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</si>
  <si>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</si>
  <si>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</si>
  <si>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</si>
  <si>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</si>
  <si>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</si>
  <si>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</si>
  <si>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</si>
  <si>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</si>
  <si>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</si>
  <si>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</si>
  <si>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</si>
  <si>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</si>
  <si>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</si>
  <si>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</si>
  <si>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</si>
  <si>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</si>
  <si>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</si>
  <si>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</si>
  <si>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</si>
  <si>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</si>
  <si>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</si>
  <si>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</si>
  <si>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</si>
  <si>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</si>
  <si>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</si>
  <si>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</si>
  <si>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</si>
  <si>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</si>
  <si>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</si>
  <si>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</si>
  <si>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</si>
  <si>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</si>
  <si>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</si>
  <si>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</si>
  <si>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</si>
  <si>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</si>
  <si>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</si>
  <si>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</si>
  <si>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</si>
  <si>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</si>
  <si>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</si>
  <si>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</si>
  <si>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</si>
  <si>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</si>
  <si>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</si>
  <si>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</si>
  <si>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</si>
  <si>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</si>
  <si>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</si>
  <si>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</si>
  <si>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</si>
  <si>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</si>
  <si>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</si>
  <si>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</si>
  <si>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</si>
  <si>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</si>
  <si>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</si>
  <si>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</si>
  <si>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</si>
  <si>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</si>
  <si>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</si>
  <si>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</si>
  <si>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</si>
  <si>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</si>
  <si>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</si>
  <si>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</si>
  <si>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</si>
  <si>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</si>
  <si>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</si>
  <si>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</si>
  <si>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</si>
  <si>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</si>
  <si>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</si>
  <si>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</si>
  <si>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</si>
  <si>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</si>
  <si>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</si>
  <si>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</si>
  <si>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</si>
  <si>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</si>
  <si>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</si>
  <si>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</si>
  <si>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</si>
  <si>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</si>
  <si>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</si>
  <si>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</si>
  <si>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</si>
  <si>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</si>
  <si>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</si>
  <si>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</si>
  <si>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</si>
  <si>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</si>
  <si>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</si>
  <si>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</si>
  <si>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</si>
  <si>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</si>
  <si>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</si>
  <si>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</si>
  <si>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</si>
  <si>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</si>
  <si>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</si>
  <si>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</si>
  <si>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</si>
  <si>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</si>
  <si>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</si>
  <si>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</si>
  <si>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</si>
  <si>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</si>
  <si>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</si>
  <si>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</si>
  <si>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</si>
  <si>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</si>
  <si>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</si>
  <si>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</si>
  <si>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</si>
  <si>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</si>
  <si>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</si>
  <si>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</si>
  <si>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</si>
  <si>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</si>
  <si>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</si>
  <si>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</si>
  <si>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</si>
  <si>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</si>
  <si>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</si>
  <si>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</si>
  <si>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</si>
  <si>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</si>
  <si>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</si>
  <si>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</si>
  <si>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</si>
  <si>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</si>
  <si>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</si>
  <si>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</si>
  <si>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</si>
  <si>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</si>
  <si>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</si>
  <si>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</si>
  <si>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</si>
  <si>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</si>
  <si>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</si>
  <si>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</si>
  <si>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</si>
  <si>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</si>
  <si>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</si>
  <si>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</si>
  <si>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</si>
  <si>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</si>
  <si>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</si>
  <si>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</si>
  <si>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</si>
  <si>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</si>
  <si>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</si>
  <si>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</si>
  <si>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</si>
  <si>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</si>
  <si>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</si>
  <si>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</si>
  <si>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</si>
  <si>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</si>
  <si>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</si>
  <si>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</si>
  <si>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</si>
  <si>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</si>
  <si>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</si>
  <si>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</si>
  <si>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</si>
  <si>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</si>
  <si>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</si>
  <si>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</si>
  <si>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</si>
  <si>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</si>
  <si>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</si>
  <si>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</si>
  <si>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</si>
  <si>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</si>
  <si>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</si>
  <si>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</si>
  <si>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</si>
  <si>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</si>
  <si>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</si>
  <si>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</si>
  <si>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</si>
  <si>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</si>
  <si>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</si>
  <si>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</si>
  <si>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</si>
  <si>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</si>
  <si>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</si>
  <si>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</si>
  <si>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</si>
  <si>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</si>
  <si>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</si>
  <si>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</si>
  <si>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</si>
  <si>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</si>
  <si>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</si>
  <si>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</si>
  <si>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</si>
  <si>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</si>
  <si>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</si>
  <si>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</si>
  <si>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</si>
  <si>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</si>
  <si>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</si>
  <si>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</si>
  <si>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</si>
  <si>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</si>
  <si>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</si>
  <si>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</si>
  <si>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</si>
  <si>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</si>
  <si>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</si>
  <si>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</si>
  <si>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</si>
  <si>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</si>
  <si>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</si>
  <si>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</si>
  <si>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</si>
  <si>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</si>
  <si>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</si>
  <si>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</si>
  <si>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</si>
  <si>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</si>
  <si>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</si>
  <si>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</si>
  <si>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</si>
  <si>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</si>
  <si>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</si>
  <si>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</si>
  <si>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</si>
  <si>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</si>
  <si>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</si>
  <si>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</si>
  <si>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</si>
  <si>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</si>
  <si>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</si>
  <si>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</si>
  <si>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</si>
  <si>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</si>
  <si>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</si>
  <si>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</si>
  <si>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</si>
  <si>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</si>
  <si>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</si>
  <si>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</si>
  <si>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</si>
  <si>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</si>
  <si>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</si>
  <si>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</si>
  <si>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</si>
  <si>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</si>
  <si>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</si>
  <si>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</si>
  <si>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</si>
  <si>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</si>
  <si>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</si>
  <si>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</si>
  <si>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</si>
  <si>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</si>
  <si>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</si>
  <si>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</si>
  <si>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</si>
  <si>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</si>
  <si>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</si>
  <si>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</si>
  <si>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</si>
  <si>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</si>
  <si>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</si>
  <si>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</si>
  <si>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</si>
  <si>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</si>
  <si>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</si>
  <si>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</si>
  <si>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</si>
  <si>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</si>
  <si>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</si>
  <si>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</si>
  <si>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</si>
  <si>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</si>
  <si>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</si>
  <si>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</si>
  <si>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</si>
  <si>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</si>
  <si>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</si>
  <si>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</si>
  <si>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</si>
  <si>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</si>
  <si>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</si>
  <si>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</si>
  <si>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</si>
  <si>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</si>
  <si>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</si>
  <si>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</si>
  <si>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</si>
  <si>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</si>
  <si>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</si>
  <si>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</si>
  <si>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</si>
  <si>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</si>
  <si>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</si>
  <si>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</si>
  <si>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</si>
  <si>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</si>
  <si>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</si>
  <si>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</si>
  <si>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</si>
  <si>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</si>
  <si>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</si>
  <si>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</si>
  <si>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</si>
  <si>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</si>
  <si>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</si>
  <si>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</si>
  <si>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</si>
  <si>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</si>
  <si>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</si>
  <si>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</si>
  <si>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</si>
  <si>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</si>
  <si>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</si>
  <si>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</si>
  <si>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</si>
  <si>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</si>
  <si>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</si>
  <si>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</si>
  <si>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</si>
  <si>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</si>
  <si>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</si>
  <si>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</si>
  <si>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</si>
  <si>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</si>
  <si>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</si>
  <si>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</si>
  <si>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</si>
  <si>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</si>
  <si>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</si>
  <si>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</si>
  <si>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</si>
  <si>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</si>
  <si>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</si>
  <si>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</si>
  <si>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</si>
  <si>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</si>
  <si>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</si>
  <si>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</si>
  <si>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</si>
  <si>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</si>
  <si>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</si>
  <si>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</si>
  <si>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</si>
  <si>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</si>
  <si>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</si>
  <si>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</si>
  <si>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</si>
  <si>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</si>
  <si>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</si>
  <si>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</si>
  <si>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</si>
  <si>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</si>
  <si>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</si>
  <si>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</si>
  <si>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</si>
  <si>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</si>
  <si>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</si>
  <si>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</si>
  <si>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</si>
  <si>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</si>
  <si>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</si>
  <si>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</si>
  <si>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</si>
  <si>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</si>
  <si>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</si>
  <si>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</si>
  <si>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</si>
  <si>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</si>
  <si>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</si>
  <si>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</si>
  <si>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</si>
  <si>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</si>
  <si>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</si>
  <si>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</si>
  <si>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</si>
  <si>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</si>
  <si>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</si>
  <si>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</si>
  <si>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</si>
  <si>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</si>
  <si>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</si>
  <si>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</si>
  <si>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</si>
  <si>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</si>
  <si>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</si>
  <si>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</si>
  <si>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</si>
  <si>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</si>
  <si>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</si>
  <si>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</si>
  <si>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</si>
  <si>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</si>
  <si>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</si>
  <si>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</si>
  <si>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</si>
  <si>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</si>
  <si>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</si>
  <si>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</si>
  <si>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</si>
  <si>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</si>
  <si>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</si>
  <si>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</si>
  <si>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</si>
  <si>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</si>
  <si>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</si>
  <si>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</si>
  <si>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</si>
  <si>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</si>
  <si>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</si>
  <si>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</si>
  <si>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</si>
  <si>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</si>
  <si>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</si>
  <si>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</si>
  <si>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</si>
  <si>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</si>
  <si>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</si>
  <si>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</si>
  <si>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</si>
  <si>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</si>
  <si>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</si>
  <si>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</si>
  <si>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</si>
  <si>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</si>
  <si>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</si>
  <si>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</si>
  <si>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</si>
  <si>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</si>
  <si>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</si>
  <si>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</si>
  <si>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</si>
  <si>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</si>
  <si>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</si>
  <si>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</si>
  <si>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</si>
  <si>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</si>
  <si>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</si>
  <si>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</si>
  <si>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</si>
  <si>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</si>
  <si>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</si>
  <si>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</si>
  <si>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</si>
  <si>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</si>
  <si>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</si>
  <si>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</si>
  <si>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</si>
  <si>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</si>
  <si>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</si>
  <si>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</si>
  <si>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</si>
  <si>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</si>
  <si>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</si>
  <si>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</si>
  <si>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</si>
  <si>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</si>
  <si>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</si>
  <si>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</si>
  <si>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</si>
  <si>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</si>
  <si>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</si>
  <si>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</si>
  <si>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</si>
  <si>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</si>
  <si>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</si>
  <si>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</si>
  <si>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</si>
  <si>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</si>
  <si>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</si>
  <si>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</si>
  <si>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</si>
  <si>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</si>
  <si>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</si>
  <si>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</si>
  <si>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</si>
  <si>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</si>
  <si>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</si>
  <si>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</si>
  <si>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</si>
  <si>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</si>
  <si>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</si>
  <si>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</si>
  <si>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</si>
  <si>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</si>
  <si>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</si>
  <si>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</si>
  <si>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</si>
  <si>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</si>
  <si>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</si>
  <si>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</si>
  <si>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</si>
  <si>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</si>
  <si>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</si>
  <si>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</si>
  <si>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</si>
  <si>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</si>
  <si>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</si>
  <si>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</si>
  <si>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</si>
  <si>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</si>
  <si>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</si>
  <si>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</si>
  <si>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</si>
  <si>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</si>
  <si>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</si>
  <si>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</si>
  <si>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</si>
  <si>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</si>
  <si>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</si>
  <si>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</si>
  <si>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</si>
  <si>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</si>
  <si>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</si>
  <si>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</si>
  <si>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</si>
  <si>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</si>
  <si>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</si>
  <si>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</si>
  <si>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</si>
  <si>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</si>
  <si>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</si>
  <si>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</si>
  <si>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</si>
  <si>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</si>
  <si>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</si>
  <si>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</si>
  <si>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</si>
  <si>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</si>
  <si>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</si>
  <si>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</si>
  <si>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</si>
  <si>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</si>
  <si>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</si>
  <si>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</si>
  <si>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</si>
  <si>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</si>
  <si>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</si>
  <si>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</si>
  <si>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</si>
  <si>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</si>
  <si>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</si>
  <si>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</si>
  <si>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</si>
  <si>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</si>
  <si>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</si>
  <si>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</si>
  <si>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</si>
  <si>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</si>
  <si>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</si>
  <si>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</si>
  <si>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</si>
  <si>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</si>
  <si>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</si>
  <si>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</si>
  <si>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</si>
  <si>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</si>
  <si>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</si>
  <si>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</si>
  <si>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</si>
  <si>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</si>
  <si>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</si>
  <si>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</si>
  <si>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</si>
  <si>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</si>
  <si>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</si>
  <si>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</si>
  <si>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</si>
  <si>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</si>
  <si>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</si>
  <si>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</si>
  <si>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</si>
  <si>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</si>
  <si>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</si>
  <si>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</si>
  <si>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</si>
  <si>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</si>
  <si>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</si>
  <si>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</si>
  <si>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</si>
  <si>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</si>
  <si>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</si>
  <si>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</si>
  <si>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</si>
  <si>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</si>
  <si>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</si>
  <si>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</si>
  <si>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</si>
  <si>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</si>
  <si>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</si>
  <si>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</si>
  <si>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</si>
  <si>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</si>
  <si>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</si>
  <si>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</si>
  <si>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</si>
  <si>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</si>
  <si>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</si>
  <si>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</si>
  <si>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</si>
  <si>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</si>
  <si>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</si>
  <si>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</si>
  <si>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</si>
  <si>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</si>
  <si>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</si>
  <si>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r>
      <rPr>
        <sz val="10"/>
        <color theme="9" tint="-0.249977111117893"/>
        <rFont val="宋体"/>
        <family val="3"/>
        <charset val="134"/>
      </rPr>
      <t>怀柔区雁栖经济开发区雁栖河西路</t>
    </r>
    <r>
      <rPr>
        <sz val="10"/>
        <color theme="9" tint="-0.249977111117893"/>
        <rFont val="Arial"/>
        <family val="2"/>
      </rPr>
      <t>9</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phoneticPr fontId="6" type="noConversion"/>
  </si>
  <si>
    <t>企业</t>
  </si>
  <si>
    <r>
      <rPr>
        <sz val="10"/>
        <color theme="9" tint="-0.249977111117893"/>
        <rFont val="宋体"/>
        <family val="3"/>
        <charset val="134"/>
      </rPr>
      <t>工业用地</t>
    </r>
    <r>
      <rPr>
        <sz val="10"/>
        <color theme="9" tint="-0.249977111117893"/>
        <rFont val="Arial"/>
        <family val="2"/>
      </rPr>
      <t>/</t>
    </r>
    <r>
      <rPr>
        <sz val="10"/>
        <color theme="9" tint="-0.249977111117893"/>
        <rFont val="宋体"/>
        <family val="3"/>
        <charset val="134"/>
      </rPr>
      <t>厂房</t>
    </r>
    <phoneticPr fontId="6" type="noConversion"/>
  </si>
  <si>
    <t>工业项目</t>
  </si>
  <si>
    <t>现房</t>
  </si>
  <si>
    <t>是</t>
  </si>
  <si>
    <r>
      <t>9</t>
    </r>
    <r>
      <rPr>
        <sz val="10"/>
        <color indexed="8"/>
        <rFont val="宋体"/>
        <family val="3"/>
        <charset val="134"/>
      </rPr>
      <t>号</t>
    </r>
    <r>
      <rPr>
        <sz val="10"/>
        <color indexed="8"/>
        <rFont val="Arial"/>
        <family val="2"/>
      </rPr>
      <t>1</t>
    </r>
    <r>
      <rPr>
        <sz val="10"/>
        <color indexed="8"/>
        <rFont val="宋体"/>
        <family val="3"/>
        <charset val="134"/>
      </rPr>
      <t>号</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phoneticPr fontId="3" type="noConversion"/>
  </si>
  <si>
    <t>地上</t>
  </si>
  <si>
    <t>厂房</t>
  </si>
  <si>
    <t>厂房</t>
    <phoneticPr fontId="7" type="noConversion"/>
  </si>
  <si>
    <t>成新度</t>
  </si>
  <si>
    <t>假定建成年代</t>
    <phoneticPr fontId="3" type="noConversion"/>
  </si>
  <si>
    <t>收益法</t>
  </si>
  <si>
    <t>Ⅸ-雁栖开发区A</t>
  </si>
  <si>
    <t>厂房</t>
    <phoneticPr fontId="247" type="noConversion"/>
  </si>
  <si>
    <t>单层轻型厂房</t>
    <phoneticPr fontId="247" type="noConversion"/>
  </si>
  <si>
    <t>单层重型厂房</t>
    <phoneticPr fontId="247" type="noConversion"/>
  </si>
  <si>
    <t>单层仓库及门卫（京平公转铁综合物流枢纽产业园）</t>
    <phoneticPr fontId="247" type="noConversion"/>
  </si>
  <si>
    <t>非生产性厂房</t>
    <phoneticPr fontId="247" type="noConversion"/>
  </si>
  <si>
    <t>单层</t>
    <phoneticPr fontId="247" type="noConversion"/>
  </si>
  <si>
    <t>双层（高度23.3）</t>
    <phoneticPr fontId="247" type="noConversion"/>
  </si>
  <si>
    <t>门卫</t>
    <phoneticPr fontId="247"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</si>
  <si>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</si>
  <si>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</si>
  <si>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</si>
  <si>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r>
      <t>1-</t>
    </r>
    <r>
      <rPr>
        <sz val="10"/>
        <color indexed="8"/>
        <rFont val="宋体"/>
        <family val="3"/>
        <charset val="134"/>
      </rPr>
      <t>（</t>
    </r>
    <r>
      <rPr>
        <sz val="10"/>
        <color indexed="8"/>
        <rFont val="Arial"/>
        <family val="2"/>
      </rPr>
      <t>1-</t>
    </r>
    <r>
      <rPr>
        <sz val="10"/>
        <color indexed="8"/>
        <rFont val="宋体"/>
        <family val="3"/>
        <charset val="134"/>
      </rPr>
      <t>残值率）</t>
    </r>
    <r>
      <rPr>
        <sz val="10"/>
        <color indexed="8"/>
        <rFont val="Arial"/>
        <family val="2"/>
      </rPr>
      <t>*</t>
    </r>
    <r>
      <rPr>
        <sz val="10"/>
        <color indexed="8"/>
        <rFont val="宋体"/>
        <family val="3"/>
        <charset val="134"/>
      </rPr>
      <t>（</t>
    </r>
    <r>
      <rPr>
        <sz val="10"/>
        <color indexed="8"/>
        <rFont val="Arial"/>
        <family val="2"/>
      </rPr>
      <t>2024-</t>
    </r>
    <r>
      <rPr>
        <sz val="10"/>
        <color indexed="8"/>
        <rFont val="宋体"/>
        <family val="3"/>
        <charset val="134"/>
      </rPr>
      <t>建成年代）</t>
    </r>
    <r>
      <rPr>
        <sz val="10"/>
        <color indexed="8"/>
        <rFont val="Arial"/>
        <family val="2"/>
      </rPr>
      <t>/</t>
    </r>
    <r>
      <rPr>
        <sz val="10"/>
        <color indexed="8"/>
        <rFont val="宋体"/>
        <family val="3"/>
        <charset val="134"/>
      </rPr>
      <t>耐用年限</t>
    </r>
    <phoneticPr fontId="3" type="noConversion"/>
  </si>
  <si>
    <t>成本法</t>
  </si>
  <si>
    <t>通路</t>
  </si>
  <si>
    <t>通电</t>
  </si>
  <si>
    <t>通讯</t>
  </si>
  <si>
    <t>通上水</t>
  </si>
  <si>
    <t>通下水</t>
  </si>
  <si>
    <t>平整</t>
  </si>
  <si>
    <t>与级别开发程度一致</t>
  </si>
  <si>
    <t>较好</t>
  </si>
  <si>
    <t>一般</t>
  </si>
  <si>
    <t>差</t>
  </si>
  <si>
    <t>宗地形状不规则，但对宗地利用影响较小</t>
    <phoneticPr fontId="76" type="noConversion"/>
  </si>
  <si>
    <t>自定义容积率</t>
  </si>
  <si>
    <t>基准地价修正</t>
  </si>
  <si>
    <t>未包含在土地购买价格中</t>
  </si>
  <si>
    <t>已包含在土地取得成本中</t>
  </si>
  <si>
    <t>押一</t>
  </si>
  <si>
    <t>钢</t>
  </si>
  <si>
    <t>非生产用房</t>
  </si>
  <si>
    <t>否</t>
  </si>
  <si>
    <t>楼面单价</t>
  </si>
  <si>
    <t>自定义</t>
  </si>
  <si>
    <t>情况4</t>
  </si>
  <si>
    <t>正常</t>
  </si>
  <si>
    <t>转让取得</t>
  </si>
  <si>
    <t>非个人房产</t>
  </si>
  <si>
    <r>
      <t>1</t>
    </r>
    <r>
      <rPr>
        <sz val="11"/>
        <color theme="1"/>
        <rFont val="宋体"/>
        <family val="3"/>
        <charset val="134"/>
        <scheme val="minor"/>
      </rPr>
      <t>.2-1.3</t>
    </r>
    <phoneticPr fontId="134" type="noConversion"/>
  </si>
  <si>
    <t>日租金</t>
    <phoneticPr fontId="134" type="noConversion"/>
  </si>
  <si>
    <t>地址</t>
    <phoneticPr fontId="134" type="noConversion"/>
  </si>
  <si>
    <t>1层厂房，精装修，做办公使用，现空置，</t>
    <phoneticPr fontId="134" type="noConversion"/>
  </si>
  <si>
    <t>正常层高</t>
    <phoneticPr fontId="134" type="noConversion"/>
  </si>
  <si>
    <t>有停车场30-50米，有3间宿舍，每间可放两张单人床</t>
    <phoneticPr fontId="134" type="noConversion"/>
  </si>
  <si>
    <t>市政供暖，无燃气</t>
    <phoneticPr fontId="134" type="noConversion"/>
  </si>
  <si>
    <t>雁栖东二路，房主介绍房子位于十字路口，西侧是101中学</t>
    <phoneticPr fontId="134" type="noConversion"/>
  </si>
  <si>
    <t>面积</t>
    <phoneticPr fontId="134" type="noConversion"/>
  </si>
  <si>
    <t>面积</t>
    <phoneticPr fontId="134" type="noConversion"/>
  </si>
  <si>
    <t>日租金</t>
    <phoneticPr fontId="134" type="noConversion"/>
  </si>
  <si>
    <r>
      <t>3</t>
    </r>
    <r>
      <rPr>
        <sz val="11"/>
        <color theme="1"/>
        <rFont val="宋体"/>
        <family val="3"/>
        <charset val="134"/>
        <scheme val="minor"/>
      </rPr>
      <t>0万元一年</t>
    </r>
    <phoneticPr fontId="134" type="noConversion"/>
  </si>
  <si>
    <t>房主是邓各庄村村民，地是村里的集体建设用地</t>
    <phoneticPr fontId="134" type="noConversion"/>
  </si>
  <si>
    <t>厢房12件，是2000年以后建成的，砖混</t>
    <phoneticPr fontId="134" type="noConversion"/>
  </si>
  <si>
    <t>正房2019年建成</t>
    <phoneticPr fontId="134" type="noConversion"/>
  </si>
  <si>
    <t>有停车场，可停20-30辆车</t>
    <phoneticPr fontId="134" type="noConversion"/>
  </si>
  <si>
    <t>五通</t>
    <phoneticPr fontId="134" type="noConversion"/>
  </si>
  <si>
    <t>层高4米8</t>
    <phoneticPr fontId="134" type="noConversion"/>
  </si>
  <si>
    <t>装修好的有6套，还有6间毛坯，现做日租房，平常200多元一晚，周末300多一晚，法定节假日400多一晚</t>
    <phoneticPr fontId="134" type="noConversion"/>
  </si>
  <si>
    <t>直线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</si>
</sst>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horizontal="center"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222" fillId="0" borderId="13" xfId="0" applyNumberFormat="1" applyFont="1" applyFill="1" applyBorder="1" applyAlignment="1" applyProtection="1">
      <alignment horizontal="center" vertical="center" wrapText="1"/>
      <protection locked="0"/>
    </xf>
    <xf numFmtId="10" fontId="98" fillId="6"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2"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22860</xdr:colOff>
      <xdr:row>0</xdr:row>
      <xdr:rowOff>0</xdr:rowOff>
    </xdr:from>
    <xdr:to>
      <xdr:col>5</xdr:col>
      <xdr:colOff>403860</xdr:colOff>
      <xdr:row>12</xdr:row>
      <xdr:rowOff>154590</xdr:rowOff>
    </xdr:to>
    <xdr:pic>
      <xdr:nvPicPr>
        <xdr:cNvPr id="2" name="图片 1"/>
        <xdr:cNvPicPr>
          <a:picLocks noChangeAspect="1"/>
        </xdr:cNvPicPr>
      </xdr:nvPicPr>
      <xdr:blipFill>
        <a:blip xmlns:r="http://schemas.openxmlformats.org/officeDocument/2006/relationships" r:embed="rId1"/>
        <a:stretch>
          <a:fillRect/>
        </a:stretch>
      </xdr:blipFill>
      <xdr:spPr>
        <a:xfrm>
          <a:off x="22860" y="0"/>
          <a:ext cx="3429000" cy="2349150"/>
        </a:xfrm>
        <a:prstGeom prst="rect">
          <a:avLst/>
        </a:prstGeom>
      </xdr:spPr>
    </xdr:pic>
    <xdr:clientData/>
  </xdr:twoCellAnchor>
  <xdr:twoCellAnchor editAs="oneCell">
    <xdr:from>
      <xdr:col>0</xdr:col>
      <xdr:colOff>289559</xdr:colOff>
      <xdr:row>13</xdr:row>
      <xdr:rowOff>103612</xdr:rowOff>
    </xdr:from>
    <xdr:to>
      <xdr:col>7</xdr:col>
      <xdr:colOff>400788</xdr:colOff>
      <xdr:row>30</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289559" y="2481052"/>
          <a:ext cx="4378429" cy="3157748"/>
        </a:xfrm>
        <a:prstGeom prst="rect">
          <a:avLst/>
        </a:prstGeom>
      </xdr:spPr>
    </xdr:pic>
    <xdr:clientData/>
  </xdr:twoCellAnchor>
  <xdr:twoCellAnchor editAs="oneCell">
    <xdr:from>
      <xdr:col>0</xdr:col>
      <xdr:colOff>0</xdr:colOff>
      <xdr:row>50</xdr:row>
      <xdr:rowOff>106680</xdr:rowOff>
    </xdr:from>
    <xdr:to>
      <xdr:col>7</xdr:col>
      <xdr:colOff>457610</xdr:colOff>
      <xdr:row>78</xdr:row>
      <xdr:rowOff>168089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616440"/>
          <a:ext cx="4724810" cy="5182049"/>
        </a:xfrm>
        <a:prstGeom prst="rect">
          <a:avLst/>
        </a:prstGeom>
      </xdr:spPr>
    </xdr:pic>
    <xdr:clientData/>
  </xdr:twoCellAnchor>
  <xdr:twoCellAnchor editAs="oneCell">
    <xdr:from>
      <xdr:col>7</xdr:col>
      <xdr:colOff>586740</xdr:colOff>
      <xdr:row>50</xdr:row>
      <xdr:rowOff>114300</xdr:rowOff>
    </xdr:from>
    <xdr:to>
      <xdr:col>15</xdr:col>
      <xdr:colOff>99441</xdr:colOff>
      <xdr:row>78</xdr:row>
      <xdr:rowOff>69020</xdr:rowOff>
    </xdr:to>
    <xdr:pic>
      <xdr:nvPicPr>
        <xdr:cNvPr id="7" name="图片 6"/>
        <xdr:cNvPicPr>
          <a:picLocks noChangeAspect="1"/>
        </xdr:cNvPicPr>
      </xdr:nvPicPr>
      <xdr:blipFill>
        <a:blip xmlns:r="http://schemas.openxmlformats.org/officeDocument/2006/relationships" r:embed="rId4"/>
        <a:stretch>
          <a:fillRect/>
        </a:stretch>
      </xdr:blipFill>
      <xdr:spPr>
        <a:xfrm>
          <a:off x="4853940" y="9624060"/>
          <a:ext cx="4389501" cy="5075360"/>
        </a:xfrm>
        <a:prstGeom prst="rect">
          <a:avLst/>
        </a:prstGeom>
      </xdr:spPr>
    </xdr:pic>
    <xdr:clientData/>
  </xdr:twoCellAnchor>
  <xdr:twoCellAnchor editAs="oneCell">
    <xdr:from>
      <xdr:col>8</xdr:col>
      <xdr:colOff>388620</xdr:colOff>
      <xdr:row>13</xdr:row>
      <xdr:rowOff>175260</xdr:rowOff>
    </xdr:from>
    <xdr:to>
      <xdr:col>13</xdr:col>
      <xdr:colOff>571865</xdr:colOff>
      <xdr:row>33</xdr:row>
      <xdr:rowOff>59151</xdr:rowOff>
    </xdr:to>
    <xdr:pic>
      <xdr:nvPicPr>
        <xdr:cNvPr id="8" name="图片 7"/>
        <xdr:cNvPicPr>
          <a:picLocks noChangeAspect="1"/>
        </xdr:cNvPicPr>
      </xdr:nvPicPr>
      <xdr:blipFill>
        <a:blip xmlns:r="http://schemas.openxmlformats.org/officeDocument/2006/relationships" r:embed="rId5"/>
        <a:stretch>
          <a:fillRect/>
        </a:stretch>
      </xdr:blipFill>
      <xdr:spPr>
        <a:xfrm>
          <a:off x="5265420" y="2552700"/>
          <a:ext cx="3231245" cy="35414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北京市怀柔区雁栖经济开发区雁栖河西路9号1号1至2层房地产抵押价值预评估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受贵公司委托，我公司对北京市怀柔区雁栖经济开发区雁栖河西路9号1号1至2层房地产抵押价值进行了预评估。</v>
      </c>
    </row>
    <row r="7" spans="1:2" s="1203" customFormat="1">
      <c r="A7" s="1201" t="s">
        <v>566</v>
      </c>
      <c r="B7" s="1202" t="str">
        <f>'预评函-1'!A7</f>
        <v>估价对象为北京市怀柔区雁栖经济开发区雁栖河西路9号1号1至2层房地产，为所有。根据《国有土地使用证》[]，估价对象（分摊）出让国有建设用地使用权面积为5514.09平方米，建筑面积为2072.95平方米。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怀柔区雁栖经济开发区雁栖河西路9号1号1至2层房地产,属开发建设的工业项目，该项目尚在开发建设中。根据《国有土地使用证》[]，估价对象（分摊）出让国有建设用地使用权面积为5514.09平方米，规划建筑面积为2072.95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怀柔区雁栖经济开发区雁栖河西路9号1号1至2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2024年5月30日（评估专业人员实地查勘之日）</v>
      </c>
    </row>
    <row r="13" spans="1:2" s="1203" customFormat="1">
      <c r="A13" s="1201" t="s">
        <v>529</v>
      </c>
      <c r="B13" s="1202" t="str">
        <f>'预评函-1'!A18</f>
        <v>本次估价的“房地产价值”是指在正常市场情况下，在价值时点2024年5月30日，估价对象规划用途为工业用地/厂房，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工业用地/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701</v>
      </c>
    </row>
    <row r="21" spans="1:2" s="1203" customFormat="1">
      <c r="A21" s="1201" t="s">
        <v>537</v>
      </c>
      <c r="B21" s="1202">
        <f ca="1">'预评函-2'!D7</f>
        <v>3382</v>
      </c>
    </row>
    <row r="22" spans="1:2" s="1203" customFormat="1">
      <c r="A22" s="1201" t="s">
        <v>538</v>
      </c>
      <c r="B22" s="1202" t="str">
        <f ca="1">'预评函-2'!D6</f>
        <v>柒佰零壹万元整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701</v>
      </c>
    </row>
    <row r="31" spans="1:2" s="1203" customFormat="1">
      <c r="A31" s="1201" t="s">
        <v>576</v>
      </c>
      <c r="B31" s="1202">
        <f ca="1">'预评函-2'!D15</f>
        <v>3382</v>
      </c>
    </row>
    <row r="32" spans="1:2" s="1203" customFormat="1">
      <c r="A32" s="1201" t="s">
        <v>543</v>
      </c>
      <c r="B32" s="1202" t="str">
        <f ca="1">'预评函-2'!D14</f>
        <v>柒佰零壹万元整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北京市怀柔区雁栖经济开发区雁栖河西路9号1号1至2层房地产</v>
      </c>
    </row>
    <row r="42" spans="1:2" s="1203" customFormat="1" ht="31.2">
      <c r="A42" s="1201" t="s">
        <v>590</v>
      </c>
      <c r="B42" s="1202" t="str">
        <f>'预评函-3'!B2</f>
        <v>建筑面积</v>
      </c>
    </row>
    <row r="43" spans="1:2" s="1203" customFormat="1">
      <c r="A43" s="1201" t="s">
        <v>591</v>
      </c>
      <c r="B43" s="1202">
        <f>'预评函-3'!B4</f>
        <v>2072.9499999999998</v>
      </c>
    </row>
    <row r="44" spans="1:2" s="1203" customFormat="1" ht="31.2">
      <c r="A44" s="1201" t="s">
        <v>575</v>
      </c>
      <c r="B44" s="1202" t="str">
        <f>'预评函-3'!C2</f>
        <v>(分摊)土地面积</v>
      </c>
    </row>
    <row r="45" spans="1:2" s="1203" customFormat="1">
      <c r="A45" s="1201" t="s">
        <v>547</v>
      </c>
      <c r="B45" s="1202">
        <f>'预评函-3'!C4</f>
        <v>5514.09</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经济开发区雁栖河西路9号1号1至2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30日，估价对象规划用途为工业用地/厂房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1875" defaultRowHeight="14.4"/>
  <cols>
    <col min="1" max="7" width="15.21875" style="3016"/>
    <col min="8" max="8" width="5.5546875" style="3016" customWidth="1"/>
    <col min="9" max="13" width="9.44140625" style="3058" customWidth="1"/>
    <col min="14" max="18" width="9.44140625" style="3016" customWidth="1"/>
    <col min="19" max="16384" width="15.2187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2" t="s">
        <v>2583</v>
      </c>
      <c r="J2" s="3502"/>
      <c r="K2" s="3502"/>
      <c r="L2" s="3502"/>
      <c r="M2" s="3502"/>
      <c r="N2" s="3502"/>
      <c r="O2" s="3502"/>
      <c r="P2" s="3502"/>
      <c r="Q2" s="3502"/>
      <c r="R2" s="3502"/>
    </row>
    <row r="3" spans="1:18">
      <c r="A3" s="3020" t="s">
        <v>2504</v>
      </c>
      <c r="B3" s="3021">
        <f>项目基本情况!D3</f>
        <v>45442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2.5499999999999998</v>
      </c>
      <c r="D5" s="3025">
        <f>IF(ISERROR(ROUND(POWER(1+E5,A5-C5)*(POWER(1+E5,C5)-1)/(POWER(1+E5,A5)-1),3)),0,ROUND(POWER(1+E5,A5-C5)*(POWER(1+E5,C5)-1)/(POWER(1+E5,A5)-1),4))</f>
        <v>0.1202</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12.56</v>
      </c>
      <c r="D6" s="3025">
        <f>IF(ISERROR(ROUND(POWER(1+E6,A6-C6)*(POWER(1+E6,C6)-1)/(POWER(1+E6,A6)-1),3)),0,ROUND(POWER(1+E6,A6-C6)*(POWER(1+E6,C6)-1)/(POWER(1+E6,A6)-1),4))</f>
        <v>0.45269999999999999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32.57</v>
      </c>
      <c r="D7" s="3025">
        <f>IF(ISERROR(ROUND(POWER(1+E7,A7-C7)*(POWER(1+E7,C7)-1)/(POWER(1+E7,A7)-1),3)),0,ROUND(POWER(1+E7,A7-C7)*(POWER(1+E7,C7)-1)/(POWER(1+E7,A7)-1),4))</f>
        <v>0.77070000000000005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5" thickBot="1">
      <c r="A18" s="3031" t="s">
        <v>2519</v>
      </c>
      <c r="B18" s="3032">
        <f>ROUND(B17*F11/F12,2)</f>
        <v>5541.87</v>
      </c>
      <c r="C18" s="3032">
        <f>ROUND(F11/F12,4)</f>
        <v>1.1521999999999999</v>
      </c>
      <c r="D18" s="3033"/>
      <c r="E18" s="3033"/>
      <c r="F18" s="3034"/>
    </row>
    <row r="19" spans="1:13" ht="15" thickBot="1"/>
    <row r="20" spans="1:13" s="3069" customFormat="1" ht="1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36" sqref="I36"/>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11" t="str">
        <f>IF(B10="北京市","北京市",C10)&amp;F10&amp;IF(结果表!G1="在建","出让国有建设用地使用权及在建建筑物",IF(结果表!G1="土地","出让国有建设用地使用权",))&amp;B9&amp;"预评估"</f>
        <v>北京市怀柔区雁栖经济开发区雁栖河西路9号1号1至2层房地产抵押价值预评估</v>
      </c>
      <c r="C1" s="3512"/>
      <c r="D1" s="3512"/>
      <c r="E1" s="3512"/>
      <c r="F1" s="3512"/>
      <c r="G1" s="3512"/>
      <c r="H1" s="3512"/>
      <c r="I1" s="351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北京市怀柔区雁栖经济开发区雁栖河西路9号1号1至2层房地产抵押价值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北京市怀柔区雁栖经济开发区雁栖河西路9号1号1至2层房地产</v>
      </c>
      <c r="T2" s="1745"/>
      <c r="U2" s="1745"/>
      <c r="V2" s="1745"/>
      <c r="W2" s="1745"/>
      <c r="X2" s="1745"/>
      <c r="Y2" s="1745"/>
      <c r="Z2" s="1745"/>
      <c r="AA2" s="1745"/>
      <c r="AB2" s="1745"/>
    </row>
    <row r="3" spans="1:30">
      <c r="A3" s="302" t="s">
        <v>2169</v>
      </c>
      <c r="B3" s="2373">
        <v>45442</v>
      </c>
      <c r="C3" s="2374" t="s">
        <v>2170</v>
      </c>
      <c r="D3" s="2373">
        <f>B3</f>
        <v>45442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t="s">
        <v>3383</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3379</v>
      </c>
      <c r="C8" s="2390"/>
      <c r="D8" s="3514" t="s">
        <v>2176</v>
      </c>
      <c r="E8" s="2391" t="s">
        <v>3384</v>
      </c>
      <c r="F8" s="2392"/>
      <c r="G8" s="2663"/>
      <c r="H8" s="2663"/>
      <c r="I8" s="2663"/>
      <c r="J8" s="2439"/>
      <c r="K8" s="2614"/>
      <c r="L8" s="2613"/>
      <c r="M8" s="2613"/>
      <c r="N8" s="2439"/>
      <c r="O8" s="2450"/>
      <c r="P8" s="2439"/>
      <c r="Q8" s="2439"/>
      <c r="R8" s="2439"/>
    </row>
    <row r="9" spans="1:30" ht="13.8" thickBot="1">
      <c r="A9" s="2393" t="s">
        <v>2177</v>
      </c>
      <c r="B9" s="2394" t="s">
        <v>3384</v>
      </c>
      <c r="C9" s="2395"/>
      <c r="D9" s="3515"/>
      <c r="E9" s="2394"/>
      <c r="F9" s="2396"/>
      <c r="G9" s="2665"/>
      <c r="H9" s="2665"/>
      <c r="I9" s="2665"/>
      <c r="J9" s="2439"/>
      <c r="K9" s="2616"/>
      <c r="L9" s="2613"/>
      <c r="M9" s="2613"/>
      <c r="N9" s="2439"/>
      <c r="O9" s="2450"/>
      <c r="P9" s="2439"/>
      <c r="Q9" s="2439"/>
      <c r="R9" s="2439"/>
    </row>
    <row r="10" spans="1:30" ht="13.8" thickTop="1">
      <c r="A10" s="2397" t="s">
        <v>2178</v>
      </c>
      <c r="B10" s="2398" t="s">
        <v>3385</v>
      </c>
      <c r="C10" s="2399"/>
      <c r="D10" s="2382"/>
      <c r="E10" s="2400" t="s">
        <v>2179</v>
      </c>
      <c r="F10" s="2666" t="s">
        <v>3386</v>
      </c>
      <c r="G10" s="2667"/>
      <c r="H10" s="2668"/>
      <c r="I10" s="2669"/>
      <c r="J10" s="2439"/>
      <c r="K10" s="2616"/>
      <c r="L10" s="2613"/>
      <c r="M10" s="2613"/>
      <c r="N10" s="2439"/>
      <c r="O10" s="2450"/>
      <c r="P10" s="2439"/>
      <c r="Q10" s="2439"/>
      <c r="R10" s="2439"/>
    </row>
    <row r="11" spans="1:30">
      <c r="A11" s="2401" t="s">
        <v>2180</v>
      </c>
      <c r="B11" s="2402" t="s">
        <v>3387</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c r="D13" s="856"/>
      <c r="E13" s="856"/>
      <c r="F13" s="856"/>
      <c r="G13" s="856"/>
      <c r="H13" s="856">
        <v>56085</v>
      </c>
      <c r="I13" s="856"/>
      <c r="J13" s="3062"/>
      <c r="K13" s="2613"/>
      <c r="L13" s="2613"/>
      <c r="M13" s="2439"/>
      <c r="N13" s="2450"/>
      <c r="O13" s="2439"/>
      <c r="P13" s="2439"/>
      <c r="Q13" s="2439"/>
      <c r="AD13" s="1745"/>
    </row>
    <row r="14" spans="1:30">
      <c r="A14" s="1081"/>
      <c r="B14" s="2407" t="s">
        <v>2190</v>
      </c>
      <c r="C14" s="2408"/>
      <c r="D14" s="2408"/>
      <c r="E14" s="2408"/>
      <c r="F14" s="2408"/>
      <c r="G14" s="2408"/>
      <c r="H14" s="2408">
        <v>50</v>
      </c>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29.15</v>
      </c>
      <c r="I15" s="2410" t="str">
        <f>IF(A13="出让",IF(I13="","",ROUNDDOWN(MIN((I13-$D$3)/365,I14),2)),I14)</f>
        <v/>
      </c>
      <c r="J15" s="3064"/>
      <c r="K15" s="2451"/>
      <c r="L15" s="2451"/>
      <c r="M15" s="2509"/>
      <c r="N15" s="2451"/>
      <c r="O15" s="2509"/>
      <c r="P15" s="2439"/>
      <c r="Q15" s="2439"/>
      <c r="AD15" s="1745"/>
    </row>
    <row r="16" spans="1:30">
      <c r="A16" s="2400" t="s">
        <v>2192</v>
      </c>
      <c r="B16" s="3521" t="s">
        <v>3388</v>
      </c>
      <c r="C16" s="3522"/>
      <c r="D16" s="3523"/>
      <c r="E16" s="2413" t="s">
        <v>2193</v>
      </c>
      <c r="F16" s="3524"/>
      <c r="G16" s="3525"/>
      <c r="H16" s="3525"/>
      <c r="I16" s="3526"/>
      <c r="J16" s="2439"/>
      <c r="K16" s="2617"/>
      <c r="L16" s="2451"/>
      <c r="M16" s="2451"/>
      <c r="N16" s="2509"/>
      <c r="O16" s="2451"/>
      <c r="P16" s="2509"/>
      <c r="Q16" s="2439"/>
      <c r="R16" s="2439"/>
    </row>
    <row r="17" spans="1:28">
      <c r="A17" s="313" t="s">
        <v>2194</v>
      </c>
      <c r="B17" s="302" t="s">
        <v>2195</v>
      </c>
      <c r="C17" s="8">
        <f>'数据-汇总表'!E3</f>
        <v>2072.9499999999998</v>
      </c>
      <c r="D17" s="2322" t="s">
        <v>2196</v>
      </c>
      <c r="E17" s="3527" t="s">
        <v>2197</v>
      </c>
      <c r="F17" s="3528"/>
      <c r="G17" s="3528"/>
      <c r="H17" s="3528"/>
      <c r="I17" s="3529"/>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5514.09</v>
      </c>
      <c r="D18" s="1092" t="s">
        <v>2200</v>
      </c>
      <c r="E18" s="3530" t="s">
        <v>2201</v>
      </c>
      <c r="F18" s="3531"/>
      <c r="G18" s="3531"/>
      <c r="H18" s="3531"/>
      <c r="I18" s="3532"/>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7" t="s">
        <v>2205</v>
      </c>
      <c r="C20" s="3518"/>
      <c r="D20" s="3519" t="s">
        <v>2206</v>
      </c>
      <c r="E20" s="3520"/>
      <c r="F20" s="2647" t="s">
        <v>1056</v>
      </c>
      <c r="G20" s="2664"/>
      <c r="H20" s="2664"/>
      <c r="I20" s="2664"/>
      <c r="J20" s="2439"/>
      <c r="K20" s="351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04" t="s">
        <v>2213</v>
      </c>
      <c r="B27" s="320" t="s">
        <v>2214</v>
      </c>
      <c r="C27" s="2416" t="s">
        <v>3389</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4"/>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4"/>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5"/>
      <c r="B30" s="302" t="s">
        <v>2217</v>
      </c>
      <c r="C30" s="3506"/>
      <c r="D30" s="3507"/>
      <c r="E30" s="2664"/>
      <c r="F30" s="2664"/>
      <c r="G30" s="2664"/>
      <c r="H30" s="2664"/>
      <c r="I30" s="2664"/>
      <c r="J30" s="2439"/>
      <c r="K30" s="2616"/>
      <c r="L30" s="2613"/>
      <c r="M30" s="2613"/>
      <c r="N30" s="2439"/>
      <c r="O30" s="2450"/>
      <c r="P30" s="2439"/>
      <c r="Q30" s="2439"/>
      <c r="R30" s="2439"/>
      <c r="S30" s="2439"/>
      <c r="T30" s="2439"/>
      <c r="U30" s="2439"/>
      <c r="V30" s="2439"/>
    </row>
    <row r="31" spans="1:28">
      <c r="A31" s="3508" t="s">
        <v>2218</v>
      </c>
      <c r="B31" s="2422" t="s">
        <v>3390</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03" t="s">
        <v>2227</v>
      </c>
      <c r="T34" s="2428" t="str">
        <f>NUMBERSTRING(7-K34,1)&amp;"通"</f>
        <v>七通</v>
      </c>
      <c r="U34" s="2439"/>
      <c r="V34" s="2439"/>
    </row>
    <row r="35" spans="1:30">
      <c r="A35" s="2429"/>
      <c r="B35" s="3510" t="s">
        <v>2228</v>
      </c>
      <c r="C35" s="3510"/>
      <c r="D35" s="3510"/>
      <c r="E35" s="351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27" thickBot="1">
      <c r="A38" s="2631" t="s">
        <v>2230</v>
      </c>
      <c r="B38" s="2432"/>
      <c r="C38" s="2432"/>
      <c r="D38" s="2432"/>
      <c r="E38" s="2432" t="s">
        <v>3399</v>
      </c>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5514.09</v>
      </c>
      <c r="B3" s="11">
        <f>IF(C3="否",G5-AT5,G5)</f>
        <v>2072.9499999999998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2072.9499999999998</v>
      </c>
      <c r="H5" s="13">
        <f t="shared" ref="H5:AT5" si="0">SUM(H13:H656)</f>
        <v>2072.9499999999998</v>
      </c>
      <c r="I5" s="13">
        <f t="shared" si="0"/>
        <v>2072.9499999999998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2072.9499999999998</v>
      </c>
      <c r="BA5" s="15">
        <f t="shared" si="1"/>
        <v>2072.9499999999998</v>
      </c>
      <c r="BB5" s="15">
        <f t="shared" si="1"/>
        <v>2072.9499999999998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5514.09</v>
      </c>
      <c r="F6" s="13" t="s">
        <v>0</v>
      </c>
      <c r="G6" s="13" t="s">
        <v>1</v>
      </c>
      <c r="H6" s="17">
        <f>SUMIF(I$12:AB$12,"总值",I6:AB6)</f>
        <v>5514.09</v>
      </c>
      <c r="I6" s="13">
        <f t="shared" ref="I6:AB6" si="2">ROUND($A$3*I5/$B$3,2)</f>
        <v>5514.09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5514.09</v>
      </c>
      <c r="AZ6" s="13" t="s">
        <v>2</v>
      </c>
      <c r="BA6" s="13">
        <f>ROUND($AY$6*BA5/$AZ$5,2)</f>
        <v>5514.09</v>
      </c>
      <c r="BB6" s="13">
        <f>ROUND($AY$6*BB5/$AZ$5,2)</f>
        <v>5514.09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3393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6.4">
      <c r="A13" s="1051"/>
      <c r="B13" s="1051"/>
      <c r="C13" s="1051" t="s">
        <v>3392</v>
      </c>
      <c r="D13" s="1625" t="s">
        <v>3391</v>
      </c>
      <c r="E13" s="13">
        <f>IF($C$3="是",ROUND($A$3*G13/$B$3,2),ROUND($A$3*(G13-AT13)/$B$3,2))</f>
        <v>5514.09</v>
      </c>
      <c r="F13" s="29"/>
      <c r="G13" s="30">
        <f>H13+AC13+AT13</f>
        <v>2072.9499999999998</v>
      </c>
      <c r="H13" s="17">
        <f>SUMIF(I$12:AB$12,"总值",I13:AB13)</f>
        <v>2072.9499999999998</v>
      </c>
      <c r="I13" s="1626">
        <v>2072.9499999999998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9号1号1至2层</v>
      </c>
      <c r="AY13" s="1349">
        <f>ROUND($AY$6*AZ13/$AZ$5,2)</f>
        <v>5514.09</v>
      </c>
      <c r="AZ13" s="13">
        <f>BA13+BL13</f>
        <v>2072.9499999999998</v>
      </c>
      <c r="BA13" s="13">
        <f>SUM(BB13:BK13)</f>
        <v>2072.9499999999998</v>
      </c>
      <c r="BB13" s="13">
        <f>IF($D13="是",I13-J13,0)</f>
        <v>2072.9499999999998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42" t="s">
        <v>1131</v>
      </c>
      <c r="B2" s="3542"/>
      <c r="C2" s="3542"/>
      <c r="D2" s="796" t="s">
        <v>1107</v>
      </c>
      <c r="E2" s="1639" t="s">
        <v>1108</v>
      </c>
      <c r="F2" s="2659"/>
      <c r="G2" s="2650"/>
      <c r="H2" s="2651"/>
      <c r="I2" s="2325" t="s">
        <v>1132</v>
      </c>
      <c r="J2" s="2659"/>
      <c r="K2" s="2659"/>
      <c r="L2" s="2659"/>
      <c r="M2" s="2659"/>
      <c r="N2" s="2661"/>
      <c r="O2" s="2659"/>
      <c r="P2" s="2659"/>
    </row>
    <row r="3" spans="1:16" ht="15" thickBot="1">
      <c r="A3" s="3543" t="s">
        <v>1105</v>
      </c>
      <c r="B3" s="3543"/>
      <c r="C3" s="3543"/>
      <c r="D3" s="43">
        <f>'数据-基础表'!AY6</f>
        <v>5514.09</v>
      </c>
      <c r="E3" s="43">
        <f>'数据-基础表'!AZ5</f>
        <v>2072.9499999999998</v>
      </c>
      <c r="F3" s="2659"/>
      <c r="G3" s="1145"/>
      <c r="H3" s="1026" t="s">
        <v>1106</v>
      </c>
      <c r="I3" s="855">
        <f>ROUND('数据-基础表'!B3/'数据-基础表'!A3,2)</f>
        <v>0.38</v>
      </c>
      <c r="J3" s="2659"/>
      <c r="K3" s="2659"/>
      <c r="L3" s="2659"/>
      <c r="M3" s="2659"/>
      <c r="N3" s="2661"/>
      <c r="O3" s="2659"/>
      <c r="P3" s="2659"/>
    </row>
    <row r="4" spans="1:16" ht="14.4">
      <c r="A4" s="3544"/>
      <c r="B4" s="3545"/>
      <c r="C4" s="3546"/>
      <c r="D4" s="1641" t="s">
        <v>1107</v>
      </c>
      <c r="E4" s="1642" t="s">
        <v>1108</v>
      </c>
      <c r="F4" s="2659"/>
      <c r="G4" s="2652" t="s">
        <v>1133</v>
      </c>
      <c r="H4" s="1026" t="s">
        <v>1113</v>
      </c>
      <c r="I4" s="855">
        <f>ROUND(SUMIF('数据-基础表'!I9:AS9,"地上",'数据-基础表'!I5:AS5)/'数据-基础表'!A3,2)</f>
        <v>0.38</v>
      </c>
      <c r="J4" s="2659"/>
      <c r="K4" s="2659"/>
      <c r="L4" s="2659"/>
      <c r="M4" s="2659"/>
      <c r="N4" s="2661"/>
      <c r="O4" s="2659"/>
      <c r="P4" s="2659"/>
    </row>
    <row r="5" spans="1:16" ht="14.4">
      <c r="A5" s="44" t="s">
        <v>1109</v>
      </c>
      <c r="B5" s="3547" t="s">
        <v>1110</v>
      </c>
      <c r="C5" s="3547"/>
      <c r="D5" s="45">
        <f>ROUND($D$3*E5/$E$3,2)</f>
        <v>0</v>
      </c>
      <c r="E5" s="46">
        <f>SUMIF('数据-基础表'!$11:$11,"住宅",'数据-基础表'!$5:$5)</f>
        <v>0</v>
      </c>
      <c r="F5" s="2659"/>
      <c r="G5" s="1145"/>
      <c r="H5" s="1026" t="s">
        <v>1106</v>
      </c>
      <c r="I5" s="855">
        <f>ROUND(E31/D31,2)</f>
        <v>0.38</v>
      </c>
      <c r="J5" s="2659"/>
      <c r="K5" s="2659"/>
      <c r="L5" s="2659"/>
      <c r="M5" s="2659"/>
      <c r="N5" s="2659"/>
      <c r="O5" s="2659"/>
      <c r="P5" s="2659"/>
    </row>
    <row r="6" spans="1:16" ht="15" thickBot="1">
      <c r="A6" s="1644"/>
      <c r="B6" s="3547" t="s">
        <v>1111</v>
      </c>
      <c r="C6" s="3547"/>
      <c r="D6" s="45">
        <f>ROUND($D$3*E6/$E$3,2)</f>
        <v>5514.09</v>
      </c>
      <c r="E6" s="46">
        <f>E3-E5</f>
        <v>2072.9499999999998</v>
      </c>
      <c r="F6" s="2659"/>
      <c r="G6" s="2653" t="s">
        <v>1112</v>
      </c>
      <c r="H6" s="1146" t="s">
        <v>1113</v>
      </c>
      <c r="I6" s="2654">
        <f>ROUND(F31/D31,2)</f>
        <v>0.38</v>
      </c>
      <c r="J6" s="2659"/>
      <c r="K6" s="2659"/>
      <c r="L6" s="2659"/>
      <c r="M6" s="2659"/>
      <c r="N6" s="2659"/>
      <c r="O6" s="2659"/>
      <c r="P6" s="2659"/>
    </row>
    <row r="7" spans="1:16" ht="15" thickBot="1">
      <c r="A7" s="3539"/>
      <c r="B7" s="3540"/>
      <c r="C7" s="3541"/>
      <c r="D7" s="1641" t="s">
        <v>1107</v>
      </c>
      <c r="E7" s="1645" t="s">
        <v>1114</v>
      </c>
      <c r="F7" s="2659"/>
      <c r="G7" s="2655" t="s">
        <v>1115</v>
      </c>
      <c r="H7" s="2656"/>
      <c r="I7" s="2657">
        <v>1</v>
      </c>
      <c r="J7" s="2659"/>
      <c r="K7" s="2659"/>
      <c r="L7" s="2659"/>
      <c r="M7" s="2659"/>
      <c r="N7" s="2659"/>
      <c r="O7" s="2659"/>
      <c r="P7" s="2659"/>
    </row>
    <row r="8" spans="1:16" ht="14.4">
      <c r="A8" s="44" t="s">
        <v>1116</v>
      </c>
      <c r="B8" s="47" t="s">
        <v>1117</v>
      </c>
      <c r="C8" s="45" t="s">
        <v>1118</v>
      </c>
      <c r="D8" s="45">
        <f t="shared" ref="D8:D15" si="0">ROUND($D$3*E8/$E$3,2)</f>
        <v>5514.09</v>
      </c>
      <c r="E8" s="48">
        <f>SUMIF('数据-基础表'!BB10:BK10,"地上",'数据-基础表'!BB5:BK5)</f>
        <v>2072.9499999999998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5514.09</v>
      </c>
      <c r="E16" s="50">
        <f>SUM(E8:E15)</f>
        <v>2072.9499999999998</v>
      </c>
      <c r="F16" s="2659"/>
      <c r="G16" s="2660"/>
      <c r="H16" s="1648" t="s">
        <v>1135</v>
      </c>
      <c r="I16" s="1649"/>
      <c r="J16" s="1139"/>
      <c r="K16" s="3536" t="s">
        <v>1135</v>
      </c>
      <c r="L16" s="3537"/>
      <c r="M16" s="3537"/>
      <c r="N16" s="3537"/>
      <c r="O16" s="3537"/>
      <c r="P16" s="3538"/>
    </row>
    <row r="17" spans="1:19" ht="14.4">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3395</v>
      </c>
      <c r="D19" s="45">
        <f>ROUND($D$3*E19/$E$3,2)</f>
        <v>5514.09</v>
      </c>
      <c r="E19" s="53">
        <f t="shared" ref="E19:E26" si="1">SUM(F19:G19)</f>
        <v>2072.9499999999998</v>
      </c>
      <c r="F19" s="2795">
        <f>'数据-基础表'!I13</f>
        <v>2072.9499999999998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5514.09</v>
      </c>
      <c r="S19" s="1027">
        <f t="shared" si="5"/>
        <v>2072.9499999999998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5514.09</v>
      </c>
      <c r="E27" s="1141">
        <f>IF(SUM(E19:E26)='数据-基础表'!BA5,SUM(E19:E26),IF(F27="地上面积有误","面积有误","地下面积有误"))</f>
        <v>2072.9499999999998</v>
      </c>
      <c r="F27" s="1140">
        <f>IF(SUM(F19:F26)=E8,SUM(F19:F26),"地上面积有误")</f>
        <v>2072.9499999999998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5514.09</v>
      </c>
      <c r="S27" s="1026">
        <f>IF(SUM(S19:S26)=$E$3,SUM(S19:S26),SUM(S19:S26)&amp;"误差"&amp;ROUND(SUM(S19:S26)-E3,2))</f>
        <v>2072.9499999999998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5514.09</v>
      </c>
      <c r="E31" s="676">
        <f>E27+E30</f>
        <v>2072.9499999999998</v>
      </c>
      <c r="F31" s="677">
        <f>F27+F30</f>
        <v>2072.9499999999998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D15" activePane="bottomRight" state="frozen"/>
      <selection activeCell="C50" sqref="C50"/>
      <selection pane="topRight" activeCell="C50" sqref="C50"/>
      <selection pane="bottomLeft" activeCell="C50" sqref="C50"/>
      <selection pane="bottomRight" activeCell="M21" sqref="M21"/>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45442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厂房</v>
      </c>
      <c r="B6" s="1713" t="str">
        <f>IF(A6=0,"","经营性")</f>
        <v>经营性</v>
      </c>
      <c r="C6" s="1714" t="s">
        <v>3</v>
      </c>
      <c r="D6" s="858">
        <f>SUMIF(项目基本情况!C$12:I$12,C6,项目基本情况!C$14:I$14)</f>
        <v>50</v>
      </c>
      <c r="E6" s="857">
        <f>IF(B6="","",SUMIF(项目基本情况!C$12:I$12,C6,项目基本情况!C$13:I$13))</f>
        <v>56085</v>
      </c>
      <c r="F6" s="64">
        <f>SUMIF(项目基本情况!C$12:I$12,C6,项目基本情况!C$15:I$15)</f>
        <v>29.15</v>
      </c>
      <c r="G6" s="65">
        <f>IF(ISERROR(ROUND(POWER(1+H6,D6-F6)*(POWER(1+H6,F6)-1)/(POWER(1+H6,D6)-1),3)),0,ROUND(POWER(1+H6,D6-F6)*(POWER(1+H6,F6)-1)/(POWER(1+H6,D6)-1),3))</f>
        <v>0.81299999999999994</v>
      </c>
      <c r="H6" s="732">
        <v>4.4999999999999998E-2</v>
      </c>
      <c r="I6" s="732">
        <v>0.05</v>
      </c>
      <c r="J6" s="66">
        <v>6.5000000000000002E-2</v>
      </c>
      <c r="K6" s="1030">
        <f>SUMIF('数据-汇总表'!C$19:C$33,A6,'数据-汇总表'!E$19:E$33)</f>
        <v>2072.9499999999998</v>
      </c>
      <c r="L6" s="733">
        <v>2000</v>
      </c>
      <c r="M6" s="67">
        <f t="shared" ref="M6:M14" si="0">ROUND(K6*L6/10000,0)</f>
        <v>415</v>
      </c>
      <c r="N6" s="731">
        <f>M20</f>
        <v>0.77</v>
      </c>
      <c r="O6" s="67" t="str">
        <f>IF($N$5="成新度","——",ROUND(M6*N6,0))</f>
        <v>——</v>
      </c>
      <c r="P6" s="68" t="str">
        <f>IF($N$5="成新度","——",M6-O6)</f>
        <v>——</v>
      </c>
      <c r="Q6" s="734">
        <v>0.1</v>
      </c>
      <c r="R6" s="69">
        <f ca="1">SUMIF('数据-汇总表'!C$19:C$33,A6,'数据-汇总表'!R$19:R$27)</f>
        <v>5514.09</v>
      </c>
      <c r="S6" s="51">
        <f>IF('数据-汇总表'!$I$17="按面积比例",SUMIF('数据-汇总表'!C$19:C$33,A6,'数据-汇总表'!K$19:K$33),SUMIF('数据-汇总表'!C$19:C$33,A6,'数据-汇总表'!N$19:N$33))</f>
        <v>0</v>
      </c>
      <c r="T6" s="1172">
        <f>ROUND($L$14*S6/10000,0)</f>
        <v>0</v>
      </c>
      <c r="U6" s="3428">
        <v>0.8</v>
      </c>
      <c r="V6" s="70">
        <v>0.02</v>
      </c>
      <c r="W6" s="70">
        <v>0.1</v>
      </c>
      <c r="X6" s="1040"/>
      <c r="Y6" s="71">
        <f>N6</f>
        <v>0.77</v>
      </c>
      <c r="Z6" s="72"/>
      <c r="AA6" s="66"/>
      <c r="AB6" s="66"/>
      <c r="AC6" s="1040"/>
      <c r="AD6" s="73"/>
      <c r="AE6" s="1041">
        <f ca="1">IF(AN6="",0,SUMIF(INDIRECT("'"&amp;AN6&amp;"'"&amp;"!E:E"),$AE$5,INDIRECT("'"&amp;AN6&amp;"'"&amp;"!F:F")))</f>
        <v>29.15</v>
      </c>
      <c r="AF6" s="1348"/>
      <c r="AG6" s="138">
        <f>IF(AF6="",0,AE6-AF6)</f>
        <v>0</v>
      </c>
      <c r="AH6" s="74"/>
      <c r="AI6" s="76">
        <v>365</v>
      </c>
      <c r="AJ6" s="77"/>
      <c r="AK6" s="78">
        <v>1.4999999999999999E-2</v>
      </c>
      <c r="AL6" s="79">
        <v>1.5E-3</v>
      </c>
      <c r="AM6" s="80">
        <v>0.01</v>
      </c>
      <c r="AN6" s="1715" t="s">
        <v>3398</v>
      </c>
      <c r="AO6" s="52">
        <f ca="1">SUMIF(INDIRECT("'"&amp;AN6&amp;"'"&amp;"!A:A"),"总价",INDIRECT("'"&amp;AN6&amp;"'"&amp;"!B:B"))</f>
        <v>676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0.81299999999999994</v>
      </c>
      <c r="H16" s="90">
        <f>ROUND(SUMPRODUCT(H6:H13,K6:K13)/SUMPRODUCT((H6:H13&gt;0)*(K6:K13)),3)</f>
        <v>4.4999999999999998E-2</v>
      </c>
      <c r="I16" s="91"/>
      <c r="J16" s="91"/>
      <c r="K16" s="92">
        <f>SUM(K6:K15)</f>
        <v>2072.9499999999998</v>
      </c>
      <c r="L16" s="93">
        <f>ROUND(M16*10000/SUM(K6:K14),0)</f>
        <v>2002</v>
      </c>
      <c r="M16" s="93">
        <f>SUM(M6:M14)</f>
        <v>415</v>
      </c>
      <c r="N16" s="94">
        <f>ROUND(SUMPRODUCT(M6:M14,N6:N14)/M16,3)</f>
        <v>0.77</v>
      </c>
      <c r="O16" s="93">
        <f>SUM(O6:O14)</f>
        <v>0</v>
      </c>
      <c r="P16" s="93">
        <f>SUM(P6:P14)</f>
        <v>0</v>
      </c>
      <c r="Q16" s="95">
        <f>ROUND(SUMPRODUCT(Q6:Q13,K6:K13)/SUMPRODUCT((Q6:Q13&gt;0)*(K6:K13)),2)</f>
        <v>0.1</v>
      </c>
      <c r="R16" s="1034">
        <f ca="1">SUM(R6:R13)</f>
        <v>5514.09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t="s">
        <v>3411</v>
      </c>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2304</v>
      </c>
      <c r="D19" s="2676"/>
      <c r="E19" s="2673"/>
      <c r="F19" s="2673"/>
      <c r="G19" s="2673"/>
      <c r="H19" s="2673"/>
      <c r="I19" s="2673"/>
      <c r="J19" s="2673"/>
      <c r="K19" s="2672"/>
      <c r="L19" s="3449" t="s">
        <v>3397</v>
      </c>
      <c r="M19" s="2671">
        <v>2005</v>
      </c>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2302</v>
      </c>
      <c r="D20" s="2676"/>
      <c r="E20" s="2673"/>
      <c r="F20" s="2673"/>
      <c r="G20" s="2673"/>
      <c r="H20" s="2673"/>
      <c r="I20" s="2673"/>
      <c r="J20" s="2673"/>
      <c r="K20" s="2672"/>
      <c r="L20" s="3449" t="s">
        <v>3457</v>
      </c>
      <c r="M20" s="2671">
        <f>ROUND(1-(1-2%)*(2024-M19)/80,2)</f>
        <v>0.77</v>
      </c>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3548" t="s">
        <v>3400</v>
      </c>
      <c r="H22" s="3548"/>
      <c r="I22" s="3548"/>
      <c r="J22" s="3548"/>
      <c r="K22" s="3548"/>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28.8">
      <c r="A23" s="1724" t="s">
        <v>1215</v>
      </c>
      <c r="B23" s="105">
        <f>B19+B21</f>
        <v>2</v>
      </c>
      <c r="C23" s="2673"/>
      <c r="D23" s="2676"/>
      <c r="E23" s="2673"/>
      <c r="F23" s="2673"/>
      <c r="G23" s="3450" t="s">
        <v>3401</v>
      </c>
      <c r="H23" s="3450" t="s">
        <v>3402</v>
      </c>
      <c r="I23" s="3548" t="s">
        <v>3403</v>
      </c>
      <c r="J23" s="3548"/>
      <c r="K23" s="3450" t="s">
        <v>3404</v>
      </c>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29.4" thickBot="1">
      <c r="A24" s="1725" t="s">
        <v>1216</v>
      </c>
      <c r="B24" s="106">
        <f>B20-B21</f>
        <v>0</v>
      </c>
      <c r="C24" s="2673"/>
      <c r="D24" s="2676"/>
      <c r="E24" s="2673"/>
      <c r="F24" s="2673"/>
      <c r="G24" s="3450" t="s">
        <v>3405</v>
      </c>
      <c r="H24" s="3450" t="s">
        <v>3405</v>
      </c>
      <c r="I24" s="3450" t="s">
        <v>3406</v>
      </c>
      <c r="J24" s="3450" t="s">
        <v>3407</v>
      </c>
      <c r="K24" s="3450" t="s">
        <v>3408</v>
      </c>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29.4" thickBot="1">
      <c r="A25" s="1557"/>
      <c r="B25" s="1687"/>
      <c r="C25" s="2673"/>
      <c r="D25" s="2676"/>
      <c r="E25" s="2673"/>
      <c r="F25" s="2673"/>
      <c r="G25" s="3451" t="s">
        <v>3409</v>
      </c>
      <c r="H25" s="3451" t="s">
        <v>3409</v>
      </c>
      <c r="I25" s="3451">
        <v>2</v>
      </c>
      <c r="J25" s="3451">
        <v>1</v>
      </c>
      <c r="K25" s="3451">
        <v>1</v>
      </c>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3451">
        <v>0</v>
      </c>
      <c r="H26" s="3451">
        <v>0</v>
      </c>
      <c r="I26" s="3451">
        <v>1</v>
      </c>
      <c r="J26" s="3451">
        <v>0</v>
      </c>
      <c r="K26" s="3451">
        <v>0</v>
      </c>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80</v>
      </c>
      <c r="C27" s="2801" t="s">
        <v>2306</v>
      </c>
      <c r="D27" s="2679"/>
      <c r="E27" s="2661"/>
      <c r="F27" s="2661"/>
      <c r="G27" s="3451">
        <v>12000</v>
      </c>
      <c r="H27" s="3451">
        <v>15000</v>
      </c>
      <c r="I27" s="3451"/>
      <c r="J27" s="3451"/>
      <c r="K27" s="3451">
        <v>10825.55</v>
      </c>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120</v>
      </c>
      <c r="C28" s="2680"/>
      <c r="D28" s="2679"/>
      <c r="E28" s="2661"/>
      <c r="F28" s="2661"/>
      <c r="G28" s="3452">
        <v>12000</v>
      </c>
      <c r="H28" s="3452">
        <v>15000</v>
      </c>
      <c r="I28" s="3452">
        <v>26992.67</v>
      </c>
      <c r="J28" s="3452">
        <v>48.07</v>
      </c>
      <c r="K28" s="3452">
        <v>10825.55</v>
      </c>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成本法!C10</f>
        <v>25</v>
      </c>
      <c r="C29" s="2802" t="s">
        <v>2293</v>
      </c>
      <c r="D29" s="2679"/>
      <c r="E29" s="2661"/>
      <c r="F29" s="2661"/>
      <c r="G29" s="3452" t="s">
        <v>3410</v>
      </c>
      <c r="H29" s="3452" t="s">
        <v>3410</v>
      </c>
      <c r="I29" s="3452">
        <v>889.85</v>
      </c>
      <c r="J29" s="3452">
        <v>0</v>
      </c>
      <c r="K29" s="3452" t="s">
        <v>3410</v>
      </c>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3453">
        <f t="shared" ref="G30:K30" si="12">G31+G35+G34</f>
        <v>2202</v>
      </c>
      <c r="H30" s="3453">
        <f t="shared" si="12"/>
        <v>2572</v>
      </c>
      <c r="I30" s="3453">
        <f t="shared" si="12"/>
        <v>2407.0470946371738</v>
      </c>
      <c r="J30" s="3453"/>
      <c r="K30" s="3453">
        <f t="shared" si="12"/>
        <v>2206</v>
      </c>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3454">
        <v>1520</v>
      </c>
      <c r="H31" s="3454">
        <v>1800</v>
      </c>
      <c r="I31" s="3454">
        <v>1600</v>
      </c>
      <c r="J31" s="3454"/>
      <c r="K31" s="3454">
        <v>1503</v>
      </c>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3452">
        <v>1520</v>
      </c>
      <c r="H32" s="3452">
        <v>1800</v>
      </c>
      <c r="I32" s="3452">
        <v>1600</v>
      </c>
      <c r="J32" s="3452">
        <v>2000</v>
      </c>
      <c r="K32" s="3452">
        <v>1443</v>
      </c>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2294</v>
      </c>
      <c r="D33" s="2676"/>
      <c r="E33" s="2673"/>
      <c r="F33" s="2673"/>
      <c r="G33" s="3452"/>
      <c r="H33" s="3452"/>
      <c r="I33" s="3452">
        <v>1600</v>
      </c>
      <c r="J33" s="3452"/>
      <c r="K33" s="345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2295</v>
      </c>
      <c r="D34" s="2684" t="s">
        <v>2303</v>
      </c>
      <c r="E34" s="2682"/>
      <c r="F34" s="2673"/>
      <c r="G34" s="3455">
        <v>100</v>
      </c>
      <c r="H34" s="3455">
        <v>100</v>
      </c>
      <c r="I34" s="3455">
        <v>350</v>
      </c>
      <c r="J34" s="3455"/>
      <c r="K34" s="3455">
        <v>60</v>
      </c>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3456">
        <v>582</v>
      </c>
      <c r="H35" s="3456">
        <v>672</v>
      </c>
      <c r="I35" s="3456">
        <f>420+1000000/I28</f>
        <v>457.0470946371737</v>
      </c>
      <c r="J35" s="3456"/>
      <c r="K35" s="3456">
        <v>643</v>
      </c>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2297</v>
      </c>
      <c r="D36" s="2676"/>
      <c r="E36" s="2673"/>
      <c r="F36" s="2673"/>
      <c r="G36" s="3457"/>
      <c r="H36" s="3457"/>
      <c r="I36" s="3457"/>
      <c r="J36" s="3457"/>
      <c r="K36" s="3457"/>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2298</v>
      </c>
      <c r="D37" s="2676"/>
      <c r="E37" s="2673"/>
      <c r="F37" s="2673"/>
      <c r="G37" s="3457"/>
      <c r="H37" s="3457"/>
      <c r="I37" s="3457">
        <v>138</v>
      </c>
      <c r="J37" s="3457"/>
      <c r="K37" s="3457"/>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2298</v>
      </c>
      <c r="D38" s="2676"/>
      <c r="E38" s="2673"/>
      <c r="F38" s="2673"/>
      <c r="G38" s="3457"/>
      <c r="H38" s="3457"/>
      <c r="I38" s="3457"/>
      <c r="J38" s="3457"/>
      <c r="K38" s="3457"/>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3457"/>
      <c r="H39" s="3457"/>
      <c r="I39" s="3457"/>
      <c r="J39" s="3457"/>
      <c r="K39" s="3457"/>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2313</v>
      </c>
      <c r="B40" s="1078">
        <f ca="1">IF(A40="利息：取LPR",存贷款利率!G1,存贷款利率!G1+C40)</f>
        <v>3.4500000000000003E-2</v>
      </c>
      <c r="C40" s="2814">
        <v>5.0000000000000001E-3</v>
      </c>
      <c r="D40" s="2671"/>
      <c r="E40" s="2676"/>
      <c r="F40" s="2673"/>
      <c r="G40" s="3458">
        <f t="shared" ref="G40:H40" si="13">G31/G30</f>
        <v>0.6902815622161671</v>
      </c>
      <c r="H40" s="3458">
        <f t="shared" si="13"/>
        <v>0.69984447900466562</v>
      </c>
      <c r="I40" s="3458"/>
      <c r="J40" s="3458"/>
      <c r="K40" s="3458">
        <f t="shared" ref="K40" si="14">K31/K30</f>
        <v>0.68132366273798728</v>
      </c>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5.5000000000000007E-2</v>
      </c>
      <c r="C41" s="2678"/>
      <c r="D41" s="2671"/>
      <c r="E41" s="2676"/>
      <c r="F41" s="2673"/>
      <c r="G41" s="3458">
        <f t="shared" ref="G41:H41" si="15">G34/G30</f>
        <v>4.5413260672116255E-2</v>
      </c>
      <c r="H41" s="3458">
        <f t="shared" si="15"/>
        <v>3.8880248833592534E-2</v>
      </c>
      <c r="I41" s="3458"/>
      <c r="J41" s="3458"/>
      <c r="K41" s="3458">
        <f t="shared" ref="K41" si="16">K34/K30</f>
        <v>2.7198549410698096E-2</v>
      </c>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3458">
        <f t="shared" ref="G42:H42" si="17">G35/G30</f>
        <v>0.26430517711171664</v>
      </c>
      <c r="H42" s="3458">
        <f t="shared" si="17"/>
        <v>0.26127527216174184</v>
      </c>
      <c r="I42" s="3458"/>
      <c r="J42" s="3458"/>
      <c r="K42" s="3458">
        <f t="shared" ref="K42" si="18">K35/K30</f>
        <v>0.29147778785131462</v>
      </c>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mergeCells count="2">
    <mergeCell ref="G22:K22"/>
    <mergeCell ref="I23:J23"/>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sheetPr>
  <dimension ref="A33:C50"/>
  <sheetViews>
    <sheetView topLeftCell="A46" workbookViewId="0">
      <selection activeCell="G43" sqref="G43"/>
    </sheetView>
  </sheetViews>
  <sheetFormatPr defaultRowHeight="14.4"/>
  <sheetData>
    <row r="33" spans="1:3">
      <c r="A33" s="3801" t="s">
        <v>3446</v>
      </c>
      <c r="B33">
        <v>223</v>
      </c>
    </row>
    <row r="34" spans="1:3">
      <c r="A34" s="3801" t="s">
        <v>3439</v>
      </c>
      <c r="B34" s="3801" t="s">
        <v>3438</v>
      </c>
    </row>
    <row r="35" spans="1:3">
      <c r="A35" s="3801" t="s">
        <v>3440</v>
      </c>
      <c r="B35" s="3801" t="s">
        <v>3445</v>
      </c>
    </row>
    <row r="36" spans="1:3">
      <c r="B36" s="3801" t="s">
        <v>3441</v>
      </c>
    </row>
    <row r="37" spans="1:3">
      <c r="B37" s="3801" t="s">
        <v>3442</v>
      </c>
    </row>
    <row r="38" spans="1:3">
      <c r="B38" s="3801" t="s">
        <v>3443</v>
      </c>
    </row>
    <row r="39" spans="1:3">
      <c r="B39" s="3801" t="s">
        <v>3444</v>
      </c>
    </row>
    <row r="42" spans="1:3">
      <c r="A42" s="3801" t="s">
        <v>3447</v>
      </c>
      <c r="B42">
        <v>2000</v>
      </c>
    </row>
    <row r="43" spans="1:3">
      <c r="A43" s="3801" t="s">
        <v>3448</v>
      </c>
      <c r="B43">
        <v>0.41</v>
      </c>
      <c r="C43" s="3801" t="s">
        <v>3449</v>
      </c>
    </row>
    <row r="44" spans="1:3">
      <c r="A44" s="3801" t="s">
        <v>3450</v>
      </c>
    </row>
    <row r="45" spans="1:3">
      <c r="A45" s="3801" t="s">
        <v>3452</v>
      </c>
    </row>
    <row r="46" spans="1:3">
      <c r="A46" s="3801" t="s">
        <v>3451</v>
      </c>
    </row>
    <row r="47" spans="1:3">
      <c r="A47" s="3801" t="s">
        <v>3453</v>
      </c>
    </row>
    <row r="48" spans="1:3">
      <c r="A48" s="3801" t="s">
        <v>3454</v>
      </c>
    </row>
    <row r="49" spans="1:1">
      <c r="A49" s="3801" t="s">
        <v>3455</v>
      </c>
    </row>
    <row r="50" spans="1:1">
      <c r="A50" s="3801" t="s">
        <v>3456</v>
      </c>
    </row>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49" t="s">
        <v>2285</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2072.9499999999998</v>
      </c>
      <c r="C1" s="2686"/>
      <c r="D1" s="2686"/>
      <c r="E1" s="2686"/>
      <c r="F1" s="2686"/>
      <c r="G1" s="2687"/>
      <c r="H1" s="2688"/>
      <c r="I1" s="2688"/>
      <c r="J1" s="2688"/>
      <c r="K1" s="2688"/>
    </row>
    <row r="2" spans="1:11" ht="16.2">
      <c r="A2" s="2512" t="s">
        <v>653</v>
      </c>
      <c r="B2" s="2512">
        <f>SUM(C14:C23)</f>
        <v>5514.09</v>
      </c>
      <c r="C2" s="2686"/>
      <c r="D2" s="2686"/>
      <c r="E2" s="2686"/>
      <c r="F2" s="2686"/>
      <c r="G2" s="2687"/>
      <c r="H2" s="2688"/>
      <c r="I2" s="2688"/>
      <c r="J2" s="2688"/>
      <c r="K2" s="2688"/>
    </row>
    <row r="3" spans="1:11" ht="15.6">
      <c r="A3" s="2512" t="s">
        <v>662</v>
      </c>
      <c r="B3" s="2514">
        <f>项目基本情况!D3</f>
        <v>45442</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701</v>
      </c>
      <c r="C5" s="2512">
        <f ca="1">IF(B5=D14,结果表!H102,ROUND(B5*10000/$B$1,0))</f>
        <v>3382</v>
      </c>
      <c r="D5" s="2512">
        <f ca="1">ROUND(B5*10000/$B$2,0)</f>
        <v>1271</v>
      </c>
      <c r="E5" s="2686"/>
      <c r="F5" s="2687"/>
      <c r="G5" s="2687"/>
      <c r="H5" s="2688"/>
      <c r="I5" s="2688"/>
      <c r="J5" s="2688"/>
      <c r="K5" s="2688"/>
    </row>
    <row r="6" spans="1:11" ht="15.6">
      <c r="A6" s="2512" t="s">
        <v>656</v>
      </c>
      <c r="B6" s="2512">
        <f>SUM(G14:G23)</f>
        <v>0</v>
      </c>
      <c r="C6" s="2512">
        <f ca="1">IF(B6=G14,结果表!H108,ROUND(B6*10000/$B$1,0))</f>
        <v>3382</v>
      </c>
      <c r="D6" s="2512">
        <f>ROUND(B6*10000/$B$2,0)</f>
        <v>0</v>
      </c>
      <c r="E6" s="2686"/>
      <c r="F6" s="2687"/>
      <c r="G6" s="2687"/>
      <c r="H6" s="2688"/>
      <c r="I6" s="2688"/>
      <c r="J6" s="2688"/>
      <c r="K6" s="2688"/>
    </row>
    <row r="7" spans="1:11" ht="15.6">
      <c r="A7" s="2512" t="s">
        <v>664</v>
      </c>
      <c r="B7" s="2512">
        <f>SUM(H14:H23)</f>
        <v>0</v>
      </c>
      <c r="C7" s="2512" t="str">
        <f>IF(B7=H14,结果表!H110,ROUND(B7*10000/$B$1,0))</f>
        <v>——</v>
      </c>
      <c r="D7" s="2512">
        <f>ROUND(B7*10000/$B$2,0)</f>
        <v>0</v>
      </c>
      <c r="E7" s="2686"/>
      <c r="F7" s="2687"/>
      <c r="G7" s="2687"/>
      <c r="H7" s="2688"/>
      <c r="I7" s="2688"/>
      <c r="J7" s="2688"/>
      <c r="K7" s="2688"/>
    </row>
    <row r="8" spans="1:11" ht="15.6">
      <c r="A8" s="2512" t="s">
        <v>587</v>
      </c>
      <c r="B8" s="2512">
        <f>SUM(I14:I23)</f>
        <v>0</v>
      </c>
      <c r="C8" s="2512" t="str">
        <f>IF(B8=I14,结果表!H112,ROUND(B8*10000/$B$1,0))</f>
        <v>——</v>
      </c>
      <c r="D8" s="2512">
        <f>ROUND(B8*10000/$B$2,0)</f>
        <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3359</v>
      </c>
      <c r="D10" s="2512" t="s">
        <v>3360</v>
      </c>
      <c r="E10" s="3441"/>
      <c r="F10" s="3445" t="s">
        <v>3361</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'数据-基础表'!I13</f>
        <v>2072.9499999999998</v>
      </c>
      <c r="C14" s="2518">
        <f>'数据-基础表'!A3</f>
        <v>5514.09</v>
      </c>
      <c r="D14" s="2518">
        <f ca="1">结果表!H101</f>
        <v>701</v>
      </c>
      <c r="E14" s="2518">
        <f ca="1">结果表!H102</f>
        <v>3382</v>
      </c>
      <c r="F14" s="2518">
        <f ca="1">ROUND(D14*10000/C14,0)</f>
        <v>1271</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70" zoomScaleNormal="100" zoomScaleSheetLayoutView="70" zoomScalePageLayoutView="80" workbookViewId="0">
      <selection activeCell="G64" sqref="G64"/>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3394</v>
      </c>
      <c r="D1" s="1747"/>
      <c r="E1" s="1747"/>
      <c r="F1" s="1749" t="s">
        <v>1263</v>
      </c>
      <c r="G1" s="1561" t="s">
        <v>3390</v>
      </c>
      <c r="H1" s="1750" t="str">
        <f>IF(G1="现房","——","估价对象范围")</f>
        <v>——</v>
      </c>
      <c r="I1" s="1751"/>
    </row>
    <row r="2" spans="1:12" ht="21.75" customHeight="1" thickBot="1">
      <c r="A2" s="3585" t="str">
        <f>项目基本情况!S2</f>
        <v>北京市怀柔区雁栖经济开发区雁栖河西路9号1号1至2层房地产</v>
      </c>
      <c r="B2" s="3586"/>
      <c r="C2" s="3586"/>
      <c r="D2" s="3586"/>
      <c r="E2" s="3586"/>
      <c r="F2" s="3586"/>
      <c r="G2" s="3586"/>
      <c r="H2" s="3586"/>
      <c r="I2" s="3587"/>
    </row>
    <row r="3" spans="1:12" ht="13.2">
      <c r="A3" s="3589" t="s">
        <v>1264</v>
      </c>
      <c r="B3" s="3590"/>
      <c r="C3" s="3590"/>
      <c r="D3" s="3590"/>
      <c r="E3" s="3590"/>
      <c r="F3" s="3590"/>
      <c r="G3" s="3590"/>
      <c r="H3" s="3590"/>
      <c r="I3" s="3590"/>
    </row>
    <row r="4" spans="1:12" ht="14.4">
      <c r="A4" s="1754" t="s">
        <v>1265</v>
      </c>
      <c r="B4" s="1755" t="s">
        <v>1266</v>
      </c>
      <c r="C4" s="1756" t="s">
        <v>3412</v>
      </c>
      <c r="D4" s="1756" t="s">
        <v>3398</v>
      </c>
      <c r="E4" s="3591" t="s">
        <v>1267</v>
      </c>
      <c r="F4" s="3592"/>
      <c r="G4" s="3592"/>
      <c r="H4" s="3592"/>
      <c r="I4" s="359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65" t="s">
        <v>1268</v>
      </c>
      <c r="B5" s="3552">
        <v>25</v>
      </c>
      <c r="C5" s="3568"/>
      <c r="D5" s="3588"/>
      <c r="E5" s="131" t="s">
        <v>1269</v>
      </c>
      <c r="F5" s="1757"/>
      <c r="G5" s="1757"/>
      <c r="H5" s="1757"/>
      <c r="I5" s="1373"/>
    </row>
    <row r="6" spans="1:12" ht="13.2">
      <c r="A6" s="3565"/>
      <c r="B6" s="3552"/>
      <c r="C6" s="3569"/>
      <c r="D6" s="3588"/>
      <c r="E6" s="131" t="s">
        <v>1270</v>
      </c>
      <c r="F6" s="1757"/>
      <c r="G6" s="1757"/>
      <c r="H6" s="1757"/>
      <c r="I6" s="1373"/>
    </row>
    <row r="7" spans="1:12" ht="13.2">
      <c r="A7" s="3565"/>
      <c r="B7" s="3552"/>
      <c r="C7" s="3570"/>
      <c r="D7" s="3588"/>
      <c r="E7" s="131" t="s">
        <v>1271</v>
      </c>
      <c r="F7" s="1757"/>
      <c r="G7" s="1757"/>
      <c r="H7" s="1757"/>
      <c r="I7" s="1373"/>
    </row>
    <row r="8" spans="1:12" ht="13.2">
      <c r="A8" s="3565" t="s">
        <v>1272</v>
      </c>
      <c r="B8" s="3552">
        <v>15</v>
      </c>
      <c r="C8" s="3568"/>
      <c r="D8" s="3588"/>
      <c r="E8" s="131" t="s">
        <v>1273</v>
      </c>
      <c r="F8" s="1757"/>
      <c r="G8" s="1757"/>
      <c r="H8" s="1757"/>
      <c r="I8" s="1373"/>
    </row>
    <row r="9" spans="1:12" ht="13.2">
      <c r="A9" s="3565"/>
      <c r="B9" s="3552"/>
      <c r="C9" s="3570"/>
      <c r="D9" s="3588"/>
      <c r="E9" s="131" t="s">
        <v>1274</v>
      </c>
      <c r="F9" s="1757"/>
      <c r="G9" s="1757"/>
      <c r="H9" s="1757"/>
      <c r="I9" s="1373"/>
    </row>
    <row r="10" spans="1:12" ht="13.2">
      <c r="A10" s="3565" t="s">
        <v>1275</v>
      </c>
      <c r="B10" s="3552">
        <v>15</v>
      </c>
      <c r="C10" s="3568"/>
      <c r="D10" s="3588"/>
      <c r="E10" s="131" t="s">
        <v>1276</v>
      </c>
      <c r="F10" s="1757"/>
      <c r="G10" s="1757"/>
      <c r="H10" s="1757"/>
      <c r="I10" s="1373"/>
    </row>
    <row r="11" spans="1:12" ht="13.2">
      <c r="A11" s="3565"/>
      <c r="B11" s="3552"/>
      <c r="C11" s="3570"/>
      <c r="D11" s="3588"/>
      <c r="E11" s="131" t="s">
        <v>1277</v>
      </c>
      <c r="F11" s="1757"/>
      <c r="G11" s="1757"/>
      <c r="H11" s="1757"/>
      <c r="I11" s="1373"/>
    </row>
    <row r="12" spans="1:12" ht="13.2">
      <c r="A12" s="3565" t="s">
        <v>1278</v>
      </c>
      <c r="B12" s="3552">
        <v>15</v>
      </c>
      <c r="C12" s="3568"/>
      <c r="D12" s="3588"/>
      <c r="E12" s="131" t="s">
        <v>1279</v>
      </c>
      <c r="F12" s="1757"/>
      <c r="G12" s="1757"/>
      <c r="H12" s="1757"/>
      <c r="I12" s="1373"/>
    </row>
    <row r="13" spans="1:12" ht="13.2">
      <c r="A13" s="3565"/>
      <c r="B13" s="3552"/>
      <c r="C13" s="3570"/>
      <c r="D13" s="3588"/>
      <c r="E13" s="131" t="s">
        <v>1280</v>
      </c>
      <c r="F13" s="1757"/>
      <c r="G13" s="1757"/>
      <c r="H13" s="1757"/>
      <c r="I13" s="1373"/>
    </row>
    <row r="14" spans="1:12" ht="13.2">
      <c r="A14" s="3565" t="s">
        <v>1281</v>
      </c>
      <c r="B14" s="3552">
        <v>30</v>
      </c>
      <c r="C14" s="3568">
        <v>5</v>
      </c>
      <c r="D14" s="3588">
        <v>5</v>
      </c>
      <c r="E14" s="131" t="s">
        <v>1282</v>
      </c>
      <c r="F14" s="1757"/>
      <c r="G14" s="1757"/>
      <c r="H14" s="1757"/>
      <c r="I14" s="1373"/>
    </row>
    <row r="15" spans="1:12" ht="13.2">
      <c r="A15" s="3565"/>
      <c r="B15" s="3552"/>
      <c r="C15" s="3569"/>
      <c r="D15" s="3588"/>
      <c r="E15" s="131" t="s">
        <v>1283</v>
      </c>
      <c r="F15" s="1757"/>
      <c r="G15" s="1757"/>
      <c r="H15" s="1757"/>
      <c r="I15" s="1373"/>
    </row>
    <row r="16" spans="1:12" ht="13.2">
      <c r="A16" s="3565"/>
      <c r="B16" s="3552"/>
      <c r="C16" s="3570"/>
      <c r="D16" s="3588"/>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575" t="s">
        <v>2130</v>
      </c>
      <c r="F18" s="3576"/>
      <c r="G18" s="3576"/>
      <c r="H18" s="3576"/>
      <c r="I18" s="3576"/>
      <c r="K18" s="302" t="s">
        <v>1289</v>
      </c>
      <c r="L18" s="302">
        <f>IF(C1="",'数据-汇总表'!E3,SUMIF(项目类型,C1,'数据-汇总表'!E17:E26)+SUMIF(项目类型,C1,'数据-汇总表'!I17:I26))</f>
        <v>2072.9499999999998</v>
      </c>
      <c r="M18" s="302">
        <f>IF(C1="",'数据-汇总表'!E3,SUMIF(项目类型,C1,'数据-汇总表'!E17:E26))</f>
        <v>2072.9499999999998</v>
      </c>
    </row>
    <row r="19" spans="1:36" ht="14.4">
      <c r="A19" s="1761" t="s">
        <v>1290</v>
      </c>
      <c r="B19" s="1762" t="s">
        <v>1291</v>
      </c>
      <c r="C19" s="134">
        <f ca="1">SUMIF(INDIRECT("'"&amp;C4&amp;"'"&amp;"!A:A"),结果表!B19,INDIRECT("'"&amp;C4&amp;"'"&amp;"!B:B"))</f>
        <v>726</v>
      </c>
      <c r="D19" s="135">
        <f ca="1">SUMIF(INDIRECT("'"&amp;D4&amp;"'"&amp;"!A:A"),结果表!B19,INDIRECT("'"&amp;D4&amp;"'"&amp;"!B:B"))</f>
        <v>676</v>
      </c>
      <c r="E19" s="1761" t="s">
        <v>1292</v>
      </c>
      <c r="F19" s="1762" t="s">
        <v>1291</v>
      </c>
      <c r="G19" s="136">
        <f ca="1">ROUND(C19*$C$18+D19*$D$18,0)</f>
        <v>701</v>
      </c>
      <c r="H19" s="1763" t="s">
        <v>1293</v>
      </c>
      <c r="I19" s="129"/>
      <c r="K19" s="302" t="s">
        <v>1294</v>
      </c>
      <c r="L19" s="302">
        <f>IF(C1="",'数据-汇总表'!D3,SUMIF(项目类型,C1,'数据-汇总表'!D17:D26)+SUMIF(项目类型,C1,'数据-汇总表'!H17:H27))</f>
        <v>5514.09</v>
      </c>
      <c r="M19" s="302">
        <f>IF(C1="",'数据-汇总表'!D3,SUMIF(项目类型,C1,'数据-汇总表'!D17:D26))</f>
        <v>5514.09</v>
      </c>
    </row>
    <row r="20" spans="1:36" ht="14.4">
      <c r="A20" s="1764"/>
      <c r="B20" s="1026" t="s">
        <v>1295</v>
      </c>
      <c r="C20" s="137">
        <f ca="1">SUMIF(INDIRECT("'"&amp;C4&amp;"'"&amp;"!A:A"),结果表!B20,INDIRECT("'"&amp;C4&amp;"'"&amp;"!B:B"))</f>
        <v>3502</v>
      </c>
      <c r="D20" s="138">
        <f ca="1">SUMIF(INDIRECT("'"&amp;D4&amp;"'"&amp;"!A:A"),结果表!B20,INDIRECT("'"&amp;D4&amp;"'"&amp;"!B:B"))</f>
        <v>3261</v>
      </c>
      <c r="E20" s="1764"/>
      <c r="F20" s="1026" t="s">
        <v>1295</v>
      </c>
      <c r="G20" s="139">
        <f ca="1">ROUND(C20*$C$18+D20*$D$18,0)</f>
        <v>3382</v>
      </c>
      <c r="H20" s="808" t="s">
        <v>1296</v>
      </c>
      <c r="I20" s="129"/>
    </row>
    <row r="21" spans="1:36" ht="15" customHeight="1" thickBot="1">
      <c r="A21" s="828"/>
      <c r="B21" s="1765" t="s">
        <v>1297</v>
      </c>
      <c r="C21" s="719">
        <f ca="1">ROUND(C19*10000/L19,0)</f>
        <v>1317</v>
      </c>
      <c r="D21" s="720">
        <f ca="1">ROUND(D19*10000/L19,0)</f>
        <v>1226</v>
      </c>
      <c r="E21" s="828"/>
      <c r="F21" s="1765" t="s">
        <v>1297</v>
      </c>
      <c r="G21" s="140">
        <f ca="1">ROUND(G19*10000/L19,0)</f>
        <v>1271</v>
      </c>
      <c r="H21" s="1766" t="s">
        <v>1296</v>
      </c>
      <c r="I21" s="129"/>
    </row>
    <row r="22" spans="1:36" ht="15" thickBot="1">
      <c r="A22" s="1688" t="s">
        <v>1298</v>
      </c>
      <c r="B22" s="1767"/>
      <c r="C22" s="1768"/>
      <c r="D22" s="721">
        <f ca="1">IF(C19&lt;D19,D19/C19-1,C19/D19-1)</f>
        <v>7.3964497041420163E-2</v>
      </c>
      <c r="E22" s="129"/>
      <c r="F22" s="129"/>
      <c r="G22" s="129"/>
      <c r="H22" s="129"/>
      <c r="I22" s="129"/>
    </row>
    <row r="23" spans="1:36" ht="13.8" thickBot="1">
      <c r="A23" s="1747"/>
      <c r="B23" s="1747"/>
      <c r="C23" s="1747"/>
      <c r="D23" s="1747"/>
      <c r="E23" s="129"/>
      <c r="F23" s="129"/>
      <c r="G23" s="129"/>
      <c r="H23" s="129"/>
      <c r="I23" s="129"/>
    </row>
    <row r="24" spans="1:36" ht="14.4">
      <c r="A24" s="3559" t="s">
        <v>1299</v>
      </c>
      <c r="B24" s="1762" t="s">
        <v>1291</v>
      </c>
      <c r="C24" s="136">
        <f>IF(B30=0,0,D30)</f>
        <v>0</v>
      </c>
      <c r="D24" s="1769"/>
      <c r="E24" s="129"/>
      <c r="F24" s="129"/>
      <c r="G24" s="129"/>
      <c r="H24" s="129"/>
      <c r="I24" s="129"/>
    </row>
    <row r="25" spans="1:36" ht="14.4">
      <c r="A25" s="356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3382</v>
      </c>
      <c r="D32" s="1775" t="s">
        <v>3432</v>
      </c>
      <c r="E32" s="129"/>
      <c r="F32" s="129"/>
      <c r="G32" s="129"/>
      <c r="H32" s="129"/>
      <c r="I32" s="129"/>
    </row>
    <row r="33" spans="1:15" ht="14.4">
      <c r="A33" s="786" t="s">
        <v>1306</v>
      </c>
      <c r="B33" s="1776"/>
      <c r="C33" s="1777" t="s">
        <v>3433</v>
      </c>
      <c r="D33" s="1778"/>
      <c r="E33" s="1779" t="s">
        <v>1307</v>
      </c>
      <c r="F33" s="1780" t="str">
        <f>IF(D32="楼面单价","取值（单价）","取值（总价）")</f>
        <v>取值（单价）</v>
      </c>
      <c r="G33" s="129"/>
      <c r="H33" s="129"/>
      <c r="I33" s="129"/>
    </row>
    <row r="34" spans="1:15" ht="14.4">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 thickBot="1">
      <c r="A36" s="3579" t="s">
        <v>1312</v>
      </c>
      <c r="B36" s="1787" t="s">
        <v>1313</v>
      </c>
      <c r="C36" s="145"/>
      <c r="D36" s="1788"/>
      <c r="E36" s="1789"/>
      <c r="F36" s="1790"/>
      <c r="G36" s="129"/>
      <c r="H36" s="129"/>
      <c r="I36" s="129"/>
    </row>
    <row r="37" spans="1:15" ht="15" thickBot="1">
      <c r="A37" s="3580"/>
      <c r="B37" s="1674" t="s">
        <v>1314</v>
      </c>
      <c r="C37" s="147"/>
      <c r="D37" s="1139"/>
      <c r="E37" s="1139"/>
      <c r="F37" s="1790"/>
      <c r="G37" s="129"/>
      <c r="H37" s="129"/>
      <c r="I37" s="129"/>
    </row>
    <row r="38" spans="1:15" ht="15" thickBot="1">
      <c r="A38" s="3581"/>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6" t="s">
        <v>1326</v>
      </c>
      <c r="B45" s="3557"/>
      <c r="C45" s="3558"/>
      <c r="D45" s="155">
        <f ca="1">ROUND(H101*F45,0)</f>
        <v>701</v>
      </c>
      <c r="E45" s="156" t="s">
        <v>1327</v>
      </c>
      <c r="F45" s="157">
        <v>1</v>
      </c>
      <c r="G45" s="158" t="s">
        <v>1328</v>
      </c>
      <c r="H45" s="129"/>
      <c r="I45" s="129"/>
      <c r="J45" s="3634" t="s">
        <v>1329</v>
      </c>
      <c r="K45" s="3634"/>
      <c r="L45" s="3634"/>
      <c r="M45" s="3634"/>
      <c r="N45" s="3634"/>
      <c r="O45" s="3634"/>
    </row>
    <row r="46" spans="1:15" ht="14.25" customHeight="1">
      <c r="A46" s="3553" t="s">
        <v>1330</v>
      </c>
      <c r="B46" s="3554"/>
      <c r="C46" s="3554"/>
      <c r="D46" s="3554"/>
      <c r="E46" s="3554"/>
      <c r="F46" s="3554"/>
      <c r="G46" s="3555"/>
      <c r="H46" s="1806"/>
      <c r="I46" s="159"/>
      <c r="J46" s="2523">
        <v>1</v>
      </c>
      <c r="K46" s="3615" t="s">
        <v>1331</v>
      </c>
      <c r="L46" s="3615"/>
      <c r="M46" s="3635"/>
      <c r="N46" s="3635"/>
      <c r="O46" s="3635"/>
    </row>
    <row r="47" spans="1:15" ht="12" customHeight="1">
      <c r="A47" s="160" t="s">
        <v>1332</v>
      </c>
      <c r="B47" s="161"/>
      <c r="C47" s="162"/>
      <c r="D47" s="1087" t="s">
        <v>1333</v>
      </c>
      <c r="E47" s="302" t="s">
        <v>1334</v>
      </c>
      <c r="F47" s="163" t="s">
        <v>1335</v>
      </c>
      <c r="G47" s="2546" t="s">
        <v>1336</v>
      </c>
      <c r="H47" s="2547"/>
      <c r="I47" s="159"/>
      <c r="J47" s="2523">
        <v>2</v>
      </c>
      <c r="K47" s="3615" t="s">
        <v>1337</v>
      </c>
      <c r="L47" s="3615"/>
      <c r="M47" s="3636">
        <f>'数据-取费表'!B2</f>
        <v>45442</v>
      </c>
      <c r="N47" s="3636"/>
      <c r="O47" s="3636"/>
    </row>
    <row r="48" spans="1:15" ht="39.6">
      <c r="A48" s="3584" t="s">
        <v>1338</v>
      </c>
      <c r="B48" s="3567"/>
      <c r="C48" s="3567"/>
      <c r="D48" s="2324">
        <f ca="1">IF(H48="情况1",0,IF(H48="情况2",D52,IF(H48="情况3",D53,IF(H48="情况4",D54))))</f>
        <v>37</v>
      </c>
      <c r="E48" s="2334" t="str">
        <f>IF(H48="情况4","(销售额-原购置价)×税（费）率","销售额×税（费）率")</f>
        <v>(销售额-原购置价)×税（费）率</v>
      </c>
      <c r="F48" s="2548">
        <f>IF(H48="情况1","免征",'数据-取费表'!B41)</f>
        <v>5.5000000000000007E-2</v>
      </c>
      <c r="G48" s="2549" t="s">
        <v>1339</v>
      </c>
      <c r="H48" s="2550" t="s">
        <v>3434</v>
      </c>
      <c r="I48" s="1806"/>
      <c r="J48" s="2523">
        <v>3</v>
      </c>
      <c r="K48" s="3615" t="s">
        <v>1340</v>
      </c>
      <c r="L48" s="3615"/>
      <c r="M48" s="3637">
        <f ca="1">H101</f>
        <v>701</v>
      </c>
      <c r="N48" s="3637"/>
      <c r="O48" s="3637"/>
    </row>
    <row r="49" spans="1:35" ht="25.5" customHeight="1">
      <c r="A49" s="2333" t="s">
        <v>1341</v>
      </c>
      <c r="B49" s="3551" t="s">
        <v>1342</v>
      </c>
      <c r="C49" s="3551"/>
      <c r="D49" s="1590">
        <v>0</v>
      </c>
      <c r="E49" s="324" t="s">
        <v>1343</v>
      </c>
      <c r="F49" s="2424" t="s">
        <v>28</v>
      </c>
      <c r="G49" s="3621"/>
      <c r="H49" s="2310" t="s">
        <v>2133</v>
      </c>
      <c r="I49" s="2311"/>
      <c r="J49" s="2523">
        <v>4</v>
      </c>
      <c r="K49" s="3615" t="str">
        <f>IF(项目基本情况!E8="房地产抵押价值","房地产抵押价值","抵押担保权已注销时的房地产抵押价值")</f>
        <v>房地产抵押价值</v>
      </c>
      <c r="L49" s="3615"/>
      <c r="M49" s="3637">
        <f ca="1">IF(项目基本情况!E8="房地产抵押价值",H107,H109)</f>
        <v>701</v>
      </c>
      <c r="N49" s="3637"/>
      <c r="O49" s="3637"/>
    </row>
    <row r="50" spans="1:35" ht="25.5" customHeight="1">
      <c r="A50" s="2551"/>
      <c r="B50" s="3551" t="s">
        <v>1344</v>
      </c>
      <c r="C50" s="3551"/>
      <c r="D50" s="2552"/>
      <c r="E50" s="332"/>
      <c r="F50" s="2424"/>
      <c r="G50" s="3622"/>
      <c r="H50" s="2312" t="s">
        <v>2134</v>
      </c>
      <c r="I50" s="2311"/>
      <c r="J50" s="3634" t="s">
        <v>1345</v>
      </c>
      <c r="K50" s="3634"/>
      <c r="L50" s="3634"/>
      <c r="M50" s="3634"/>
      <c r="N50" s="3634"/>
      <c r="O50" s="3634"/>
    </row>
    <row r="51" spans="1:35" ht="20.399999999999999" customHeight="1">
      <c r="A51" s="2553"/>
      <c r="B51" s="3551" t="s">
        <v>1346</v>
      </c>
      <c r="C51" s="3551"/>
      <c r="D51" s="1087"/>
      <c r="E51" s="327"/>
      <c r="F51" s="2424"/>
      <c r="G51" s="3623"/>
      <c r="H51" s="2312" t="s">
        <v>2135</v>
      </c>
      <c r="I51" s="2311"/>
      <c r="J51" s="2524" t="s">
        <v>1347</v>
      </c>
      <c r="K51" s="3615" t="s">
        <v>1348</v>
      </c>
      <c r="L51" s="3615"/>
      <c r="M51" s="2524" t="s">
        <v>1349</v>
      </c>
      <c r="N51" s="2524" t="s">
        <v>1350</v>
      </c>
      <c r="O51" s="2524" t="s">
        <v>1351</v>
      </c>
    </row>
    <row r="52" spans="1:35" ht="24" customHeight="1">
      <c r="A52" s="2335" t="s">
        <v>1352</v>
      </c>
      <c r="B52" s="3551" t="s">
        <v>1353</v>
      </c>
      <c r="C52" s="3551"/>
      <c r="D52" s="1087">
        <f ca="1">ROUND(D45*'数据-取费表'!B41/(1+'数据-取费表'!C42),0)</f>
        <v>37</v>
      </c>
      <c r="E52" s="2334" t="s">
        <v>1354</v>
      </c>
      <c r="F52" s="2554">
        <f>'数据-取费表'!B41</f>
        <v>5.5000000000000007E-2</v>
      </c>
      <c r="G52" s="2555"/>
      <c r="H52" s="2544"/>
      <c r="I52" s="1807"/>
      <c r="J52" s="2523">
        <v>1</v>
      </c>
      <c r="K52" s="3616" t="s">
        <v>1355</v>
      </c>
      <c r="L52" s="3616"/>
      <c r="M52" s="2525">
        <f ca="1">D48</f>
        <v>37</v>
      </c>
      <c r="N52" s="2523" t="str">
        <f>E48</f>
        <v>(销售额-原购置价)×税（费）率</v>
      </c>
      <c r="O52" s="2526">
        <f>F48</f>
        <v>5.5000000000000007E-2</v>
      </c>
    </row>
    <row r="53" spans="1:35" ht="12" customHeight="1">
      <c r="A53" s="2335" t="s">
        <v>1356</v>
      </c>
      <c r="B53" s="3577" t="s">
        <v>2290</v>
      </c>
      <c r="C53" s="3578"/>
      <c r="D53" s="1087">
        <f ca="1">ROUND(D45*'数据-取费表'!B41/(1+'数据-取费表'!C42),0)</f>
        <v>37</v>
      </c>
      <c r="E53" s="2334" t="s">
        <v>1354</v>
      </c>
      <c r="F53" s="2554">
        <f>'数据-取费表'!B41</f>
        <v>5.5000000000000007E-2</v>
      </c>
      <c r="G53" s="2555"/>
      <c r="H53" s="2544"/>
      <c r="I53" s="1807"/>
      <c r="J53" s="2523">
        <v>2</v>
      </c>
      <c r="K53" s="3616" t="s">
        <v>1357</v>
      </c>
      <c r="L53" s="3616"/>
      <c r="M53" s="2525">
        <f t="shared" ref="M53:O54" ca="1" si="0">D55</f>
        <v>0</v>
      </c>
      <c r="N53" s="2523" t="str">
        <f t="shared" si="0"/>
        <v>销售额×税（费）率</v>
      </c>
      <c r="O53" s="2526">
        <f t="shared" si="0"/>
        <v>5.0000000000000001E-4</v>
      </c>
    </row>
    <row r="54" spans="1:35" ht="12" customHeight="1">
      <c r="A54" s="2335" t="s">
        <v>1358</v>
      </c>
      <c r="B54" s="3577" t="s">
        <v>2291</v>
      </c>
      <c r="C54" s="3578"/>
      <c r="D54" s="1087">
        <f ca="1">C68</f>
        <v>37</v>
      </c>
      <c r="E54" s="327" t="s">
        <v>1359</v>
      </c>
      <c r="F54" s="2554">
        <f>'数据-取费表'!B41</f>
        <v>5.5000000000000007E-2</v>
      </c>
      <c r="G54" s="2555"/>
      <c r="H54" s="2556"/>
      <c r="I54" s="1807"/>
      <c r="J54" s="2523">
        <v>3</v>
      </c>
      <c r="K54" s="3616" t="s">
        <v>1360</v>
      </c>
      <c r="L54" s="3616"/>
      <c r="M54" s="2525">
        <f t="shared" ca="1" si="0"/>
        <v>398</v>
      </c>
      <c r="N54" s="2523" t="str">
        <f t="shared" si="0"/>
        <v>增值额×税（费）率</v>
      </c>
      <c r="O54" s="2527" t="str">
        <f t="shared" si="0"/>
        <v>——</v>
      </c>
    </row>
    <row r="55" spans="1:35" ht="24" customHeight="1">
      <c r="A55" s="3566" t="s">
        <v>1361</v>
      </c>
      <c r="B55" s="3567"/>
      <c r="C55" s="3567"/>
      <c r="D55" s="2324">
        <f ca="1">IF(H55="个人住宅",0,ROUND(D45*I55,0))</f>
        <v>0</v>
      </c>
      <c r="E55" s="2334" t="s">
        <v>1362</v>
      </c>
      <c r="F55" s="2554">
        <f>IF(H55="正常",I55,"免征")</f>
        <v>5.0000000000000001E-4</v>
      </c>
      <c r="G55" s="2555"/>
      <c r="H55" s="2550" t="s">
        <v>3435</v>
      </c>
      <c r="I55" s="165">
        <f>'数据-取费表'!B49</f>
        <v>5.0000000000000001E-4</v>
      </c>
      <c r="J55" s="2523" t="str">
        <f>IF(H59="非个人房产","",4)</f>
        <v/>
      </c>
      <c r="K55" s="3616" t="str">
        <f>IF(H59="非个人房产","——","个人所得税")</f>
        <v>——</v>
      </c>
      <c r="L55" s="3616"/>
      <c r="M55" s="2528" t="str">
        <f>D59</f>
        <v>——</v>
      </c>
      <c r="N55" s="2040" t="str">
        <f>E59</f>
        <v>——</v>
      </c>
      <c r="O55" s="2529" t="str">
        <f>F59</f>
        <v>——</v>
      </c>
    </row>
    <row r="56" spans="1:35" ht="25.2">
      <c r="A56" s="3566" t="s">
        <v>1363</v>
      </c>
      <c r="B56" s="3567"/>
      <c r="C56" s="3567"/>
      <c r="D56" s="2324">
        <f ca="1">IF(H56="个人住宅",D57,D58)</f>
        <v>398</v>
      </c>
      <c r="E56" s="2334" t="s">
        <v>1364</v>
      </c>
      <c r="F56" s="2554" t="str">
        <f>IF(H56="正常",F58,"免征")</f>
        <v>——</v>
      </c>
      <c r="G56" s="2557" t="s">
        <v>1365</v>
      </c>
      <c r="H56" s="2558" t="s">
        <v>3435</v>
      </c>
      <c r="I56" s="1808"/>
      <c r="J56" s="2523" t="str">
        <f>IF(项目基本情况!K6="上海银行",IF(J55="",4,J55+1),"")</f>
        <v/>
      </c>
      <c r="K56" s="3639" t="str">
        <f>IF(项目基本情况!K6="上海银行","其他处置费用","")</f>
        <v/>
      </c>
      <c r="L56" s="3640"/>
      <c r="M56" s="2525" t="str">
        <f>IF(项目基本情况!K6="上海银行",M69,"")</f>
        <v/>
      </c>
      <c r="N56" s="3639" t="str">
        <f>IF(项目基本情况!K6="上海银行","包含处置中涉及的律师、诉讼、拍卖、评估等费用","")</f>
        <v/>
      </c>
      <c r="O56" s="3642"/>
    </row>
    <row r="57" spans="1:35" ht="13.2">
      <c r="A57" s="2335" t="s">
        <v>1341</v>
      </c>
      <c r="B57" s="3577" t="s">
        <v>1366</v>
      </c>
      <c r="C57" s="3578"/>
      <c r="D57" s="1590">
        <v>0</v>
      </c>
      <c r="E57" s="324" t="s">
        <v>1343</v>
      </c>
      <c r="F57" s="302"/>
      <c r="G57" s="2555"/>
      <c r="H57" s="2559"/>
      <c r="I57" s="1808"/>
      <c r="J57" s="3616">
        <f>IF(AND(J55="",J56=""),4,IF(项目基本情况!K6="上海银行",结果表!J56+1,结果表!J55+1))</f>
        <v>4</v>
      </c>
      <c r="K57" s="3616" t="s">
        <v>1367</v>
      </c>
      <c r="L57" s="2530" t="s">
        <v>1368</v>
      </c>
      <c r="M57" s="2531"/>
      <c r="N57" s="2532">
        <f ca="1">SUMIF(M52:M56,"&lt;9e307")</f>
        <v>435</v>
      </c>
      <c r="O57" s="2533"/>
      <c r="P57" s="2690">
        <f ca="1">N57/M49</f>
        <v>0.6205420827389444</v>
      </c>
    </row>
    <row r="58" spans="1:35" ht="25.2">
      <c r="A58" s="2335" t="s">
        <v>1352</v>
      </c>
      <c r="B58" s="3577" t="s">
        <v>1369</v>
      </c>
      <c r="C58" s="3551"/>
      <c r="D58" s="2324">
        <f ca="1">IF(H58="转让取得",C81,C97)</f>
        <v>398</v>
      </c>
      <c r="E58" s="2334" t="s">
        <v>1364</v>
      </c>
      <c r="F58" s="302" t="s">
        <v>28</v>
      </c>
      <c r="G58" s="2555"/>
      <c r="H58" s="2558" t="s">
        <v>3436</v>
      </c>
      <c r="I58" s="1808"/>
      <c r="J58" s="3616"/>
      <c r="K58" s="3616"/>
      <c r="L58" s="2530" t="s">
        <v>1370</v>
      </c>
      <c r="M58" s="2534"/>
      <c r="N58" s="2535" t="str">
        <f ca="1">NUMBERSTRING(INT(N57*10000),2)&amp;"元整"</f>
        <v>肆佰叁拾伍万元整</v>
      </c>
      <c r="O58" s="2536"/>
    </row>
    <row r="59" spans="1:35" ht="24.6" thickBot="1">
      <c r="A59" s="3619" t="s">
        <v>1371</v>
      </c>
      <c r="B59" s="3620"/>
      <c r="C59" s="3620"/>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3437</v>
      </c>
      <c r="I59" s="2313" t="s">
        <v>2136</v>
      </c>
      <c r="J59" s="3617">
        <f>J57+1</f>
        <v>5</v>
      </c>
      <c r="K59" s="3616" t="s">
        <v>1372</v>
      </c>
      <c r="L59" s="2523" t="s">
        <v>1368</v>
      </c>
      <c r="M59" s="2537"/>
      <c r="N59" s="2538">
        <f ca="1">M49-N57</f>
        <v>266</v>
      </c>
      <c r="O59" s="2539"/>
    </row>
    <row r="60" spans="1:35" ht="12" customHeight="1">
      <c r="A60" s="1809"/>
      <c r="B60" s="1747"/>
      <c r="C60" s="1747"/>
      <c r="D60" s="1747"/>
      <c r="E60" s="1578"/>
      <c r="F60" s="1808"/>
      <c r="G60" s="1808"/>
      <c r="H60" s="1810"/>
      <c r="I60" s="129"/>
      <c r="J60" s="3618"/>
      <c r="K60" s="3616"/>
      <c r="L60" s="2530" t="s">
        <v>1370</v>
      </c>
      <c r="M60" s="2534"/>
      <c r="N60" s="2535" t="str">
        <f ca="1">NUMBERSTRING(INT(N59*10000),2)&amp;"元整"</f>
        <v>贰佰陆拾陆万元整</v>
      </c>
      <c r="O60" s="2536"/>
    </row>
    <row r="61" spans="1:35" ht="13.8" thickBot="1">
      <c r="A61" s="3564" t="s">
        <v>1373</v>
      </c>
      <c r="B61" s="3564"/>
      <c r="C61" s="3564"/>
      <c r="D61" s="3564"/>
      <c r="E61" s="3564"/>
      <c r="F61" s="1808"/>
      <c r="G61" s="1808"/>
      <c r="H61" s="1810"/>
      <c r="I61" s="129"/>
      <c r="J61" s="2523">
        <f>J59+1</f>
        <v>6</v>
      </c>
      <c r="K61" s="3616" t="s">
        <v>1374</v>
      </c>
      <c r="L61" s="3616"/>
      <c r="M61" s="2540"/>
      <c r="N61" s="2541">
        <f ca="1">ROUND(N59*10000/'数据-汇总表'!E3,0)</f>
        <v>1283</v>
      </c>
      <c r="O61" s="2542"/>
    </row>
    <row r="62" spans="1:35" ht="13.2">
      <c r="A62" s="3582" t="s">
        <v>1375</v>
      </c>
      <c r="B62" s="3583"/>
      <c r="C62" s="2021"/>
      <c r="D62" s="2021" t="s">
        <v>1376</v>
      </c>
      <c r="E62" s="166" t="s">
        <v>1377</v>
      </c>
      <c r="F62" s="1808"/>
      <c r="G62" s="1808"/>
      <c r="H62" s="1810"/>
      <c r="I62" s="129"/>
    </row>
    <row r="63" spans="1:35" ht="13.2">
      <c r="A63" s="173" t="s">
        <v>330</v>
      </c>
      <c r="B63" s="167" t="s">
        <v>1378</v>
      </c>
      <c r="C63" s="2564">
        <f ca="1">ROUND((C64+C65)/(1+'数据-取费表'!C42),0)</f>
        <v>668</v>
      </c>
      <c r="D63" s="167"/>
      <c r="E63" s="168"/>
      <c r="F63" s="1808"/>
      <c r="G63" s="1808"/>
      <c r="H63" s="1810"/>
      <c r="I63" s="129"/>
      <c r="J63" s="3641" t="s">
        <v>1379</v>
      </c>
      <c r="K63" s="1332" t="s">
        <v>1380</v>
      </c>
      <c r="L63" s="1332">
        <f ca="1">IF(M49&gt;10000,M49*0.5%,IF(AND(M49&gt;1000,M49&lt;=10000),M49*1%,IF(AND(M49&gt;100,M49&lt;=1000),M49*3%,IF(AND(M49&gt;10,M49&lt;=100),M49*5%,M49*8%))))</f>
        <v>21.029999999999998</v>
      </c>
      <c r="M63" s="302">
        <f ca="1">ROUND(L63,1)</f>
        <v>21</v>
      </c>
      <c r="N63" s="2543"/>
      <c r="Z63" s="1752"/>
      <c r="AI63" s="1753"/>
    </row>
    <row r="64" spans="1:35" ht="14.25" customHeight="1">
      <c r="A64" s="169" t="s">
        <v>325</v>
      </c>
      <c r="B64" s="170" t="s">
        <v>1381</v>
      </c>
      <c r="C64" s="2565">
        <f ca="1">D45</f>
        <v>701</v>
      </c>
      <c r="D64" s="170" t="s">
        <v>26</v>
      </c>
      <c r="E64" s="172"/>
      <c r="F64" s="1808"/>
      <c r="G64" s="1808"/>
      <c r="H64" s="1810"/>
      <c r="I64" s="129"/>
      <c r="J64" s="3641"/>
      <c r="K64" s="1332" t="s">
        <v>1382</v>
      </c>
      <c r="L64" s="1332">
        <f ca="1">IF(M49&gt;2000,M49*0.5%,IF(AND(M49&gt;1000,M49&lt;=2000),M49*0.6%,IF(AND(M49&gt;500,M49&lt;=1000),M49*0.7%,IF(AND(M49&gt;200,M49&lt;=500),M49*0.8%,IF(AND(M49&gt;100,M49&lt;=200),M49*0.9%,IF(AND(M49&gt;50,M49&lt;=100),M49*1%,IF(AND(M49&gt;20,M49&lt;=50),M49*1.5%,IF(AND(M49&gt;10,M49&lt;=20),M49*2%,IF(AND(M49&gt;1,M49&lt;=10),M49*2.5%)))))))))</f>
        <v>4.9069999999999991</v>
      </c>
      <c r="M64" s="302">
        <f t="shared" ref="M64:M65" ca="1" si="1">ROUND(L64,1)</f>
        <v>4.9000000000000004</v>
      </c>
      <c r="N64" s="2544" t="s">
        <v>1383</v>
      </c>
      <c r="Z64" s="1752"/>
      <c r="AI64" s="1753"/>
    </row>
    <row r="65" spans="1:35" ht="14.25" customHeight="1">
      <c r="A65" s="169" t="s">
        <v>326</v>
      </c>
      <c r="B65" s="170" t="s">
        <v>1384</v>
      </c>
      <c r="C65" s="2566"/>
      <c r="D65" s="170"/>
      <c r="E65" s="172"/>
      <c r="F65" s="1808"/>
      <c r="G65" s="1808"/>
      <c r="H65" s="1810"/>
      <c r="I65" s="129"/>
      <c r="J65" s="3641"/>
      <c r="K65" s="1332" t="s">
        <v>1385</v>
      </c>
      <c r="L65" s="1332">
        <f ca="1">IF(M49&gt;1000,M49*0.1%,IF(AND(M49&gt;500,M49&lt;=1000),M49*0.5%,IF(AND(M49&gt;50,M49&lt;=500),M49*1%,IF(AND(M49&gt;1,M49&lt;=50),M49*1.5%))))</f>
        <v>3.5049999999999999</v>
      </c>
      <c r="M65" s="302">
        <f t="shared" ca="1" si="1"/>
        <v>3.5</v>
      </c>
      <c r="N65" s="2544" t="s">
        <v>1383</v>
      </c>
      <c r="Z65" s="1752"/>
      <c r="AI65" s="1753"/>
    </row>
    <row r="66" spans="1:35" ht="14.25" customHeight="1">
      <c r="A66" s="173" t="s">
        <v>327</v>
      </c>
      <c r="B66" s="174" t="s">
        <v>1386</v>
      </c>
      <c r="C66" s="2567"/>
      <c r="D66" s="174" t="s">
        <v>26</v>
      </c>
      <c r="E66" s="1338" t="s">
        <v>671</v>
      </c>
      <c r="F66" s="1808"/>
      <c r="G66" s="1808"/>
      <c r="H66" s="1810"/>
      <c r="I66" s="129"/>
      <c r="J66" s="3641"/>
      <c r="K66" s="1332" t="s">
        <v>1387</v>
      </c>
      <c r="L66" s="1332">
        <f ca="1">M49*0.5%</f>
        <v>3.5049999999999999</v>
      </c>
      <c r="M66" s="302">
        <f ca="1">IF(L66&gt;0.5,0.5,ROUND(L66,0))</f>
        <v>0.5</v>
      </c>
      <c r="N66" s="2544" t="s">
        <v>1388</v>
      </c>
      <c r="Z66" s="1752"/>
      <c r="AI66" s="1753"/>
    </row>
    <row r="67" spans="1:35" ht="14.25" customHeight="1">
      <c r="A67" s="173" t="s">
        <v>328</v>
      </c>
      <c r="B67" s="174" t="s">
        <v>1389</v>
      </c>
      <c r="C67" s="2568">
        <f ca="1">C63-C66</f>
        <v>668</v>
      </c>
      <c r="D67" s="170" t="s">
        <v>26</v>
      </c>
      <c r="E67" s="172"/>
      <c r="F67" s="1808"/>
      <c r="G67" s="1808"/>
      <c r="H67" s="1810"/>
      <c r="I67" s="129"/>
      <c r="J67" s="3641"/>
      <c r="K67" s="1332" t="s">
        <v>1390</v>
      </c>
      <c r="L67" s="1332">
        <f ca="1">IF(M49&gt;=10000,(8.25+(M49-10000)*0.01%),IF(AND(M49&gt;=8000,M49&lt;10000),(7.85+(M49-8000)*0.02%),IF(AND(M49&gt;=5000,M49&lt;8000),(6.65+(M49-5000)*0.04%),IF(AND(M49&gt;=2000,M49&lt;5000),(4.25+(PM49-2000)*0.08%),IF(AND(M49&gt;=1000,M49&lt;2000),(2.75+(M49-1000)*0.15%),IF(AND(M49&gt;=100,M49&lt;1000),(0.5+(M49-100)*0.25%),IF(AND(M49&gt;0,M49&lt;100),M49*0.5%)))))))</f>
        <v>2.0024999999999999</v>
      </c>
      <c r="M67" s="302">
        <f ca="1">ROUND(L67*0.9,1)</f>
        <v>1.8</v>
      </c>
      <c r="N67" s="2543"/>
      <c r="Z67" s="1752"/>
      <c r="AI67" s="1753"/>
    </row>
    <row r="68" spans="1:35" ht="14.25" customHeight="1" thickBot="1">
      <c r="A68" s="176" t="s">
        <v>329</v>
      </c>
      <c r="B68" s="177" t="s">
        <v>1391</v>
      </c>
      <c r="C68" s="2569">
        <f ca="1">IF(C67&lt;=0,0,ROUND(C67*D68,0))</f>
        <v>37</v>
      </c>
      <c r="D68" s="2570">
        <f>'数据-取费表'!B41</f>
        <v>5.5000000000000007E-2</v>
      </c>
      <c r="E68" s="178"/>
      <c r="F68" s="1808"/>
      <c r="G68" s="1808"/>
      <c r="H68" s="1810"/>
      <c r="I68" s="129"/>
      <c r="J68" s="3641"/>
      <c r="K68" s="1332" t="s">
        <v>1392</v>
      </c>
      <c r="L68" s="1332">
        <f ca="1">IF(M49&gt;10000,M49*0.5%,IF(AND(M49&gt;5000,M49&lt;=10000),M49*1%,IF(AND(M49&gt;1000,M49&lt;=5000),M49*2%,IF(AND(M49&gt;200,M49&lt;=1000),M49*3%,M49*5%))))</f>
        <v>21.029999999999998</v>
      </c>
      <c r="M68" s="302">
        <f ca="1">ROUND(L68,1)</f>
        <v>21</v>
      </c>
      <c r="N68" s="2543"/>
      <c r="Z68" s="1752"/>
      <c r="AI68" s="1753"/>
    </row>
    <row r="69" spans="1:35" s="1772" customFormat="1" ht="16.5" customHeight="1">
      <c r="A69" s="1811"/>
      <c r="B69" s="1812"/>
      <c r="C69" s="1813"/>
      <c r="D69" s="1814"/>
      <c r="E69" s="1815"/>
      <c r="F69" s="1578"/>
      <c r="G69" s="1578"/>
      <c r="H69" s="1577"/>
      <c r="I69" s="1747"/>
      <c r="J69" s="3641"/>
      <c r="K69" s="1332" t="s">
        <v>1393</v>
      </c>
      <c r="L69" s="1332"/>
      <c r="M69" s="302">
        <f ca="1">ROUND(SUM(M63:M68),0)</f>
        <v>53</v>
      </c>
      <c r="N69" s="2545">
        <f ca="1">M69/M49</f>
        <v>7.5606276747503573E-2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03" t="s">
        <v>1394</v>
      </c>
      <c r="B70" s="3604"/>
      <c r="C70" s="3604"/>
      <c r="D70" s="3604"/>
      <c r="E70" s="3604"/>
      <c r="F70" s="3604"/>
      <c r="G70" s="3604"/>
      <c r="H70" s="360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82" t="s">
        <v>1375</v>
      </c>
      <c r="B71" s="358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f ca="1">ROUND(D45/(1+'数据-取费表'!C42),0)</f>
        <v>668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7" t="s">
        <v>1402</v>
      </c>
      <c r="F76" s="3551"/>
      <c r="G76" s="3551"/>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5.000000000000001E-3</v>
      </c>
      <c r="E78" s="3561" t="s">
        <v>1406</v>
      </c>
      <c r="F78" s="3562"/>
      <c r="G78" s="3562"/>
      <c r="H78" s="357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f ca="1">C72-C73</f>
        <v>665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221.66666666666666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f ca="1">ROUND(IF(C79&lt;=0,0,IF(C80&gt;=200%,C79*60%-C73*35%,IF(C80&gt;=100%,C79*50%-C73*15%,IF(C80&gt;=50%,C79*40%-C73*5%,IF(C80&lt;50%,C79*30%,0))))),0)</f>
        <v>398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82" t="s">
        <v>1375</v>
      </c>
      <c r="B84" s="358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f ca="1">ROUND(D45/(1+'数据-取费表'!C42),0)</f>
        <v>668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43" t="s">
        <v>2128</v>
      </c>
      <c r="H90" s="3644"/>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1" t="s">
        <v>1419</v>
      </c>
      <c r="F91" s="3562"/>
      <c r="G91" s="356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1" t="s">
        <v>1422</v>
      </c>
      <c r="F92" s="3562"/>
      <c r="G92" s="3562"/>
      <c r="H92" s="3571"/>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5.000000000000001E-3</v>
      </c>
      <c r="E93" s="3561" t="s">
        <v>1406</v>
      </c>
      <c r="F93" s="3562"/>
      <c r="G93" s="3562"/>
      <c r="H93" s="357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2" t="s">
        <v>1426</v>
      </c>
      <c r="F94" s="3573"/>
      <c r="G94" s="3573"/>
      <c r="H94" s="357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f ca="1">ROUND(C85-C86,0)</f>
        <v>665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221.66666666666666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f ca="1">ROUND(IF(C95&lt;=0,0,IF(C96&gt;=200%,C95*60%-C86*35%,IF(C96&gt;=100%,C95*50%-C86*15%,IF(C96&gt;=50%,C95*40%-C86*5%,IF(C96&lt;50%,C95*30%,0))))),0)</f>
        <v>398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63"/>
      <c r="E100" s="3545" t="s">
        <v>1429</v>
      </c>
      <c r="F100" s="3545"/>
      <c r="G100" s="3545"/>
      <c r="H100" s="3563"/>
      <c r="I100" s="129"/>
    </row>
    <row r="101" spans="1:35" ht="18.75" customHeight="1">
      <c r="A101" s="3624" t="s">
        <v>1430</v>
      </c>
      <c r="B101" s="3625"/>
      <c r="C101" s="2585" t="str">
        <f>C4</f>
        <v>成本法</v>
      </c>
      <c r="D101" s="2586" t="str">
        <f>D4</f>
        <v>收益法</v>
      </c>
      <c r="E101" s="3638" t="s">
        <v>1431</v>
      </c>
      <c r="F101" s="3595"/>
      <c r="G101" s="1827" t="s">
        <v>1432</v>
      </c>
      <c r="H101" s="2595">
        <f ca="1">H118</f>
        <v>701</v>
      </c>
      <c r="I101" s="129"/>
    </row>
    <row r="102" spans="1:35" ht="18.75" customHeight="1">
      <c r="A102" s="3597" t="s">
        <v>1433</v>
      </c>
      <c r="B102" s="2584" t="s">
        <v>1432</v>
      </c>
      <c r="C102" s="2585">
        <f ca="1">IF(D32="楼面单价",ROUND(C19,0),C19)</f>
        <v>726</v>
      </c>
      <c r="D102" s="2586">
        <f ca="1">IF(D32="楼面单价",ROUND(D19,0),D19)</f>
        <v>676</v>
      </c>
      <c r="E102" s="3638"/>
      <c r="F102" s="3595"/>
      <c r="G102" s="1827" t="s">
        <v>1434</v>
      </c>
      <c r="H102" s="2555">
        <f ca="1">I118</f>
        <v>3382</v>
      </c>
      <c r="I102" s="129"/>
    </row>
    <row r="103" spans="1:35" ht="42.75" customHeight="1">
      <c r="A103" s="3597"/>
      <c r="B103" s="2584" t="s">
        <v>1434</v>
      </c>
      <c r="C103" s="2587">
        <f ca="1">C20</f>
        <v>3502</v>
      </c>
      <c r="D103" s="2588">
        <f ca="1">D20</f>
        <v>3261</v>
      </c>
      <c r="E103" s="3632" t="s">
        <v>1435</v>
      </c>
      <c r="F103" s="3633"/>
      <c r="G103" s="1828" t="s">
        <v>1436</v>
      </c>
      <c r="H103" s="2595">
        <f>IF(D36="正常操作",H104+H105+H106,H105+H106)</f>
        <v>0</v>
      </c>
      <c r="I103" s="129"/>
    </row>
    <row r="104" spans="1:35" ht="18.75" customHeight="1">
      <c r="A104" s="3597" t="s">
        <v>1437</v>
      </c>
      <c r="B104" s="2589" t="s">
        <v>1432</v>
      </c>
      <c r="C104" s="2590">
        <f ca="1">H118</f>
        <v>701</v>
      </c>
      <c r="D104" s="2591"/>
      <c r="E104" s="1674" t="s">
        <v>1438</v>
      </c>
      <c r="F104" s="1666"/>
      <c r="G104" s="1828" t="s">
        <v>1436</v>
      </c>
      <c r="H104" s="2596">
        <f>IF(D36="同一抵押权人同一抵押物续贷",C36&amp;"（续贷，未扣减，详见特别提示）",C36)</f>
        <v>0</v>
      </c>
      <c r="I104" s="129"/>
    </row>
    <row r="105" spans="1:35" ht="18.75" customHeight="1" thickBot="1">
      <c r="A105" s="3598"/>
      <c r="B105" s="2592" t="s">
        <v>1434</v>
      </c>
      <c r="C105" s="2593">
        <f ca="1">I118</f>
        <v>3382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4" t="str">
        <f>IF(项目基本情况!E8="已注销","——","3.房地产抵押价值")</f>
        <v>3.房地产抵押价值</v>
      </c>
      <c r="F107" s="3595"/>
      <c r="G107" s="1827" t="s">
        <v>1432</v>
      </c>
      <c r="H107" s="2595">
        <f ca="1">IF(E107="——","——",H101-H103)</f>
        <v>701</v>
      </c>
      <c r="I107" s="129"/>
    </row>
    <row r="108" spans="1:35" ht="18.75" customHeight="1">
      <c r="A108" s="129"/>
      <c r="B108" s="129"/>
      <c r="C108" s="129"/>
      <c r="D108" s="129"/>
      <c r="E108" s="3594"/>
      <c r="F108" s="3595"/>
      <c r="G108" s="1827" t="s">
        <v>1434</v>
      </c>
      <c r="H108" s="2555">
        <f ca="1">IF(H107=H101,H102,ROUND(H107*10000/'数据-汇总表'!E3,0))</f>
        <v>3382</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95"/>
      <c r="G109" s="1827" t="s">
        <v>1432</v>
      </c>
      <c r="H109" s="2598" t="str">
        <f>IF(E109="——","——",H101-H105-H106)</f>
        <v>——</v>
      </c>
      <c r="I109" s="129"/>
    </row>
    <row r="110" spans="1:35" ht="18.75" customHeight="1">
      <c r="A110" s="129"/>
      <c r="B110" s="129"/>
      <c r="C110" s="129"/>
      <c r="D110" s="129"/>
      <c r="E110" s="3594"/>
      <c r="F110" s="3595"/>
      <c r="G110" s="1827" t="s">
        <v>1434</v>
      </c>
      <c r="H110" s="2555"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27"/>
      <c r="F112" s="3628"/>
      <c r="G112" s="1830" t="s">
        <v>1434</v>
      </c>
      <c r="H112" s="2599"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5" t="s">
        <v>1443</v>
      </c>
      <c r="B116" s="3600" t="s">
        <v>1444</v>
      </c>
      <c r="C116" s="3600" t="s">
        <v>1445</v>
      </c>
      <c r="D116" s="3613" t="s">
        <v>1446</v>
      </c>
      <c r="E116" s="3614"/>
      <c r="F116" s="3608" t="s">
        <v>1447</v>
      </c>
      <c r="G116" s="3608"/>
      <c r="H116" s="3565" t="s">
        <v>1448</v>
      </c>
      <c r="I116" s="3565"/>
    </row>
    <row r="117" spans="1:27" ht="18.75" customHeight="1">
      <c r="A117" s="3565"/>
      <c r="B117" s="3601"/>
      <c r="C117" s="3601"/>
      <c r="D117" s="2329" t="s">
        <v>1449</v>
      </c>
      <c r="E117" s="2329" t="s">
        <v>1450</v>
      </c>
      <c r="F117" s="2329" t="s">
        <v>1449</v>
      </c>
      <c r="G117" s="2329" t="s">
        <v>1451</v>
      </c>
      <c r="H117" s="2329" t="s">
        <v>1449</v>
      </c>
      <c r="I117" s="2329" t="s">
        <v>1451</v>
      </c>
    </row>
    <row r="118" spans="1:27" ht="24.75" customHeight="1">
      <c r="A118" s="2600" t="str">
        <f>项目基本情况!S2</f>
        <v>北京市怀柔区雁栖经济开发区雁栖河西路9号1号1至2层房地产</v>
      </c>
      <c r="B118" s="2329">
        <f>M18</f>
        <v>2072.9499999999998</v>
      </c>
      <c r="C118" s="2329">
        <f>M19</f>
        <v>5514.09</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701</v>
      </c>
      <c r="I118" s="2329">
        <f ca="1">ROUND(IF(D32="楼面单价",C32,H118*10000/B118),0)</f>
        <v>3382</v>
      </c>
    </row>
    <row r="119" spans="1:27" ht="18.75" customHeight="1">
      <c r="A119" s="3565" t="s">
        <v>1452</v>
      </c>
      <c r="B119" s="3565"/>
      <c r="C119" s="3565"/>
      <c r="D119" s="3605" t="str">
        <f>NUMBERSTRING(INT(D118*10000),2)&amp;"元整"</f>
        <v>零元整</v>
      </c>
      <c r="E119" s="3607"/>
      <c r="F119" s="3605" t="str">
        <f>NUMBERSTRING(INT(F118*10000),2)&amp;"元整"</f>
        <v>零元整</v>
      </c>
      <c r="G119" s="3607"/>
      <c r="H119" s="3605" t="str">
        <f ca="1">NUMBERSTRING(INT(H118*10000),2)&amp;"元整"</f>
        <v>柒佰零壹万元整</v>
      </c>
      <c r="I119" s="3607"/>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5" t="s">
        <v>1452</v>
      </c>
      <c r="B121" s="3606"/>
      <c r="C121" s="3607"/>
      <c r="D121" s="3605" t="str">
        <f>IF(D120=0,"零元整",NUMBERSTRING(INT(D120*10000),2)&amp;"元整")</f>
        <v>零元整</v>
      </c>
      <c r="E121" s="3606"/>
      <c r="F121" s="3606"/>
      <c r="G121" s="3606"/>
      <c r="H121" s="3606"/>
      <c r="I121" s="3607"/>
      <c r="AA121" s="725"/>
    </row>
    <row r="122" spans="1:27" ht="18.75" customHeight="1">
      <c r="A122" s="3596" t="str">
        <f>IF(项目基本情况!B9="房地产市场价值","",MID(E107,3,LEN(E107)-2))</f>
        <v>房地产抵押价值</v>
      </c>
      <c r="B122" s="3596"/>
      <c r="C122" s="3596"/>
      <c r="D122" s="3629">
        <f ca="1">H107</f>
        <v>701</v>
      </c>
      <c r="E122" s="3630"/>
      <c r="F122" s="3630"/>
      <c r="G122" s="3630"/>
      <c r="H122" s="3630"/>
      <c r="I122" s="3631"/>
      <c r="AA122" s="725"/>
    </row>
    <row r="123" spans="1:27" ht="18.75" customHeight="1">
      <c r="A123" s="3565" t="s">
        <v>1452</v>
      </c>
      <c r="B123" s="3565"/>
      <c r="C123" s="3565"/>
      <c r="D123" s="3605" t="str">
        <f ca="1">NUMBERSTRING(INT(D122*10000),2)&amp;"元整"</f>
        <v>柒佰零壹万元整</v>
      </c>
      <c r="E123" s="3606"/>
      <c r="F123" s="3606"/>
      <c r="G123" s="3606"/>
      <c r="H123" s="3606"/>
      <c r="I123" s="3607"/>
      <c r="AA123" s="725"/>
    </row>
    <row r="124" spans="1:27" ht="18.75" customHeight="1">
      <c r="A124" s="3596" t="str">
        <f>IF(项目基本情况!B9="房地产市场价值","",MID(E109,3,LEN(E109)-2))</f>
        <v/>
      </c>
      <c r="B124" s="3596"/>
      <c r="C124" s="3596"/>
      <c r="D124" s="3629" t="str">
        <f>H109</f>
        <v>——</v>
      </c>
      <c r="E124" s="3630"/>
      <c r="F124" s="3630"/>
      <c r="G124" s="3630"/>
      <c r="H124" s="3630"/>
      <c r="I124" s="3631"/>
      <c r="AA124" s="725"/>
    </row>
    <row r="125" spans="1:27" ht="18.75" customHeight="1">
      <c r="A125" s="3565" t="s">
        <v>1452</v>
      </c>
      <c r="B125" s="3565"/>
      <c r="C125" s="3565"/>
      <c r="D125" s="3605" t="e">
        <f>NUMBERSTRING(INT(D124*10000),2)&amp;"元整"</f>
        <v>#VALUE!</v>
      </c>
      <c r="E125" s="3606"/>
      <c r="F125" s="3606"/>
      <c r="G125" s="3606"/>
      <c r="H125" s="3606"/>
      <c r="I125" s="3607"/>
      <c r="AA125" s="725"/>
    </row>
    <row r="126" spans="1:27" ht="18.75" customHeight="1">
      <c r="A126" s="3596" t="str">
        <f>IF(项目基本情况!B9="房地产市场价值","",MID(E111,3,LEN(E111)-2))</f>
        <v/>
      </c>
      <c r="B126" s="3596"/>
      <c r="C126" s="3596"/>
      <c r="D126" s="3629" t="str">
        <f>H111</f>
        <v>——</v>
      </c>
      <c r="E126" s="3630"/>
      <c r="F126" s="3630"/>
      <c r="G126" s="3630"/>
      <c r="H126" s="3630"/>
      <c r="I126" s="3631"/>
      <c r="AA126" s="725"/>
    </row>
    <row r="127" spans="1:27" ht="18.75" customHeight="1">
      <c r="A127" s="3565" t="s">
        <v>1452</v>
      </c>
      <c r="B127" s="3565"/>
      <c r="C127" s="3565"/>
      <c r="D127" s="3605" t="e">
        <f>NUMBERSTRING(INT(D126*10000),2)&amp;"元整"</f>
        <v>#VALUE!</v>
      </c>
      <c r="E127" s="3606"/>
      <c r="F127" s="3606"/>
      <c r="G127" s="3606"/>
      <c r="H127" s="3606"/>
      <c r="I127" s="3607"/>
      <c r="AA127" s="725"/>
    </row>
    <row r="128" spans="1:27" ht="21.75" customHeight="1">
      <c r="A128" s="3612" t="s">
        <v>1453</v>
      </c>
      <c r="B128" s="3612"/>
      <c r="C128" s="3612"/>
      <c r="D128" s="3612"/>
      <c r="E128" s="3612"/>
      <c r="F128" s="3612"/>
      <c r="G128" s="3612"/>
      <c r="H128" s="3612"/>
      <c r="I128" s="361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北京市怀柔区雁栖经济开发区雁栖河西路9号1号1至2层房地产抵押价值预评估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10" sqref="C10"/>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t="s">
        <v>3394</v>
      </c>
      <c r="C1" s="198"/>
      <c r="D1" s="198"/>
      <c r="E1" s="198"/>
      <c r="F1" s="198"/>
      <c r="G1" s="1126">
        <f>MATCH(B1,'数据-取费表'!A6:A16,0)+5</f>
        <v>6</v>
      </c>
    </row>
    <row r="2" spans="1:9" s="200" customFormat="1" ht="18" customHeight="1">
      <c r="A2" s="201" t="s">
        <v>1462</v>
      </c>
      <c r="B2" s="202">
        <f ca="1">IF(D2="——",C52,C52-E2)</f>
        <v>726</v>
      </c>
      <c r="C2" s="199" t="s">
        <v>1463</v>
      </c>
      <c r="D2" s="1853" t="s">
        <v>43</v>
      </c>
      <c r="E2" s="1169">
        <f ca="1">SUMIF(INDIRECT("'"&amp;G2&amp;"'"&amp;"!A:A"),"承租人权益价值",INDIRECT("'"&amp;G2&amp;"'"&amp;"!c:c"))</f>
        <v>0</v>
      </c>
      <c r="F2" s="1854" t="s">
        <v>1463</v>
      </c>
      <c r="G2" s="1855" t="s">
        <v>3425</v>
      </c>
    </row>
    <row r="3" spans="1:9" s="200" customFormat="1" ht="18" customHeight="1" thickBot="1">
      <c r="A3" s="203" t="s">
        <v>1464</v>
      </c>
      <c r="B3" s="204">
        <f ca="1">ROUND(B2*10000/(IF(B1="",'数据-汇总表'!E3,INDIRECT("'数据-取费表'!k"&amp;$G$1))),0)</f>
        <v>3502</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207</v>
      </c>
      <c r="D5" s="211" t="s">
        <v>1469</v>
      </c>
      <c r="E5" s="212" t="s">
        <v>1470</v>
      </c>
      <c r="F5" s="212" t="s">
        <v>1471</v>
      </c>
      <c r="G5" s="213"/>
    </row>
    <row r="6" spans="1:9" s="214" customFormat="1" ht="13.5" customHeight="1">
      <c r="A6" s="778" t="s">
        <v>1472</v>
      </c>
      <c r="B6" s="215" t="s">
        <v>1473</v>
      </c>
      <c r="C6" s="216">
        <f>ROUND(基准地价修正!D33*基准地价修正!C33/10000,0)</f>
        <v>201</v>
      </c>
      <c r="D6" s="217"/>
      <c r="E6" s="218"/>
      <c r="F6" s="218"/>
      <c r="G6" s="219"/>
    </row>
    <row r="7" spans="1:9" s="214" customFormat="1" ht="13.5" customHeight="1">
      <c r="A7" s="778" t="s">
        <v>1474</v>
      </c>
      <c r="B7" s="215" t="s">
        <v>1475</v>
      </c>
      <c r="C7" s="220">
        <f>ROUND(C6*F7,0)</f>
        <v>6</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3426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80</v>
      </c>
      <c r="F9" s="221"/>
      <c r="G9" s="1857"/>
      <c r="H9" s="1137"/>
      <c r="I9" s="1858" t="s">
        <v>1479</v>
      </c>
    </row>
    <row r="10" spans="1:9" s="214" customFormat="1" ht="13.5" customHeight="1">
      <c r="A10" s="779" t="s">
        <v>356</v>
      </c>
      <c r="B10" s="224" t="s">
        <v>1480</v>
      </c>
      <c r="C10" s="225">
        <f ca="1">ROUND(D10*E10/10000,0)</f>
        <v>25</v>
      </c>
      <c r="D10" s="845">
        <f ca="1">IF(B1="",'数据-汇总表'!E6,IF(INDIRECT("'数据-取费表'!c"&amp;$G$1)="住宅",INDIRECT("'数据-取费表'!s"&amp;$G$1),INDIRECT("'数据-取费表'!k"&amp;$G$1)+INDIRECT("'数据-取费表'!s"&amp;$G$1)))</f>
        <v>2072.9499999999998</v>
      </c>
      <c r="E10" s="225">
        <f>'数据-取费表'!B28</f>
        <v>120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2072.9499999999998</v>
      </c>
      <c r="E19" s="211">
        <f>'数据-取费表'!B31</f>
        <v>200</v>
      </c>
      <c r="F19" s="231"/>
      <c r="G19" s="1856" t="s">
        <v>3427</v>
      </c>
    </row>
    <row r="20" spans="1:7" s="214" customFormat="1" ht="13.5" customHeight="1">
      <c r="A20" s="255" t="s">
        <v>1493</v>
      </c>
      <c r="B20" s="210" t="s">
        <v>1494</v>
      </c>
      <c r="C20" s="232">
        <f>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15</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21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21</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267</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476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415</v>
      </c>
      <c r="D34" s="217"/>
      <c r="E34" s="220"/>
      <c r="F34" s="257">
        <f ca="1">IF('数据-取费表'!B24=0,1,IF(B1="",'数据-取费表'!N16,INDIRECT("'数据-取费表'!n"&amp;$G$1)))</f>
        <v>1</v>
      </c>
      <c r="G34" s="219" t="s">
        <v>1526</v>
      </c>
    </row>
    <row r="35" spans="1:7" ht="13.5" customHeight="1">
      <c r="A35" s="780" t="s">
        <v>351</v>
      </c>
      <c r="B35" s="215" t="s">
        <v>1527</v>
      </c>
      <c r="C35" s="220">
        <f ca="1">ROUND(C34*F35,0)</f>
        <v>12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41</v>
      </c>
      <c r="D37" s="217">
        <f ca="1">D19</f>
        <v>2072.9499999999998</v>
      </c>
      <c r="E37" s="249">
        <f>'数据-取费表'!B35</f>
        <v>200</v>
      </c>
      <c r="F37" s="259"/>
      <c r="G37" s="261" t="s">
        <v>1532</v>
      </c>
    </row>
    <row r="38" spans="1:7" ht="13.5" customHeight="1">
      <c r="A38" s="780" t="s">
        <v>354</v>
      </c>
      <c r="B38" s="215" t="s">
        <v>1533</v>
      </c>
      <c r="C38" s="220">
        <f ca="1">ROUND(C34*F38,0)</f>
        <v>8</v>
      </c>
      <c r="D38" s="220"/>
      <c r="E38" s="220"/>
      <c r="F38" s="259">
        <f>'数据-取费表'!B36</f>
        <v>0.02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16</v>
      </c>
      <c r="D42" s="238"/>
      <c r="E42" s="238"/>
      <c r="F42" s="239"/>
      <c r="G42" s="3645" t="s">
        <v>1544</v>
      </c>
    </row>
    <row r="43" spans="1:7" ht="13.5" customHeight="1">
      <c r="A43" s="780" t="s">
        <v>347</v>
      </c>
      <c r="B43" s="215" t="s">
        <v>1545</v>
      </c>
      <c r="C43" s="238">
        <f ca="1">ROUND(IF('数据-取费表'!B22&lt;=1,C39*F22*'数据-取费表'!B21/2,C39*(POWER((1+F22),'数据-取费表'!B21/2)-1)),0)</f>
        <v>0</v>
      </c>
      <c r="D43" s="238"/>
      <c r="E43" s="238"/>
      <c r="F43" s="239"/>
      <c r="G43" s="3646"/>
    </row>
    <row r="44" spans="1:7" ht="13.5" customHeight="1">
      <c r="A44" s="780" t="s">
        <v>348</v>
      </c>
      <c r="B44" s="215" t="s">
        <v>1546</v>
      </c>
      <c r="C44" s="238">
        <f ca="1">ROUND(IF('数据-取费表'!B22&lt;=1,C40*F22*'数据-取费表'!B21/2,C40*(POWER((1+F22),'数据-取费表'!B21/2)-1)),4)</f>
        <v>6.9999999999999999E-4</v>
      </c>
      <c r="D44" s="238"/>
      <c r="E44" s="238"/>
      <c r="F44" s="239"/>
      <c r="G44" s="3647"/>
    </row>
    <row r="45" spans="1:7" s="214" customFormat="1" ht="13.5" customHeight="1">
      <c r="A45" s="255" t="s">
        <v>1547</v>
      </c>
      <c r="B45" s="244" t="s">
        <v>1513</v>
      </c>
      <c r="C45" s="245">
        <f ca="1">C46</f>
        <v>49</v>
      </c>
      <c r="D45" s="235">
        <f ca="1">C47</f>
        <v>2E-3</v>
      </c>
      <c r="E45" s="236" t="s">
        <v>1539</v>
      </c>
      <c r="F45" s="246">
        <f ca="1">F27</f>
        <v>0.1</v>
      </c>
      <c r="G45" s="247" t="s">
        <v>1548</v>
      </c>
    </row>
    <row r="46" spans="1:7" s="214" customFormat="1" ht="13.5" customHeight="1">
      <c r="A46" s="780" t="s">
        <v>346</v>
      </c>
      <c r="B46" s="248" t="s">
        <v>1549</v>
      </c>
      <c r="C46" s="249">
        <f ca="1">ROUND((C33+C39)*F27,0)</f>
        <v>49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596</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459</v>
      </c>
      <c r="D51" s="232"/>
      <c r="E51" s="232"/>
      <c r="F51" s="264"/>
      <c r="G51" s="234" t="s">
        <v>1560</v>
      </c>
    </row>
    <row r="52" spans="1:7" s="208" customFormat="1" ht="16.8" thickBot="1">
      <c r="A52" s="265" t="s">
        <v>1561</v>
      </c>
      <c r="B52" s="266"/>
      <c r="C52" s="267">
        <f ca="1">C31+C51</f>
        <v>726</v>
      </c>
      <c r="D52" s="266"/>
      <c r="E52" s="266"/>
      <c r="F52" s="266"/>
      <c r="G52" s="268"/>
    </row>
    <row r="55" spans="1:7" ht="15">
      <c r="B55" s="270" t="s">
        <v>1562</v>
      </c>
      <c r="C55" s="271"/>
    </row>
    <row r="56" spans="1:7">
      <c r="B56" s="273" t="s">
        <v>802</v>
      </c>
      <c r="C56" s="275">
        <f ca="1">1-C57</f>
        <v>0.36799999999999999</v>
      </c>
    </row>
    <row r="57" spans="1:7">
      <c r="B57" s="273" t="s">
        <v>803</v>
      </c>
      <c r="C57" s="274">
        <f ca="1">ROUND(C51/C52,3)</f>
        <v>0.63200000000000001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544.87620000000004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2629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248754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248754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1480</v>
      </c>
      <c r="C10" s="225">
        <f ca="1">ROUND(D10*E10,0)</f>
        <v>248754</v>
      </c>
      <c r="D10" s="845">
        <f ca="1">IF(B1="",'数据-汇总表'!E6,IF(INDIRECT("'数据-取费表'!c"&amp;$G$1)="住宅",INDIRECT("'数据-取费表'!s"&amp;$G$1),INDIRECT("'数据-取费表'!k"&amp;$G$1)+INDIRECT("'数据-取费表'!s"&amp;$G$1)))</f>
        <v>2072.9499999999998</v>
      </c>
      <c r="E10" s="225">
        <f>'数据-取费表'!B28</f>
        <v>120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414590</v>
      </c>
      <c r="D19" s="849">
        <f ca="1">D9+D10</f>
        <v>2072.9499999999998</v>
      </c>
      <c r="E19" s="211">
        <f>'数据-取费表'!B31</f>
        <v>200</v>
      </c>
      <c r="F19" s="231"/>
      <c r="G19" s="1856"/>
    </row>
    <row r="20" spans="1:7" s="214" customFormat="1" ht="13.5" customHeight="1">
      <c r="A20" s="255" t="s">
        <v>1574</v>
      </c>
      <c r="B20" s="210" t="s">
        <v>1575</v>
      </c>
      <c r="C20" s="232">
        <f ca="1">ROUND((C5+C19)*F20,0)</f>
        <v>13267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47018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17460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29100</v>
      </c>
      <c r="D24" s="238"/>
      <c r="E24" s="238"/>
      <c r="F24" s="239"/>
      <c r="G24" s="240" t="s">
        <v>1586</v>
      </c>
    </row>
    <row r="25" spans="1:7" s="214" customFormat="1" ht="24">
      <c r="A25" s="780" t="s">
        <v>1476</v>
      </c>
      <c r="B25" s="215" t="s">
        <v>1587</v>
      </c>
      <c r="C25" s="1128">
        <f ca="1">ROUND(IF('数据-取费表'!B22&lt;=1,C20*F22*'数据-取费表'!B22/2,C20*(POWER((1+F22),'数据-取费表'!B22/2)-1)),0)</f>
        <v>458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67661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67661</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855541</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4767785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4145900</v>
      </c>
      <c r="D34" s="217"/>
      <c r="E34" s="220"/>
      <c r="F34" s="257"/>
      <c r="G34" s="219"/>
    </row>
    <row r="35" spans="1:7" ht="13.5" customHeight="1">
      <c r="A35" s="780" t="s">
        <v>351</v>
      </c>
      <c r="B35" s="215" t="s">
        <v>1527</v>
      </c>
      <c r="C35" s="220">
        <f ca="1">ROUND(C34*F35,0)</f>
        <v>124377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414590</v>
      </c>
      <c r="D37" s="217">
        <f ca="1">D19</f>
        <v>2072.9499999999998</v>
      </c>
      <c r="E37" s="249">
        <f>'数据-取费表'!B35</f>
        <v>200</v>
      </c>
      <c r="F37" s="259"/>
      <c r="G37" s="261"/>
    </row>
    <row r="38" spans="1:7" ht="13.5" customHeight="1">
      <c r="A38" s="780" t="s">
        <v>354</v>
      </c>
      <c r="B38" s="215" t="s">
        <v>1533</v>
      </c>
      <c r="C38" s="220">
        <f ca="1">ROUND(C34*F38,0)</f>
        <v>82918</v>
      </c>
      <c r="D38" s="220"/>
      <c r="E38" s="220"/>
      <c r="F38" s="259">
        <f>'数据-取费表'!B36</f>
        <v>0.02</v>
      </c>
      <c r="G38" s="219" t="s">
        <v>1528</v>
      </c>
    </row>
    <row r="39" spans="1:7" s="214" customFormat="1" ht="13.5" customHeight="1">
      <c r="A39" s="255" t="s">
        <v>1534</v>
      </c>
      <c r="B39" s="210" t="s">
        <v>1535</v>
      </c>
      <c r="C39" s="232">
        <f ca="1">ROUND(C33*F20,0)</f>
        <v>95356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167779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164489</v>
      </c>
      <c r="D42" s="238"/>
      <c r="E42" s="238"/>
      <c r="F42" s="239"/>
      <c r="G42" s="3645" t="s">
        <v>1591</v>
      </c>
    </row>
    <row r="43" spans="1:7" ht="13.5" customHeight="1">
      <c r="A43" s="780" t="s">
        <v>347</v>
      </c>
      <c r="B43" s="215" t="s">
        <v>1545</v>
      </c>
      <c r="C43" s="238">
        <f ca="1">ROUND(IF('数据-取费表'!B22&lt;=1,C39*F22*'数据-取费表'!B20/2,C39*(POWER((1+F22),'数据-取费表'!B20/2)-1)),0)</f>
        <v>3290</v>
      </c>
      <c r="D43" s="238"/>
      <c r="E43" s="238"/>
      <c r="F43" s="239"/>
      <c r="G43" s="3646"/>
    </row>
    <row r="44" spans="1:7" ht="13.5" customHeight="1">
      <c r="A44" s="780" t="s">
        <v>348</v>
      </c>
      <c r="B44" s="215" t="s">
        <v>1546</v>
      </c>
      <c r="C44" s="238">
        <f ca="1">ROUND(IF('数据-取费表'!B22&lt;=1,C40*F22*'数据-取费表'!B20/2,C40*(POWER((1+F22),'数据-取费表'!B20/2)-1)),4)</f>
        <v>6.9999999999999999E-4</v>
      </c>
      <c r="D44" s="238"/>
      <c r="E44" s="238"/>
      <c r="F44" s="239"/>
      <c r="G44" s="3647"/>
    </row>
    <row r="45" spans="1:7" s="214" customFormat="1" ht="13.5" customHeight="1">
      <c r="A45" s="255" t="s">
        <v>1547</v>
      </c>
      <c r="B45" s="244" t="s">
        <v>1513</v>
      </c>
      <c r="C45" s="245">
        <f ca="1">C46</f>
        <v>486314</v>
      </c>
      <c r="D45" s="235">
        <f ca="1">C47</f>
        <v>2E-3</v>
      </c>
      <c r="E45" s="236" t="s">
        <v>1539</v>
      </c>
      <c r="F45" s="246">
        <f ca="1">F27</f>
        <v>0.1</v>
      </c>
      <c r="G45" s="247" t="s">
        <v>1548</v>
      </c>
    </row>
    <row r="46" spans="1:7" s="214" customFormat="1" ht="13.5" customHeight="1">
      <c r="A46" s="780" t="s">
        <v>346</v>
      </c>
      <c r="B46" s="248" t="s">
        <v>1549</v>
      </c>
      <c r="C46" s="249">
        <f ca="1">ROUND((C33+C39)*F27,0)</f>
        <v>486314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5965222</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4593221</v>
      </c>
      <c r="D51" s="232"/>
      <c r="E51" s="232"/>
      <c r="F51" s="264"/>
      <c r="G51" s="234" t="s">
        <v>1560</v>
      </c>
    </row>
    <row r="52" spans="1:7" s="208" customFormat="1" ht="16.8" thickBot="1">
      <c r="A52" s="265" t="s">
        <v>1561</v>
      </c>
      <c r="B52" s="266"/>
      <c r="C52" s="267">
        <f ca="1">C31+C51</f>
        <v>5448762</v>
      </c>
      <c r="D52" s="266"/>
      <c r="E52" s="266"/>
      <c r="F52" s="266"/>
      <c r="G52" s="268"/>
    </row>
    <row r="55" spans="1:7" ht="15">
      <c r="B55" s="270" t="s">
        <v>1562</v>
      </c>
      <c r="C55" s="271"/>
    </row>
    <row r="56" spans="1:7">
      <c r="B56" s="273" t="s">
        <v>802</v>
      </c>
      <c r="C56" s="275">
        <f ca="1">1-C57</f>
        <v>0.15700000000000003</v>
      </c>
    </row>
    <row r="57" spans="1:7">
      <c r="B57" s="273" t="s">
        <v>803</v>
      </c>
      <c r="C57" s="274">
        <f ca="1">ROUND(C51/C52,3)</f>
        <v>0.84299999999999997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2072.9499999999998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2072.9499999999998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80</v>
      </c>
      <c r="F19" s="804"/>
      <c r="G19" s="12"/>
      <c r="H19" s="1189"/>
      <c r="I19" s="809"/>
      <c r="J19" s="809"/>
      <c r="K19" s="810"/>
    </row>
    <row r="20" spans="1:33" s="803" customFormat="1" ht="13.5" customHeight="1">
      <c r="A20" s="800" t="s">
        <v>361</v>
      </c>
      <c r="B20" s="801" t="s">
        <v>1627</v>
      </c>
      <c r="C20" s="21">
        <f ca="1">ROUND(D20*E20/10000,0)</f>
        <v>25</v>
      </c>
      <c r="D20" s="846">
        <f ca="1">IF(C1="",'数据-汇总表'!E6,IF(INDIRECT("'数据-取费表'!c"&amp;$K$1)="住宅",INDIRECT("'数据-取费表'!s"&amp;$K$1),INDIRECT("'数据-取费表'!k"&amp;$K$1)+INDIRECT("'数据-取费表'!s"&amp;$K$1)))</f>
        <v>2072.9499999999998</v>
      </c>
      <c r="E20" s="21">
        <f>'数据-取费表'!B28</f>
        <v>120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84" sqref="C84"/>
    </sheetView>
  </sheetViews>
  <sheetFormatPr defaultColWidth="12" defaultRowHeight="13.2"/>
  <cols>
    <col min="1" max="1" width="9.77734375" style="2053" customWidth="1"/>
    <col min="2" max="2" width="22.554687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2072.9499999999998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26.4">
      <c r="A2" s="201" t="s">
        <v>1934</v>
      </c>
      <c r="B2" s="204">
        <f>C30</f>
        <v>201</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Ⅸ-雁栖开发区A</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1499</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970</v>
      </c>
      <c r="C3" s="1999" t="s">
        <v>1941</v>
      </c>
      <c r="D3" s="2000" t="s">
        <v>1942</v>
      </c>
      <c r="E3" s="3420" t="s">
        <v>2482</v>
      </c>
      <c r="F3" s="2004" t="s">
        <v>3424</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1155</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55"/>
      <c r="B4" s="3656"/>
      <c r="C4" s="3656"/>
      <c r="D4" s="3657"/>
      <c r="E4" s="3657"/>
      <c r="F4" s="3657"/>
      <c r="G4" s="3657"/>
      <c r="H4" s="3657"/>
      <c r="I4" s="3657"/>
      <c r="J4" s="36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942</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1080</v>
      </c>
      <c r="D5" s="1339">
        <f>ROUND(C6*C17+C20,0)</f>
        <v>1080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800</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1080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729</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52" t="s">
        <v>1960</v>
      </c>
      <c r="X8" s="36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1080</v>
      </c>
      <c r="N9" s="866">
        <f>SUMPRODUCT((因素修正幅度!B277:B326=I2)*(因素修正幅度!C3:G3=E2)*(因素修正幅度!C277:G326))</f>
        <v>0.05</v>
      </c>
      <c r="O9" s="1119"/>
      <c r="P9" s="1119"/>
      <c r="Q9" s="1119"/>
      <c r="R9" s="1212">
        <v>8</v>
      </c>
      <c r="S9" s="1213"/>
      <c r="T9" s="3361">
        <f t="shared" si="0"/>
        <v>0</v>
      </c>
      <c r="U9" s="1213"/>
      <c r="V9" s="3361">
        <f t="shared" si="1"/>
        <v>0</v>
      </c>
      <c r="W9" s="3654"/>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5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3251</v>
      </c>
      <c r="E18" s="3329"/>
      <c r="F18" s="3324" t="s">
        <v>3254</v>
      </c>
      <c r="G18" s="3328">
        <f>ROUND(1-(1/(POWER(1+G24,E18))),4)</f>
        <v>0</v>
      </c>
      <c r="H18" s="3324" t="s">
        <v>3256</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59" t="s">
        <v>3257</v>
      </c>
      <c r="B20" s="167" t="s">
        <v>1994</v>
      </c>
      <c r="C20" s="3325">
        <f>ROUND(IF(F21="与级别开发程度一致",0,(G21-E21)/C21),0)</f>
        <v>0</v>
      </c>
      <c r="D20" s="3341" t="s">
        <v>1998</v>
      </c>
      <c r="E20" s="3342"/>
      <c r="F20" s="3665" t="s">
        <v>1995</v>
      </c>
      <c r="G20" s="3666"/>
      <c r="H20" s="3326" t="s">
        <v>3413</v>
      </c>
      <c r="I20" s="3326" t="s">
        <v>3414</v>
      </c>
      <c r="J20" s="3327" t="s">
        <v>3415</v>
      </c>
      <c r="K20" s="2047" t="s">
        <v>3416</v>
      </c>
      <c r="L20" s="2047" t="s">
        <v>3417</v>
      </c>
      <c r="M20" s="2047" t="s">
        <v>3418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60"/>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3419</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2002</v>
      </c>
      <c r="E23" s="761">
        <v>44197</v>
      </c>
      <c r="F23" s="2054" t="s">
        <v>2003</v>
      </c>
      <c r="G23" s="762">
        <f>'数据-取费表'!B2</f>
        <v>45442</v>
      </c>
      <c r="H23" s="3343" t="s">
        <v>3259</v>
      </c>
      <c r="I23" s="3344" t="str">
        <f>IF(H23="季度增幅（自定义）",SUMIF(N25:N28,E2,O25:O28),"")</f>
        <v/>
      </c>
      <c r="J23" s="3446" t="s">
        <v>3258</v>
      </c>
      <c r="K23" s="1125"/>
      <c r="L23" s="2055" t="s">
        <v>2004</v>
      </c>
      <c r="M23" s="1328">
        <f>ROUND(SUMIF(地价!B2:G2,E2,地价!B16:G16),0)</f>
        <v>318</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0.83130000000000004</v>
      </c>
      <c r="D24" s="2060" t="s">
        <v>2007</v>
      </c>
      <c r="E24" s="1335">
        <f>存贷款利率!E24/100</f>
        <v>4.3499999999999997E-2</v>
      </c>
      <c r="F24" s="2060" t="s">
        <v>1999</v>
      </c>
      <c r="G24" s="768">
        <f>SUMIF(M30:Q30,E2,M33:Q33)</f>
        <v>0.05</v>
      </c>
      <c r="H24" s="2060" t="s">
        <v>2008</v>
      </c>
      <c r="I24" s="769">
        <f>SUMIF('数据-取费表'!C6:C15,E2,'数据-取费表'!F6:F15)/COUNTIF('数据-取费表'!C6:C15,E2)</f>
        <v>29.15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3338</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3260</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1.0081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201</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972</v>
      </c>
      <c r="D33" s="2098">
        <f>'数据-基础表'!I13</f>
        <v>2072.9499999999998</v>
      </c>
      <c r="E33" s="773">
        <f>ROUND(C33*D33/10000,0)</f>
        <v>201</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146</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63"/>
      <c r="B37" s="2113" t="s">
        <v>2036</v>
      </c>
      <c r="C37" s="175">
        <f>ROUND(D5*C22*C23*C24*C28*F37,0)</f>
        <v>486</v>
      </c>
      <c r="D37" s="2098"/>
      <c r="E37" s="171">
        <f>ROUND(C37*D37/10000,0)</f>
        <v>0</v>
      </c>
      <c r="F37" s="171">
        <f>SUMIF(修正!A57:A68,G2,修正!B57:B68)</f>
        <v>0.5</v>
      </c>
      <c r="G37" s="171">
        <f>ROUND(IF(E2="工业",C37*$M$42,C37*$M$41),0)</f>
        <v>73</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4"/>
      <c r="B38" s="2041" t="s">
        <v>2037</v>
      </c>
      <c r="C38" s="175">
        <f>ROUND(D5*C22*C23*C24*C28*F38,0)</f>
        <v>194</v>
      </c>
      <c r="D38" s="2098"/>
      <c r="E38" s="171">
        <f t="shared" ref="E38:E42" si="4">ROUND(C38*D38/10000,0)</f>
        <v>0</v>
      </c>
      <c r="F38" s="171">
        <f>SUMIF(修正!A57:A68,G2,修正!C57:C68)</f>
        <v>0.2</v>
      </c>
      <c r="G38" s="171">
        <f>ROUND(IF(E2="工业",C38*$M$42,C38*$M$41),0)</f>
        <v>29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64"/>
      <c r="B39" s="2041" t="s">
        <v>3262</v>
      </c>
      <c r="C39" s="175">
        <f>ROUND(D5*C22*C23*C24*C28*F39,0)</f>
        <v>194</v>
      </c>
      <c r="D39" s="2098"/>
      <c r="E39" s="171">
        <f t="shared" si="4"/>
        <v>0</v>
      </c>
      <c r="F39" s="171">
        <f>SUMIF(修正!A57:A68,G2,修正!D57:D68)</f>
        <v>0.2</v>
      </c>
      <c r="G39" s="171">
        <f>ROUND(IF(E2="工业",C39*$M$42,C39*$M$41),0)</f>
        <v>29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194</v>
      </c>
      <c r="D40" s="2098"/>
      <c r="E40" s="171">
        <f t="shared" si="4"/>
        <v>0</v>
      </c>
      <c r="F40" s="175">
        <f>SUMIF(修正!A57:A68,G2,修正!E57:E68)</f>
        <v>0.2</v>
      </c>
      <c r="G40" s="171">
        <f>ROUND(IF(E2="工业",C40*$M$42,C40*$M$41),0)</f>
        <v>29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hidden="1">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1.0081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t="s">
        <v>3420</v>
      </c>
      <c r="D83" s="1065">
        <f t="shared" ref="D83:D90" si="22">SUMIF($J$82:$N$82,C83,J83:N83)</f>
        <v>6.4999999999999997E-3</v>
      </c>
      <c r="E83" s="744">
        <f>ROUND(SUM(D83:D90),4)</f>
        <v>8.0999999999999996E-3</v>
      </c>
      <c r="F83" s="1814">
        <f>IF(E2="工业",SUMIF(L1:L12,G2,N1:N12),"——")</f>
        <v>0.05</v>
      </c>
      <c r="G83" s="3460">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t="s">
        <v>3421</v>
      </c>
      <c r="D84" s="1065">
        <f t="shared" si="22"/>
        <v>0</v>
      </c>
      <c r="E84" s="747"/>
      <c r="F84" s="1814"/>
      <c r="G84" s="3460">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48">
      <c r="A85" s="3369" t="s">
        <v>3273</v>
      </c>
      <c r="B85" s="2134">
        <f>估价对象房地状况!G17</f>
        <v>0</v>
      </c>
      <c r="C85" s="2044" t="s">
        <v>3420</v>
      </c>
      <c r="D85" s="1065">
        <f t="shared" si="22"/>
        <v>2.5000000000000001E-3</v>
      </c>
      <c r="E85" s="747"/>
      <c r="F85" s="1814"/>
      <c r="G85" s="3460">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3.8">
      <c r="A86" s="2130" t="s">
        <v>2067</v>
      </c>
      <c r="B86" s="2134">
        <f>估价对象房地状况!G22</f>
        <v>0</v>
      </c>
      <c r="C86" s="2044" t="s">
        <v>3422</v>
      </c>
      <c r="D86" s="1065">
        <f t="shared" si="22"/>
        <v>-2.3999999999999998E-3</v>
      </c>
      <c r="E86" s="747"/>
      <c r="F86" s="1814"/>
      <c r="G86" s="3460">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6.4">
      <c r="A87" s="2130" t="s">
        <v>2059</v>
      </c>
      <c r="B87" s="1326" t="str">
        <f>估价对象房地状况!G19</f>
        <v>估价对象所在区域公共配套设施齐备情况</v>
      </c>
      <c r="C87" s="2044" t="s">
        <v>3421</v>
      </c>
      <c r="D87" s="1065">
        <f t="shared" si="22"/>
        <v>0</v>
      </c>
      <c r="E87" s="747"/>
      <c r="F87" s="1814"/>
      <c r="G87" s="3460">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6.4">
      <c r="A88" s="2130" t="s">
        <v>2060</v>
      </c>
      <c r="B88" s="1326" t="str">
        <f>估价对象房地状况!G20</f>
        <v>估价对象所在区域基础设施水平</v>
      </c>
      <c r="C88" s="2044" t="s">
        <v>3421</v>
      </c>
      <c r="D88" s="1065">
        <f t="shared" si="22"/>
        <v>0</v>
      </c>
      <c r="E88" s="747"/>
      <c r="F88" s="1814"/>
      <c r="G88" s="3460">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36">
      <c r="A89" s="2130" t="s">
        <v>2057</v>
      </c>
      <c r="B89" s="3459" t="s">
        <v>3423</v>
      </c>
      <c r="C89" s="2044" t="s">
        <v>3420</v>
      </c>
      <c r="D89" s="1065">
        <f t="shared" si="22"/>
        <v>1.5E-3</v>
      </c>
      <c r="E89" s="747"/>
      <c r="F89" s="1814"/>
      <c r="G89" s="3460">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40.200000000000003" thickBot="1">
      <c r="A90" s="2138" t="s">
        <v>2071</v>
      </c>
      <c r="B90" s="2143" t="str">
        <f>估价对象房地状况!G18</f>
        <v>该园区内是否有污染型企业，绿化情况，卫生条件，整体环境状况判断</v>
      </c>
      <c r="C90" s="2044" t="s">
        <v>3421</v>
      </c>
      <c r="D90" s="1065">
        <f t="shared" si="22"/>
        <v>0</v>
      </c>
      <c r="E90" s="748"/>
      <c r="F90" s="1814"/>
      <c r="G90" s="3460">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3.8">
      <c r="A91" s="3377" t="s">
        <v>2615</v>
      </c>
      <c r="B91" s="3378">
        <f>1+E93</f>
        <v>1</v>
      </c>
      <c r="C91" s="3371"/>
      <c r="D91" s="3372"/>
      <c r="E91" s="1814"/>
      <c r="F91" s="1814"/>
      <c r="G91" s="3373"/>
      <c r="H91" s="3374"/>
      <c r="I91" s="3375"/>
      <c r="J91" s="3376"/>
      <c r="K91" s="3376"/>
      <c r="L91" s="3376"/>
      <c r="M91" s="3376"/>
      <c r="N91" s="3376"/>
    </row>
    <row r="92" spans="1:37" ht="25.2">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61" t="s">
        <v>3297</v>
      </c>
      <c r="B103" s="3661"/>
      <c r="C103" s="3661"/>
      <c r="D103" s="3661"/>
      <c r="E103" s="3661"/>
      <c r="F103" s="3661"/>
      <c r="G103" s="3661"/>
      <c r="H103" s="3661"/>
      <c r="I103" s="3661"/>
      <c r="J103" s="3661"/>
      <c r="K103" s="3390"/>
      <c r="L103" s="3390"/>
      <c r="M103" s="3390"/>
      <c r="N103" s="3390"/>
    </row>
    <row r="104" spans="1:14">
      <c r="A104" s="3662" t="s">
        <v>3298</v>
      </c>
      <c r="B104" s="3662" t="s">
        <v>3299</v>
      </c>
      <c r="C104" s="3391" t="s">
        <v>3300</v>
      </c>
      <c r="D104" s="3392"/>
      <c r="E104" s="3392"/>
      <c r="F104" s="3392"/>
      <c r="G104" s="3392"/>
      <c r="H104" s="3392"/>
      <c r="I104" s="3392"/>
      <c r="J104" s="3393"/>
      <c r="K104" s="3394"/>
      <c r="L104" s="3394"/>
      <c r="M104" s="3394"/>
      <c r="N104" s="3394"/>
    </row>
    <row r="105" spans="1:14">
      <c r="A105" s="3662"/>
      <c r="B105" s="3662"/>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648"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9"/>
      <c r="B111" s="3395" t="s">
        <v>3271</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5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51" t="s">
        <v>3314</v>
      </c>
      <c r="B113" s="3651"/>
      <c r="C113" s="3651"/>
      <c r="D113" s="3651"/>
      <c r="E113" s="3651"/>
      <c r="F113" s="3651"/>
      <c r="G113" s="3651"/>
      <c r="H113" s="3651"/>
      <c r="I113" s="3651"/>
      <c r="J113" s="365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3315</v>
      </c>
      <c r="B116" s="3416">
        <f>G3</f>
        <v>1</v>
      </c>
      <c r="C116" s="3400" t="s">
        <v>3316</v>
      </c>
      <c r="D116" s="3401">
        <f>SUMPRODUCT((A118:A122=F116)*(B117:M117=H116)*B118:M122)</f>
        <v>0.57150000000000001</v>
      </c>
      <c r="E116" s="2000" t="s">
        <v>3317</v>
      </c>
      <c r="F116" s="3402" t="str">
        <f>E2</f>
        <v>工业</v>
      </c>
      <c r="G116" s="2000" t="s">
        <v>3318</v>
      </c>
      <c r="H116" s="3402" t="str">
        <f>G2</f>
        <v>九级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3332</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3333</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8" thickBot="1">
      <c r="A121" s="3412" t="s">
        <v>3334</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7" priority="7" stopIfTrue="1" operator="notEqual">
      <formula>"——"</formula>
    </cfRule>
  </conditionalFormatting>
  <conditionalFormatting sqref="F61">
    <cfRule type="cellIs" dxfId="166" priority="6" stopIfTrue="1" operator="notEqual">
      <formula>"——"</formula>
    </cfRule>
  </conditionalFormatting>
  <conditionalFormatting sqref="F72">
    <cfRule type="cellIs" dxfId="165" priority="5" stopIfTrue="1" operator="notEqual">
      <formula>"——"</formula>
    </cfRule>
  </conditionalFormatting>
  <conditionalFormatting sqref="F83">
    <cfRule type="cellIs" dxfId="164" priority="4" stopIfTrue="1" operator="notEqual">
      <formula>"——"</formula>
    </cfRule>
  </conditionalFormatting>
  <conditionalFormatting sqref="H50:H58 H61:H69 H72:H80 H83:H91">
    <cfRule type="cellIs" dxfId="163" priority="3" operator="notEqual">
      <formula>"——"</formula>
    </cfRule>
  </conditionalFormatting>
  <conditionalFormatting sqref="H93:H101">
    <cfRule type="cellIs" dxfId="162" priority="2" operator="notEqual">
      <formula>"——"</formula>
    </cfRule>
  </conditionalFormatting>
  <conditionalFormatting sqref="G83:G90">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1" sqref="J5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3394</v>
      </c>
      <c r="D1" s="1362" t="s">
        <v>43</v>
      </c>
      <c r="E1" s="1363" t="s">
        <v>678</v>
      </c>
      <c r="F1" s="1062">
        <f ca="1">J53</f>
        <v>29.15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676</v>
      </c>
      <c r="C2" s="1387" t="s">
        <v>805</v>
      </c>
      <c r="D2" s="1387"/>
      <c r="E2" s="1388"/>
      <c r="F2" s="1389"/>
      <c r="G2" s="2706"/>
      <c r="H2" s="2695"/>
      <c r="I2" s="2695"/>
      <c r="J2" s="2695"/>
      <c r="K2" s="2696"/>
      <c r="L2" s="2695"/>
      <c r="M2" s="2695"/>
    </row>
    <row r="3" spans="1:37" ht="18" customHeight="1" thickBot="1">
      <c r="A3" s="1390" t="s">
        <v>806</v>
      </c>
      <c r="B3" s="1391">
        <f ca="1">IF(ISERROR(B2*10000/F43),0,ROUND(B2*10000/F43,0))</f>
        <v>3261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54</v>
      </c>
      <c r="D5" s="1364" t="s">
        <v>693</v>
      </c>
      <c r="E5" s="1071"/>
      <c r="F5" s="1072"/>
      <c r="G5" s="1384"/>
      <c r="H5" s="299">
        <v>1</v>
      </c>
      <c r="I5" s="300" t="s">
        <v>692</v>
      </c>
      <c r="J5" s="1070">
        <f ca="1">J6+J10+J12</f>
        <v>0</v>
      </c>
      <c r="K5" s="1364" t="s">
        <v>693</v>
      </c>
      <c r="L5" s="1071"/>
      <c r="M5" s="1072"/>
    </row>
    <row r="6" spans="1:37" ht="18" customHeight="1">
      <c r="A6" s="1069" t="s">
        <v>398</v>
      </c>
      <c r="B6" s="3669" t="s">
        <v>694</v>
      </c>
      <c r="C6" s="1074">
        <f ca="1">ROUND(F6*F8*F7*(1-F9)/10000,0)</f>
        <v>54</v>
      </c>
      <c r="D6" s="155" t="s">
        <v>2108</v>
      </c>
      <c r="E6" s="302" t="s">
        <v>696</v>
      </c>
      <c r="F6" s="303">
        <f ca="1">INDIRECT("'数据-取费表'!u"&amp;$G$1)</f>
        <v>0.8</v>
      </c>
      <c r="G6" s="1384"/>
      <c r="H6" s="1069" t="s">
        <v>398</v>
      </c>
      <c r="I6" s="3669" t="s">
        <v>694</v>
      </c>
      <c r="J6" s="301">
        <f ca="1">ROUND(M6*M8*M7*(1-M9)/10000,0)</f>
        <v>0</v>
      </c>
      <c r="K6" s="155" t="s">
        <v>2107</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2072.9499999999998</v>
      </c>
      <c r="G7" s="1384"/>
      <c r="H7" s="304"/>
      <c r="I7" s="3670"/>
      <c r="J7" s="306"/>
      <c r="K7" s="307"/>
      <c r="L7" s="302" t="s">
        <v>697</v>
      </c>
      <c r="M7" s="303">
        <f ca="1">F7</f>
        <v>2072.9499999999998</v>
      </c>
    </row>
    <row r="8" spans="1:37" ht="18" customHeight="1">
      <c r="A8" s="304"/>
      <c r="B8" s="3670"/>
      <c r="C8" s="306"/>
      <c r="D8" s="307"/>
      <c r="E8" s="302" t="s">
        <v>698</v>
      </c>
      <c r="F8" s="303">
        <f ca="1">INDIRECT("'数据-取费表'!ai"&amp;$G$1)</f>
        <v>365</v>
      </c>
      <c r="G8" s="1384"/>
      <c r="H8" s="304"/>
      <c r="I8" s="3670"/>
      <c r="J8" s="306"/>
      <c r="K8" s="307"/>
      <c r="L8" s="302" t="s">
        <v>698</v>
      </c>
      <c r="M8" s="303">
        <f ca="1">INDIRECT("'数据-取费表'!ai"&amp;$G$1)</f>
        <v>365</v>
      </c>
    </row>
    <row r="9" spans="1:37" ht="18" customHeight="1">
      <c r="A9" s="304"/>
      <c r="B9" s="3671"/>
      <c r="C9" s="306"/>
      <c r="D9" s="307"/>
      <c r="E9" s="302" t="s">
        <v>699</v>
      </c>
      <c r="F9" s="312">
        <f ca="1">INDIRECT("'数据-取费表'!w"&amp;$G$1)</f>
        <v>0.1</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3428</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459</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415</v>
      </c>
      <c r="D14" s="1345" t="s">
        <v>708</v>
      </c>
      <c r="E14" s="1342"/>
      <c r="F14" s="319"/>
      <c r="G14" s="1384"/>
      <c r="H14" s="982" t="s">
        <v>398</v>
      </c>
      <c r="I14" s="302" t="s">
        <v>709</v>
      </c>
      <c r="J14" s="21">
        <f ca="1">C29</f>
        <v>596</v>
      </c>
      <c r="K14" s="12"/>
      <c r="L14" s="807"/>
      <c r="M14" s="808"/>
    </row>
    <row r="15" spans="1:37" s="1397" customFormat="1" ht="18" customHeight="1" thickBot="1">
      <c r="A15" s="982" t="s">
        <v>399</v>
      </c>
      <c r="B15" s="302" t="s">
        <v>710</v>
      </c>
      <c r="C15" s="21">
        <f ca="1">ROUND(C14*F15,0)</f>
        <v>12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v>
      </c>
      <c r="K16" s="1087" t="s">
        <v>715</v>
      </c>
      <c r="L16" s="1088"/>
      <c r="M16" s="1072"/>
    </row>
    <row r="17" spans="1:37" s="1397" customFormat="1" ht="18" customHeight="1">
      <c r="A17" s="982" t="s">
        <v>681</v>
      </c>
      <c r="B17" s="302" t="s">
        <v>716</v>
      </c>
      <c r="C17" s="21">
        <f ca="1">ROUND(F17*(F43+INDIRECT("'数据-取费表'!S"&amp;$G$1))/10000,0)</f>
        <v>41</v>
      </c>
      <c r="D17" s="302" t="s">
        <v>717</v>
      </c>
      <c r="E17" s="302" t="s">
        <v>718</v>
      </c>
      <c r="F17" s="23">
        <f>'数据-取费表'!B35</f>
        <v>200</v>
      </c>
      <c r="G17" s="1396"/>
      <c r="H17" s="982" t="s">
        <v>398</v>
      </c>
      <c r="I17" s="302" t="s">
        <v>719</v>
      </c>
      <c r="J17" s="2316">
        <f ca="1">ROUND(IF(AND(项目基本情况!B11="自然人",项目基本情况!B10="北京市"),J6*M17/(1+'数据-取费表'!C42),J18+J19+J20),2)</f>
        <v>0.83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476</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10</v>
      </c>
      <c r="D20" s="323" t="s">
        <v>729</v>
      </c>
      <c r="E20" s="302" t="s">
        <v>712</v>
      </c>
      <c r="F20" s="322">
        <f>'数据-取费表'!B37</f>
        <v>0.02</v>
      </c>
      <c r="G20" s="1396"/>
      <c r="H20" s="982" t="s">
        <v>680</v>
      </c>
      <c r="I20" s="155" t="s">
        <v>730</v>
      </c>
      <c r="J20" s="22">
        <f ca="1">ROUND(M20*M21/10000,2)</f>
        <v>0.83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5514.09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8.94</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-10</v>
      </c>
      <c r="K25" s="1095" t="s">
        <v>753</v>
      </c>
      <c r="L25" s="1096"/>
      <c r="M25" s="1097"/>
    </row>
    <row r="26" spans="1:37">
      <c r="A26" s="982" t="s">
        <v>397</v>
      </c>
      <c r="B26" s="302" t="s">
        <v>754</v>
      </c>
      <c r="C26" s="21">
        <f ca="1">ROUND((C19+C20)*F26,0)</f>
        <v>49</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596</v>
      </c>
      <c r="D29" s="1092"/>
      <c r="E29" s="1090"/>
      <c r="F29" s="1093"/>
      <c r="G29" s="1396"/>
      <c r="H29" s="334" t="s">
        <v>396</v>
      </c>
      <c r="I29" s="335" t="s">
        <v>768</v>
      </c>
      <c r="J29" s="336">
        <f ca="1">ROUND(J26/(1+F40)^F41,0)</f>
        <v>0</v>
      </c>
      <c r="K29" s="337" t="s">
        <v>769</v>
      </c>
      <c r="L29" s="338"/>
      <c r="M29" s="339">
        <f ca="1">INDIRECT("'数据-取费表'!k"&amp;$G$1)</f>
        <v>2072.9499999999998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9.83</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2.83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6.17</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0.83</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5514.09</v>
      </c>
      <c r="G35" s="1384"/>
      <c r="H35" s="2697"/>
      <c r="I35" s="1398"/>
      <c r="J35" s="1399"/>
      <c r="K35" s="2701"/>
      <c r="L35" s="2700"/>
      <c r="M35" s="2700"/>
    </row>
    <row r="36" spans="1:18" ht="18" customHeight="1">
      <c r="A36" s="1102" t="s">
        <v>402</v>
      </c>
      <c r="B36" s="302" t="s">
        <v>738</v>
      </c>
      <c r="C36" s="21">
        <f ca="1">ROUND(C29*F36,2)</f>
        <v>8.94</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0.69</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0.54</v>
      </c>
      <c r="D38" s="1092" t="s">
        <v>748</v>
      </c>
      <c r="E38" s="1090" t="s">
        <v>744</v>
      </c>
      <c r="F38" s="1086">
        <f ca="1">INDIRECT("'数据-取费表'!Am"&amp;$G$1)</f>
        <v>0.01</v>
      </c>
      <c r="G38" s="1384"/>
      <c r="H38" s="2700">
        <f ca="1">C39/C5</f>
        <v>0.62962962962962965</v>
      </c>
      <c r="I38" s="1398"/>
      <c r="J38" s="1399"/>
      <c r="K38" s="2704"/>
      <c r="L38" s="2700"/>
      <c r="M38" s="2700"/>
    </row>
    <row r="39" spans="1:18" ht="24.6" customHeight="1" thickTop="1">
      <c r="A39" s="1079" t="s">
        <v>394</v>
      </c>
      <c r="B39" s="1094" t="s">
        <v>772</v>
      </c>
      <c r="C39" s="310">
        <f ca="1">C5-C30</f>
        <v>34</v>
      </c>
      <c r="D39" s="1095" t="s">
        <v>773</v>
      </c>
      <c r="E39" s="1096"/>
      <c r="F39" s="1097"/>
      <c r="G39" s="1384"/>
      <c r="H39" s="2700"/>
      <c r="I39" s="1398"/>
      <c r="J39" s="1399"/>
      <c r="K39" s="2704"/>
      <c r="L39" s="2700"/>
      <c r="M39" s="2700"/>
    </row>
    <row r="40" spans="1:18" ht="18" customHeight="1">
      <c r="A40" s="299" t="s">
        <v>395</v>
      </c>
      <c r="B40" s="300" t="s">
        <v>774</v>
      </c>
      <c r="C40" s="301">
        <f ca="1">ROUND(C39*(1-((1+F42)/(1+F40))^F41)/(F40-F42),0)</f>
        <v>646</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29.15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3116</v>
      </c>
      <c r="D43" s="337" t="s">
        <v>777</v>
      </c>
      <c r="E43" s="338" t="s">
        <v>778</v>
      </c>
      <c r="F43" s="339">
        <f ca="1">INDIRECT("'数据-取费表'!k"&amp;$G$1)</f>
        <v>2072.9499999999998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f ca="1">C68-C40</f>
        <v>-813</v>
      </c>
      <c r="D46" s="1406" t="str">
        <f>C2</f>
        <v>万元</v>
      </c>
      <c r="E46" s="1400"/>
      <c r="F46" s="1400"/>
      <c r="I46" s="1407" t="s">
        <v>810</v>
      </c>
      <c r="J46" s="1408"/>
      <c r="K46" s="1409"/>
      <c r="L46" s="1410">
        <f ca="1">IF(M47="住宅",0,IF(L48&gt;J51,L60,J60))</f>
        <v>30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3429</v>
      </c>
      <c r="K47" s="1416" t="s">
        <v>816</v>
      </c>
      <c r="L47" s="1417">
        <f ca="1">INDIRECT("'数据-取费表'!d"&amp;$G$1)</f>
        <v>50</v>
      </c>
      <c r="M47" s="1380" t="str">
        <f>IF(ISNUMBER(FIND("住宅",C1)),"住宅","非住宅")</f>
        <v>非住宅</v>
      </c>
      <c r="O47" s="1418" t="s">
        <v>403</v>
      </c>
      <c r="P47" s="1419" t="s">
        <v>817</v>
      </c>
      <c r="Q47" s="1420">
        <f ca="1">C40+J29</f>
        <v>646</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3430</v>
      </c>
      <c r="K48" s="1423" t="s">
        <v>820</v>
      </c>
      <c r="L48" s="1424">
        <f ca="1">INDIRECT("'数据-取费表'!f"&amp;$G$1)</f>
        <v>29.15</v>
      </c>
      <c r="O48" s="1418" t="s">
        <v>404</v>
      </c>
      <c r="P48" s="1419" t="s">
        <v>821</v>
      </c>
      <c r="Q48" s="1420">
        <f ca="1">J60</f>
        <v>30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f>'数据-取费表'!M19</f>
        <v>2005</v>
      </c>
      <c r="K49" s="1423" t="s">
        <v>824</v>
      </c>
      <c r="L49" s="1427"/>
      <c r="O49" s="1428" t="s">
        <v>405</v>
      </c>
      <c r="P49" s="1419" t="s">
        <v>825</v>
      </c>
      <c r="Q49" s="1420">
        <f ca="1">C29</f>
        <v>596</v>
      </c>
      <c r="R49" s="1420" t="s">
        <v>818</v>
      </c>
    </row>
    <row r="50" spans="1:18" s="1384" customFormat="1" ht="13.8" thickBot="1">
      <c r="A50" s="976"/>
      <c r="B50" s="979"/>
      <c r="C50" s="1118"/>
      <c r="D50" s="953"/>
      <c r="E50" s="1056" t="s">
        <v>697</v>
      </c>
      <c r="F50" s="1057">
        <f ca="1">F7</f>
        <v>2072.9499999999998</v>
      </c>
      <c r="H50" s="723"/>
      <c r="I50" s="1421" t="s">
        <v>826</v>
      </c>
      <c r="J50" s="1429">
        <f>SUMPRODUCT((I63:I65=J47)*(J62:L62=J48)*(J63:L65))</f>
        <v>80</v>
      </c>
      <c r="K50" s="1423" t="s">
        <v>827</v>
      </c>
      <c r="L50" s="1427"/>
      <c r="M50" s="1430"/>
      <c r="O50" s="1428" t="s">
        <v>406</v>
      </c>
      <c r="P50" s="1419" t="s">
        <v>828</v>
      </c>
      <c r="Q50" s="1431">
        <f ca="1">J58</f>
        <v>0.41</v>
      </c>
      <c r="R50" s="1420"/>
    </row>
    <row r="51" spans="1:18" s="1384" customFormat="1" ht="13.8" thickBot="1">
      <c r="A51" s="977"/>
      <c r="B51" s="979"/>
      <c r="C51" s="980"/>
      <c r="D51" s="953"/>
      <c r="E51" s="981" t="s">
        <v>698</v>
      </c>
      <c r="F51" s="303">
        <f ca="1">F8</f>
        <v>365</v>
      </c>
      <c r="I51" s="1432" t="s">
        <v>829</v>
      </c>
      <c r="J51" s="1433">
        <f>IF(J49="",J50,J49+J50-YEAR('数据-取费表'!B2))</f>
        <v>61</v>
      </c>
      <c r="K51" s="1434" t="s">
        <v>830</v>
      </c>
      <c r="L51" s="1435">
        <f ca="1">ROUND(-PV(INDIRECT("'数据-取费表'!h"&amp;$G$1),J51,(C39-C13*C76),0),0)</f>
        <v>86</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29.15</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29.15</v>
      </c>
      <c r="K53" s="3667" t="s">
        <v>837</v>
      </c>
      <c r="L53" s="3668"/>
      <c r="O53" s="1418" t="s">
        <v>409</v>
      </c>
      <c r="P53" s="1419" t="s">
        <v>838</v>
      </c>
      <c r="Q53" s="1420">
        <f ca="1">Q47+Q48</f>
        <v>676</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0.41</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459</v>
      </c>
      <c r="D56" s="1447"/>
      <c r="E56" s="1448"/>
      <c r="F56" s="1440"/>
      <c r="I56" s="1449" t="s">
        <v>842</v>
      </c>
      <c r="J56" s="1450" t="s">
        <v>3431</v>
      </c>
      <c r="K56" s="1421" t="s">
        <v>843</v>
      </c>
      <c r="L56" s="1424" t="str">
        <f ca="1">IF(L48&lt;J51,"——",L48-J53)</f>
        <v>——</v>
      </c>
      <c r="O56" s="1418" t="s">
        <v>403</v>
      </c>
      <c r="P56" s="1419" t="s">
        <v>817</v>
      </c>
      <c r="Q56" s="1420">
        <f ca="1">C40+J29</f>
        <v>646</v>
      </c>
      <c r="R56" s="1420" t="s">
        <v>818</v>
      </c>
    </row>
    <row r="57" spans="1:18" s="1384" customFormat="1" ht="24.6" thickBot="1">
      <c r="A57" s="1451"/>
      <c r="B57" s="950" t="s">
        <v>767</v>
      </c>
      <c r="C57" s="238">
        <f ca="1">C29</f>
        <v>596</v>
      </c>
      <c r="D57" s="1452"/>
      <c r="E57" s="1453"/>
      <c r="F57" s="1454"/>
      <c r="I57" s="1455" t="s">
        <v>844</v>
      </c>
      <c r="J57" s="1456">
        <f ca="1">IF(OR(M47="住宅",J51&lt;L48,J56="是"),"——",J51-L48)</f>
        <v>31.85</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11</v>
      </c>
      <c r="D58" s="960" t="s">
        <v>715</v>
      </c>
      <c r="E58" s="961"/>
      <c r="F58" s="962"/>
      <c r="I58" s="1455" t="s">
        <v>848</v>
      </c>
      <c r="J58" s="1457">
        <f ca="1">IF(J55&lt;0.4,0.4,J55)</f>
        <v>0.41</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0.83</v>
      </c>
      <c r="D62" s="965" t="s">
        <v>786</v>
      </c>
      <c r="E62" s="950" t="s">
        <v>787</v>
      </c>
      <c r="F62" s="325">
        <f t="shared" si="0"/>
        <v>1.5</v>
      </c>
      <c r="I62" s="1462" t="s">
        <v>858</v>
      </c>
      <c r="J62" s="1463" t="s">
        <v>859</v>
      </c>
      <c r="K62" s="1463" t="s">
        <v>860</v>
      </c>
      <c r="L62" s="1463" t="s">
        <v>861</v>
      </c>
      <c r="M62" s="1464" t="s">
        <v>862</v>
      </c>
      <c r="O62" s="1418" t="s">
        <v>409</v>
      </c>
      <c r="P62" s="1419" t="s">
        <v>863</v>
      </c>
      <c r="Q62" s="1420">
        <f ca="1">Q56+Q57</f>
        <v>646</v>
      </c>
      <c r="R62" s="1420" t="s">
        <v>410</v>
      </c>
    </row>
    <row r="63" spans="1:18" s="1384" customFormat="1" ht="13.8" thickBot="1">
      <c r="A63" s="326"/>
      <c r="B63" s="956"/>
      <c r="C63" s="26"/>
      <c r="D63" s="966"/>
      <c r="E63" s="950" t="s">
        <v>788</v>
      </c>
      <c r="F63" s="303">
        <f t="shared" ca="1" si="0"/>
        <v>5514.09</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8.94</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0.69</v>
      </c>
      <c r="D65" s="964" t="s">
        <v>743</v>
      </c>
      <c r="E65" s="950" t="s">
        <v>744</v>
      </c>
      <c r="F65" s="330">
        <f t="shared" ca="1" si="0"/>
        <v>1.5E-3</v>
      </c>
      <c r="I65" s="1462" t="s">
        <v>867</v>
      </c>
      <c r="J65" s="1463">
        <v>40</v>
      </c>
      <c r="K65" s="1463">
        <v>30</v>
      </c>
      <c r="L65" s="1463">
        <v>50</v>
      </c>
      <c r="M65" s="1465">
        <v>0.02</v>
      </c>
      <c r="O65" s="1418" t="s">
        <v>403</v>
      </c>
      <c r="P65" s="1419" t="s">
        <v>868</v>
      </c>
      <c r="Q65" s="1420">
        <f ca="1">C40+J29</f>
        <v>646</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-11</v>
      </c>
      <c r="D67" s="963" t="s">
        <v>753</v>
      </c>
      <c r="E67" s="968"/>
      <c r="F67" s="969"/>
      <c r="O67" s="1428" t="s">
        <v>405</v>
      </c>
      <c r="P67" s="1419" t="s">
        <v>850</v>
      </c>
      <c r="Q67" s="1466">
        <f ca="1">L51</f>
        <v>86</v>
      </c>
      <c r="R67" s="1420" t="s">
        <v>870</v>
      </c>
    </row>
    <row r="68" spans="1:18" s="1384" customFormat="1" ht="16.2" thickBot="1">
      <c r="A68" s="947" t="s">
        <v>395</v>
      </c>
      <c r="B68" s="948" t="s">
        <v>774</v>
      </c>
      <c r="C68" s="301">
        <f ca="1">ROUND(C67*(1-((1+F70)/(1+F68))^F69)/(F68-F70),0)</f>
        <v>-167</v>
      </c>
      <c r="D68" s="965" t="s">
        <v>758</v>
      </c>
      <c r="E68" s="950" t="s">
        <v>759</v>
      </c>
      <c r="F68" s="312">
        <f ca="1">F40</f>
        <v>0.05</v>
      </c>
      <c r="O68" s="1428" t="s">
        <v>406</v>
      </c>
      <c r="P68" s="1467" t="s">
        <v>871</v>
      </c>
      <c r="Q68" s="1420">
        <f ca="1">ROUND(Q69-Q70*Q71,0)</f>
        <v>4</v>
      </c>
      <c r="R68" s="1420" t="s">
        <v>414</v>
      </c>
    </row>
    <row r="69" spans="1:18" s="1384" customFormat="1" ht="13.8" thickBot="1">
      <c r="A69" s="951"/>
      <c r="B69" s="952"/>
      <c r="C69" s="306"/>
      <c r="D69" s="970" t="s">
        <v>762</v>
      </c>
      <c r="E69" s="950" t="s">
        <v>763</v>
      </c>
      <c r="F69" s="333">
        <f ca="1">F41</f>
        <v>29.15</v>
      </c>
      <c r="O69" s="1428" t="s">
        <v>411</v>
      </c>
      <c r="P69" s="1467" t="s">
        <v>872</v>
      </c>
      <c r="Q69" s="1420">
        <f ca="1">C39</f>
        <v>34</v>
      </c>
      <c r="R69" s="1420" t="s">
        <v>818</v>
      </c>
    </row>
    <row r="70" spans="1:18" s="1384" customFormat="1" ht="13.8" thickBot="1">
      <c r="A70" s="954"/>
      <c r="B70" s="955"/>
      <c r="C70" s="310"/>
      <c r="D70" s="966"/>
      <c r="E70" s="950" t="s">
        <v>766</v>
      </c>
      <c r="F70" s="1054"/>
      <c r="O70" s="1428" t="s">
        <v>412</v>
      </c>
      <c r="P70" s="1467" t="s">
        <v>873</v>
      </c>
      <c r="Q70" s="1420">
        <f ca="1">C13</f>
        <v>459</v>
      </c>
      <c r="R70" s="1420" t="s">
        <v>818</v>
      </c>
    </row>
    <row r="71" spans="1:18" s="1384" customFormat="1" ht="13.8" thickBot="1">
      <c r="A71" s="971" t="s">
        <v>396</v>
      </c>
      <c r="B71" s="972" t="s">
        <v>776</v>
      </c>
      <c r="C71" s="336">
        <f ca="1">ROUND(C68*10000/F71,0)</f>
        <v>-806</v>
      </c>
      <c r="D71" s="973" t="s">
        <v>777</v>
      </c>
      <c r="E71" s="974" t="s">
        <v>778</v>
      </c>
      <c r="F71" s="339">
        <f ca="1">F43</f>
        <v>2072.9499999999998</v>
      </c>
      <c r="O71" s="1428" t="s">
        <v>413</v>
      </c>
      <c r="P71" s="1467" t="s">
        <v>874</v>
      </c>
      <c r="Q71" s="1431">
        <f ca="1">C76</f>
        <v>6.5000000000000002E-2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30</v>
      </c>
      <c r="D75" s="1384"/>
      <c r="E75" s="1384"/>
      <c r="F75" s="1384"/>
      <c r="K75" s="1402"/>
      <c r="L75" s="1384"/>
      <c r="O75" s="1418" t="s">
        <v>409</v>
      </c>
      <c r="P75" s="1419" t="s">
        <v>838</v>
      </c>
      <c r="Q75" s="1420">
        <f ca="1">Q65+Q66</f>
        <v>646</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0.11799999999999999</v>
      </c>
    </row>
    <row r="80" spans="1:18">
      <c r="B80" s="340" t="s">
        <v>800</v>
      </c>
      <c r="C80" s="274">
        <f ca="1">ROUND(C75/C39,3)</f>
        <v>0.88200000000000001</v>
      </c>
    </row>
    <row r="81" spans="2:3">
      <c r="B81" s="270" t="s">
        <v>801</v>
      </c>
      <c r="C81" s="238"/>
    </row>
    <row r="82" spans="2:3">
      <c r="B82" s="273" t="s">
        <v>802</v>
      </c>
      <c r="C82" s="275">
        <f ca="1">1-C83</f>
        <v>0.28900000000000003</v>
      </c>
    </row>
    <row r="83" spans="2:3">
      <c r="B83" s="273" t="s">
        <v>803</v>
      </c>
      <c r="C83" s="274">
        <f ca="1">ROUND(C13/C40,3)</f>
        <v>0.71099999999999997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9" t="s">
        <v>694</v>
      </c>
      <c r="C6" s="1074">
        <f ca="1">ROUND(F6*F8*F7*(1-F9),0)</f>
        <v>0</v>
      </c>
      <c r="D6" s="155" t="s">
        <v>2105</v>
      </c>
      <c r="E6" s="302" t="s">
        <v>696</v>
      </c>
      <c r="F6" s="303">
        <f ca="1">INDIRECT("'数据-取费表'!u"&amp;$G$1)</f>
        <v>0</v>
      </c>
      <c r="G6" s="1384"/>
      <c r="H6" s="1069" t="s">
        <v>398</v>
      </c>
      <c r="I6" s="3669" t="s">
        <v>694</v>
      </c>
      <c r="J6" s="301">
        <f ca="1">ROUND(M6*M8*M7*(1-M9),0)</f>
        <v>0</v>
      </c>
      <c r="K6" s="1376" t="s">
        <v>2106</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2" customHeight="1">
      <c r="A2" s="1385" t="s">
        <v>2318</v>
      </c>
      <c r="B2" s="2843" t="e">
        <f>IF(D2="——",C40,C40+E2)</f>
        <v>#DIV/0!</v>
      </c>
      <c r="C2" s="2844" t="s">
        <v>2319</v>
      </c>
      <c r="D2" s="3443" t="s">
        <v>3362</v>
      </c>
      <c r="E2" s="3444"/>
      <c r="F2" s="2846"/>
      <c r="G2" s="2847"/>
      <c r="H2" s="2848"/>
      <c r="I2" s="2849"/>
      <c r="J2" s="3678" t="s">
        <v>2320</v>
      </c>
      <c r="K2" s="3679"/>
      <c r="L2" s="2850" t="s">
        <v>2321</v>
      </c>
      <c r="M2" s="2850" t="s">
        <v>2322</v>
      </c>
      <c r="N2" s="2850" t="s">
        <v>2323</v>
      </c>
      <c r="O2" s="2850" t="s">
        <v>2324</v>
      </c>
      <c r="P2" s="2850" t="s">
        <v>2325</v>
      </c>
      <c r="Q2" s="2851" t="s">
        <v>2326</v>
      </c>
      <c r="R2" s="2852" t="s">
        <v>2327</v>
      </c>
      <c r="S2" s="2841"/>
      <c r="T2" s="2841"/>
      <c r="U2" s="2841"/>
      <c r="V2" s="2849"/>
    </row>
    <row r="3" spans="1:22" s="2853" customFormat="1" ht="13.2" customHeight="1">
      <c r="A3" s="2854" t="s">
        <v>2328</v>
      </c>
      <c r="B3" s="2855" t="e">
        <f>ROUND(B2*10000/B4,0)</f>
        <v>#DIV/0!</v>
      </c>
      <c r="C3" s="2844" t="s">
        <v>2329</v>
      </c>
      <c r="D3" s="2844"/>
      <c r="E3" s="2845"/>
      <c r="F3" s="2846"/>
      <c r="G3" s="2847"/>
      <c r="H3" s="2848"/>
      <c r="I3" s="2849"/>
      <c r="J3" s="3680" t="s">
        <v>2330</v>
      </c>
      <c r="K3" s="3681"/>
      <c r="L3" s="2856"/>
      <c r="M3" s="2856"/>
      <c r="N3" s="2856"/>
      <c r="O3" s="2856"/>
      <c r="P3" s="2856"/>
      <c r="Q3" s="2857"/>
      <c r="R3" s="2858">
        <f>SUM(L3:Q3)</f>
        <v>0</v>
      </c>
      <c r="S3" s="2841"/>
      <c r="T3" s="2841"/>
      <c r="U3" s="2841"/>
      <c r="V3" s="2849"/>
    </row>
    <row r="4" spans="1:22" s="2853" customFormat="1" ht="13.2" customHeight="1">
      <c r="A4" s="2859" t="s">
        <v>2331</v>
      </c>
      <c r="B4" s="2860"/>
      <c r="C4" s="2844"/>
      <c r="D4" s="2844"/>
      <c r="E4" s="2845"/>
      <c r="F4" s="2846"/>
      <c r="G4" s="2847"/>
      <c r="H4" s="2848"/>
      <c r="I4" s="2849"/>
      <c r="J4" s="3680" t="s">
        <v>2332</v>
      </c>
      <c r="K4" s="3681"/>
      <c r="L4" s="2861"/>
      <c r="M4" s="2861"/>
      <c r="N4" s="2861"/>
      <c r="O4" s="2861"/>
      <c r="P4" s="2861"/>
      <c r="Q4" s="2862"/>
      <c r="R4" s="2863">
        <f>SUM(L4:Q4)</f>
        <v>0</v>
      </c>
      <c r="S4" s="2841"/>
      <c r="T4" s="2841"/>
      <c r="U4" s="2841"/>
      <c r="V4" s="2849"/>
    </row>
    <row r="5" spans="1:22" s="2853" customFormat="1" ht="13.2"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2" customHeight="1" thickBot="1">
      <c r="A6" s="3686" t="s">
        <v>2336</v>
      </c>
      <c r="B6" s="3687"/>
      <c r="C6" s="3688"/>
      <c r="D6" s="2870"/>
      <c r="E6" s="2871"/>
      <c r="F6" s="2872"/>
      <c r="G6" s="2873"/>
      <c r="H6" s="2848"/>
      <c r="I6" s="2849"/>
      <c r="J6" s="3672">
        <v>1</v>
      </c>
      <c r="K6" s="3673"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2" customHeight="1">
      <c r="A7" s="2876" t="s">
        <v>2346</v>
      </c>
      <c r="B7" s="2877"/>
      <c r="C7" s="2878"/>
      <c r="D7" s="2879">
        <f>SUM(D9,D10,D11,D17,0)</f>
        <v>0</v>
      </c>
      <c r="E7" s="2880" t="e">
        <f>E9+E10+E11+E17</f>
        <v>#DIV/0!</v>
      </c>
      <c r="F7" s="2881"/>
      <c r="G7" s="2882"/>
      <c r="H7" s="2848"/>
      <c r="I7" s="2849"/>
      <c r="J7" s="3672"/>
      <c r="K7" s="3674"/>
      <c r="L7" s="2883" t="s">
        <v>2347</v>
      </c>
      <c r="M7" s="2884"/>
      <c r="N7" s="2860"/>
      <c r="O7" s="2885"/>
      <c r="P7" s="2885"/>
      <c r="Q7" s="2886">
        <v>365</v>
      </c>
      <c r="R7" s="2887">
        <f>ROUND(M7*N7*O7*P7*Q7/10000,0)</f>
        <v>0</v>
      </c>
      <c r="S7" s="2841"/>
      <c r="T7" s="2841" t="s">
        <v>2348</v>
      </c>
      <c r="U7" s="2841"/>
      <c r="V7" s="2849"/>
    </row>
    <row r="8" spans="1:22" s="2853" customFormat="1" ht="13.2" customHeight="1">
      <c r="A8" s="2888" t="s">
        <v>2349</v>
      </c>
      <c r="B8" s="3689" t="s">
        <v>2350</v>
      </c>
      <c r="C8" s="3690"/>
      <c r="D8" s="2889" t="s">
        <v>2351</v>
      </c>
      <c r="E8" s="2890" t="s">
        <v>2352</v>
      </c>
      <c r="F8" s="2891" t="s">
        <v>2353</v>
      </c>
      <c r="G8" s="2892"/>
      <c r="H8" s="2848"/>
      <c r="I8" s="2849"/>
      <c r="J8" s="3672"/>
      <c r="K8" s="3674"/>
      <c r="L8" s="2883" t="s">
        <v>2354</v>
      </c>
      <c r="M8" s="2884"/>
      <c r="N8" s="2860"/>
      <c r="O8" s="2885"/>
      <c r="P8" s="2885"/>
      <c r="Q8" s="2886">
        <v>365</v>
      </c>
      <c r="R8" s="2887">
        <f t="shared" ref="R8:R13" si="0">ROUND(M8*N8*O8*P8*Q8/10000,0)</f>
        <v>0</v>
      </c>
      <c r="S8" s="2841"/>
      <c r="T8" s="2841" t="s">
        <v>2355</v>
      </c>
      <c r="U8" s="2841"/>
      <c r="V8" s="2849"/>
    </row>
    <row r="9" spans="1:22" s="2853" customFormat="1" ht="13.2" customHeight="1">
      <c r="A9" s="2888">
        <v>1</v>
      </c>
      <c r="B9" s="3689" t="s">
        <v>2356</v>
      </c>
      <c r="C9" s="3690"/>
      <c r="D9" s="2889">
        <f>ROUND(D6*E9,0)</f>
        <v>0</v>
      </c>
      <c r="E9" s="2893"/>
      <c r="F9" s="2894" t="s">
        <v>2357</v>
      </c>
      <c r="G9" s="2873"/>
      <c r="H9" s="2848"/>
      <c r="I9" s="2849"/>
      <c r="J9" s="3672"/>
      <c r="K9" s="3674"/>
      <c r="L9" s="2883" t="s">
        <v>2358</v>
      </c>
      <c r="M9" s="2884"/>
      <c r="N9" s="2860"/>
      <c r="O9" s="2885"/>
      <c r="P9" s="2885"/>
      <c r="Q9" s="2886">
        <v>365</v>
      </c>
      <c r="R9" s="2887">
        <f t="shared" si="0"/>
        <v>0</v>
      </c>
      <c r="S9" s="2841"/>
      <c r="T9" s="2841"/>
      <c r="U9" s="2841"/>
      <c r="V9" s="2849"/>
    </row>
    <row r="10" spans="1:22" s="2853" customFormat="1" ht="13.2" customHeight="1">
      <c r="A10" s="2888">
        <v>2</v>
      </c>
      <c r="B10" s="3689" t="s">
        <v>2359</v>
      </c>
      <c r="C10" s="3690"/>
      <c r="D10" s="2889">
        <f>ROUND(D6*E10,0)</f>
        <v>0</v>
      </c>
      <c r="E10" s="2893"/>
      <c r="F10" s="2894" t="s">
        <v>2360</v>
      </c>
      <c r="G10" s="2873"/>
      <c r="H10" s="2848"/>
      <c r="I10" s="2849"/>
      <c r="J10" s="3672"/>
      <c r="K10" s="3674"/>
      <c r="L10" s="2883" t="s">
        <v>2361</v>
      </c>
      <c r="M10" s="2884"/>
      <c r="N10" s="2860"/>
      <c r="O10" s="2885"/>
      <c r="P10" s="2885"/>
      <c r="Q10" s="2886">
        <v>365</v>
      </c>
      <c r="R10" s="2887">
        <f t="shared" si="0"/>
        <v>0</v>
      </c>
      <c r="S10" s="2841"/>
      <c r="T10" s="2841"/>
      <c r="U10" s="2841"/>
      <c r="V10" s="2849"/>
    </row>
    <row r="11" spans="1:22" s="2853" customFormat="1" ht="13.2" customHeight="1">
      <c r="A11" s="2888">
        <v>3</v>
      </c>
      <c r="B11" s="3689" t="s">
        <v>2362</v>
      </c>
      <c r="C11" s="3690"/>
      <c r="D11" s="2889">
        <f>D12+D14+D15+D16</f>
        <v>0</v>
      </c>
      <c r="E11" s="2895" t="e">
        <f>D11/D6</f>
        <v>#DIV/0!</v>
      </c>
      <c r="F11" s="2891"/>
      <c r="G11" s="2892"/>
      <c r="H11" s="2848"/>
      <c r="I11" s="2849"/>
      <c r="J11" s="3672"/>
      <c r="K11" s="3674"/>
      <c r="L11" s="2883" t="s">
        <v>2363</v>
      </c>
      <c r="M11" s="2884"/>
      <c r="N11" s="2860"/>
      <c r="O11" s="2885"/>
      <c r="P11" s="2885"/>
      <c r="Q11" s="2886">
        <v>365</v>
      </c>
      <c r="R11" s="2887">
        <f t="shared" si="0"/>
        <v>0</v>
      </c>
      <c r="S11" s="2841"/>
      <c r="T11" s="2841"/>
      <c r="U11" s="2841"/>
      <c r="V11" s="2849"/>
    </row>
    <row r="12" spans="1:22" s="2853" customFormat="1" ht="13.2" customHeight="1">
      <c r="A12" s="2896" t="s">
        <v>2364</v>
      </c>
      <c r="B12" s="3682" t="s">
        <v>2365</v>
      </c>
      <c r="C12" s="3683"/>
      <c r="D12" s="2897">
        <f>ROUND(D13*1.2%*(1-30%),0)</f>
        <v>0</v>
      </c>
      <c r="E12" s="2898">
        <v>1.2E-2</v>
      </c>
      <c r="F12" s="2891" t="s">
        <v>2366</v>
      </c>
      <c r="G12" s="2892"/>
      <c r="H12" s="2848"/>
      <c r="I12" s="2849"/>
      <c r="J12" s="3672"/>
      <c r="K12" s="3674"/>
      <c r="L12" s="2883" t="s">
        <v>2367</v>
      </c>
      <c r="M12" s="2884"/>
      <c r="N12" s="2860"/>
      <c r="O12" s="2885"/>
      <c r="P12" s="2885"/>
      <c r="Q12" s="2886">
        <v>365</v>
      </c>
      <c r="R12" s="2887">
        <f t="shared" si="0"/>
        <v>0</v>
      </c>
      <c r="S12" s="2841"/>
      <c r="T12" s="2841"/>
      <c r="U12" s="2841"/>
      <c r="V12" s="2849"/>
    </row>
    <row r="13" spans="1:22" s="2853" customFormat="1" ht="13.2" customHeight="1">
      <c r="A13" s="2896"/>
      <c r="B13" s="2899"/>
      <c r="C13" s="2900" t="s">
        <v>2368</v>
      </c>
      <c r="D13" s="2901"/>
      <c r="E13" s="2902"/>
      <c r="F13" s="2891"/>
      <c r="G13" s="2892"/>
      <c r="H13" s="2848"/>
      <c r="I13" s="2849"/>
      <c r="J13" s="3672"/>
      <c r="K13" s="3674"/>
      <c r="L13" s="2883" t="s">
        <v>2369</v>
      </c>
      <c r="M13" s="2884"/>
      <c r="N13" s="2860"/>
      <c r="O13" s="2885"/>
      <c r="P13" s="2885"/>
      <c r="Q13" s="2886">
        <v>365</v>
      </c>
      <c r="R13" s="2887">
        <f t="shared" si="0"/>
        <v>0</v>
      </c>
      <c r="S13" s="2841"/>
      <c r="T13" s="2841"/>
      <c r="U13" s="2841"/>
      <c r="V13" s="2849"/>
    </row>
    <row r="14" spans="1:22" s="2853" customFormat="1" ht="13.2" customHeight="1">
      <c r="A14" s="2896" t="s">
        <v>2370</v>
      </c>
      <c r="B14" s="3682" t="s">
        <v>2371</v>
      </c>
      <c r="C14" s="3683"/>
      <c r="D14" s="2897">
        <f>ROUND(E14*B5/10000,0)</f>
        <v>0</v>
      </c>
      <c r="E14" s="2886"/>
      <c r="F14" s="2891" t="s">
        <v>2372</v>
      </c>
      <c r="G14" s="2892"/>
      <c r="H14" s="2848"/>
      <c r="I14" s="2849"/>
      <c r="J14" s="3672"/>
      <c r="K14" s="3675"/>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2374</v>
      </c>
      <c r="B15" s="3682" t="s">
        <v>2375</v>
      </c>
      <c r="C15" s="3683"/>
      <c r="D15" s="2897">
        <f>ROUND(D6*E15,0)</f>
        <v>0</v>
      </c>
      <c r="E15" s="2898">
        <v>5.5E-2</v>
      </c>
      <c r="F15" s="2891" t="s">
        <v>2376</v>
      </c>
      <c r="G15" s="2873"/>
      <c r="H15" s="2848"/>
      <c r="I15" s="2849"/>
      <c r="J15" s="3672">
        <v>2</v>
      </c>
      <c r="K15" s="3673"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2" customHeight="1">
      <c r="A16" s="2896" t="s">
        <v>2383</v>
      </c>
      <c r="B16" s="3682" t="s">
        <v>2384</v>
      </c>
      <c r="C16" s="3683"/>
      <c r="D16" s="2908">
        <f>D6*E16</f>
        <v>0</v>
      </c>
      <c r="E16" s="2909"/>
      <c r="F16" s="2894" t="s">
        <v>2385</v>
      </c>
      <c r="G16" s="2873"/>
      <c r="H16" s="2848"/>
      <c r="I16" s="2849"/>
      <c r="J16" s="3672"/>
      <c r="K16" s="3674"/>
      <c r="L16" s="2883" t="s">
        <v>2386</v>
      </c>
      <c r="M16" s="2884"/>
      <c r="N16" s="2884"/>
      <c r="O16" s="2885"/>
      <c r="P16" s="2886">
        <v>365</v>
      </c>
      <c r="Q16" s="2860"/>
      <c r="R16" s="2907">
        <f>ROUND(M16*N16*O16*P16/10000,0)</f>
        <v>0</v>
      </c>
      <c r="S16" s="2841"/>
      <c r="T16" s="2841"/>
      <c r="U16" s="2841"/>
      <c r="V16" s="2849"/>
    </row>
    <row r="17" spans="1:22" s="2853" customFormat="1" ht="13.2" customHeight="1" thickBot="1">
      <c r="A17" s="2910">
        <v>4</v>
      </c>
      <c r="B17" s="3684" t="s">
        <v>2387</v>
      </c>
      <c r="C17" s="3685"/>
      <c r="D17" s="2911">
        <f>ROUND(D6*E17,0)</f>
        <v>0</v>
      </c>
      <c r="E17" s="2912"/>
      <c r="F17" s="2913" t="s">
        <v>2388</v>
      </c>
      <c r="G17" s="2873"/>
      <c r="H17" s="2848"/>
      <c r="I17" s="2849"/>
      <c r="J17" s="3672"/>
      <c r="K17" s="3674"/>
      <c r="L17" s="2883" t="s">
        <v>2389</v>
      </c>
      <c r="M17" s="2884"/>
      <c r="N17" s="2884"/>
      <c r="O17" s="2885"/>
      <c r="P17" s="2886">
        <v>365</v>
      </c>
      <c r="Q17" s="2860"/>
      <c r="R17" s="2907">
        <f>ROUND(M17*N17*O17*P17/10000,0)</f>
        <v>0</v>
      </c>
      <c r="S17" s="2841"/>
      <c r="T17" s="2841"/>
      <c r="U17" s="2841"/>
      <c r="V17" s="2849"/>
    </row>
    <row r="18" spans="1:22" s="2853" customFormat="1" ht="13.2" customHeight="1" thickBot="1">
      <c r="A18" s="2876" t="s">
        <v>2390</v>
      </c>
      <c r="B18" s="2877"/>
      <c r="C18" s="2877"/>
      <c r="D18" s="2914">
        <f>ROUND(D6*E18,0)</f>
        <v>0</v>
      </c>
      <c r="E18" s="2915"/>
      <c r="F18" s="2916" t="s">
        <v>2391</v>
      </c>
      <c r="G18" s="2873"/>
      <c r="H18" s="2848"/>
      <c r="I18" s="2849"/>
      <c r="J18" s="3672"/>
      <c r="K18" s="3674"/>
      <c r="L18" s="2883" t="s">
        <v>2392</v>
      </c>
      <c r="M18" s="2884"/>
      <c r="N18" s="2884"/>
      <c r="O18" s="2885"/>
      <c r="P18" s="2886">
        <v>365</v>
      </c>
      <c r="Q18" s="2860"/>
      <c r="R18" s="2907">
        <f>ROUND(M18*N18*O18*P18/10000,0)</f>
        <v>0</v>
      </c>
      <c r="S18" s="2841"/>
      <c r="T18" s="2841"/>
      <c r="U18" s="2841"/>
      <c r="V18" s="2849"/>
    </row>
    <row r="19" spans="1:22" s="2853" customFormat="1" ht="13.2" customHeight="1" thickBot="1">
      <c r="A19" s="2917" t="s">
        <v>2393</v>
      </c>
      <c r="B19" s="2871"/>
      <c r="C19" s="2871"/>
      <c r="D19" s="2871"/>
      <c r="E19" s="2871"/>
      <c r="F19" s="2872"/>
      <c r="G19" s="2892"/>
      <c r="H19" s="2848"/>
      <c r="I19" s="2849"/>
      <c r="J19" s="3672"/>
      <c r="K19" s="3675"/>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2">
        <v>3</v>
      </c>
      <c r="K20" s="3673"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2" customHeight="1">
      <c r="A21" s="2876"/>
      <c r="B21" s="2877"/>
      <c r="C21" s="2923" t="s">
        <v>2402</v>
      </c>
      <c r="D21" s="2924" t="s">
        <v>2403</v>
      </c>
      <c r="E21" s="2925" t="s">
        <v>2404</v>
      </c>
      <c r="F21" s="2920"/>
      <c r="G21" s="2892"/>
      <c r="H21" s="2848"/>
      <c r="I21" s="2849"/>
      <c r="J21" s="3672"/>
      <c r="K21" s="3674"/>
      <c r="L21" s="2883" t="s">
        <v>2405</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2406</v>
      </c>
      <c r="D22" s="2928" t="s">
        <v>2407</v>
      </c>
      <c r="E22" s="2929" t="s">
        <v>2408</v>
      </c>
      <c r="F22" s="2920"/>
      <c r="G22" s="2930"/>
      <c r="H22" s="2848"/>
      <c r="I22" s="2849"/>
      <c r="J22" s="3672"/>
      <c r="K22" s="3674"/>
      <c r="L22" s="2883" t="s">
        <v>2409</v>
      </c>
      <c r="M22" s="2884"/>
      <c r="N22" s="2884"/>
      <c r="O22" s="2885"/>
      <c r="P22" s="2886">
        <v>365</v>
      </c>
      <c r="Q22" s="2860"/>
      <c r="R22" s="2926">
        <f>ROUND(M22*N22*O22*P22/10000,0)</f>
        <v>0</v>
      </c>
      <c r="S22" s="2922"/>
      <c r="T22" s="2922"/>
      <c r="U22" s="2922"/>
      <c r="V22" s="2849"/>
    </row>
    <row r="23" spans="1:22" s="2853" customFormat="1" ht="13.2" customHeight="1">
      <c r="A23" s="2931">
        <v>1</v>
      </c>
      <c r="B23" s="2932" t="s">
        <v>2410</v>
      </c>
      <c r="C23" s="2933">
        <f>D6</f>
        <v>0</v>
      </c>
      <c r="D23" s="2934">
        <f>C23*(1+D24)</f>
        <v>0</v>
      </c>
      <c r="E23" s="2935">
        <f>D23*(1+E24)</f>
        <v>0</v>
      </c>
      <c r="F23" s="2936"/>
      <c r="G23" s="2937"/>
      <c r="H23" s="2848"/>
      <c r="I23" s="2849"/>
      <c r="J23" s="3672"/>
      <c r="K23" s="3674"/>
      <c r="L23" s="2883" t="s">
        <v>2411</v>
      </c>
      <c r="M23" s="2884"/>
      <c r="N23" s="2884"/>
      <c r="O23" s="2885"/>
      <c r="P23" s="2886">
        <v>365</v>
      </c>
      <c r="Q23" s="2860"/>
      <c r="R23" s="2926">
        <f>ROUND(M23*N23*O23*P23/10000,0)</f>
        <v>0</v>
      </c>
      <c r="S23" s="2841"/>
      <c r="T23" s="2841"/>
      <c r="U23" s="2841"/>
      <c r="V23" s="2849"/>
    </row>
    <row r="24" spans="1:22" s="2853" customFormat="1" ht="13.2" customHeight="1">
      <c r="A24" s="2938"/>
      <c r="B24" s="2939" t="s">
        <v>2412</v>
      </c>
      <c r="C24" s="2940"/>
      <c r="D24" s="2941"/>
      <c r="E24" s="2942"/>
      <c r="F24" s="2943"/>
      <c r="G24" s="2937"/>
      <c r="H24" s="2848"/>
      <c r="I24" s="2849"/>
      <c r="J24" s="3672"/>
      <c r="K24" s="3675"/>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2" customHeight="1">
      <c r="A26" s="2931">
        <v>2</v>
      </c>
      <c r="B26" s="2932" t="s">
        <v>2414</v>
      </c>
      <c r="C26" s="2933">
        <f>D7</f>
        <v>0</v>
      </c>
      <c r="D26" s="2934">
        <f>D23*D27</f>
        <v>0</v>
      </c>
      <c r="E26" s="2935">
        <f>E23*E27</f>
        <v>0</v>
      </c>
      <c r="F26" s="2936"/>
      <c r="G26" s="2937"/>
      <c r="H26" s="2848"/>
      <c r="I26" s="2849"/>
      <c r="J26" s="3676">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2" customHeight="1">
      <c r="A27" s="2938"/>
      <c r="B27" s="2939" t="s">
        <v>2420</v>
      </c>
      <c r="C27" s="2957" t="e">
        <f>E7</f>
        <v>#DIV/0!</v>
      </c>
      <c r="D27" s="2941"/>
      <c r="E27" s="2942"/>
      <c r="F27" s="2943"/>
      <c r="G27" s="2937"/>
      <c r="H27" s="2958"/>
      <c r="I27" s="2949"/>
      <c r="J27" s="3677"/>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2"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2" customHeight="1">
      <c r="A32" s="2931">
        <v>4</v>
      </c>
      <c r="B32" s="2932" t="s">
        <v>2428</v>
      </c>
      <c r="C32" s="2933">
        <f>C23-C26-C29</f>
        <v>0</v>
      </c>
      <c r="D32" s="2934">
        <f>D23-D26-D29</f>
        <v>0</v>
      </c>
      <c r="E32" s="2935">
        <f>E23-E26-E29</f>
        <v>0</v>
      </c>
      <c r="F32" s="2936"/>
      <c r="G32" s="2930"/>
      <c r="H32" s="2848"/>
      <c r="I32" s="2849"/>
      <c r="J32" s="3678" t="s">
        <v>2320</v>
      </c>
      <c r="K32" s="3679"/>
      <c r="L32" s="2850" t="s">
        <v>2321</v>
      </c>
      <c r="M32" s="2850" t="s">
        <v>2322</v>
      </c>
      <c r="N32" s="2850" t="s">
        <v>2323</v>
      </c>
      <c r="O32" s="2850" t="s">
        <v>2324</v>
      </c>
      <c r="P32" s="2850" t="s">
        <v>2325</v>
      </c>
      <c r="Q32" s="2851" t="s">
        <v>2326</v>
      </c>
      <c r="R32" s="2973" t="s">
        <v>2327</v>
      </c>
      <c r="S32" s="2922"/>
      <c r="T32" s="2841"/>
      <c r="U32" s="2841"/>
      <c r="V32" s="2949"/>
    </row>
    <row r="33" spans="1:23" s="2853" customFormat="1" ht="13.2" customHeight="1">
      <c r="A33" s="2931"/>
      <c r="B33" s="2932"/>
      <c r="C33" s="2933"/>
      <c r="D33" s="2974"/>
      <c r="E33" s="2975"/>
      <c r="F33" s="2936"/>
      <c r="G33" s="2930"/>
      <c r="H33" s="2958"/>
      <c r="I33" s="2949"/>
      <c r="J33" s="3680" t="s">
        <v>2330</v>
      </c>
      <c r="K33" s="3681"/>
      <c r="L33" s="2856"/>
      <c r="M33" s="2856"/>
      <c r="N33" s="2856"/>
      <c r="O33" s="2856"/>
      <c r="P33" s="2856"/>
      <c r="Q33" s="2857"/>
      <c r="R33" s="2976">
        <f>SUM(L33:Q33)</f>
        <v>0</v>
      </c>
      <c r="S33" s="2922"/>
      <c r="T33" s="2841"/>
      <c r="U33" s="2841"/>
      <c r="V33" s="2849"/>
    </row>
    <row r="34" spans="1:23" s="2853" customFormat="1" ht="13.2" customHeight="1">
      <c r="A34" s="2931">
        <v>5</v>
      </c>
      <c r="B34" s="2932" t="s">
        <v>2429</v>
      </c>
      <c r="C34" s="2977"/>
      <c r="D34" s="2978"/>
      <c r="E34" s="2979"/>
      <c r="F34" s="2936"/>
      <c r="G34" s="2930"/>
      <c r="H34" s="2958"/>
      <c r="I34" s="2949"/>
      <c r="J34" s="3680" t="s">
        <v>2332</v>
      </c>
      <c r="K34" s="3681"/>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2" customHeight="1" thickBot="1">
      <c r="A36" s="2931">
        <v>7</v>
      </c>
      <c r="B36" s="2986" t="s">
        <v>2431</v>
      </c>
      <c r="C36" s="2987"/>
      <c r="D36" s="2988"/>
      <c r="E36" s="2989"/>
      <c r="F36" s="2990">
        <f>C36+D36+E36</f>
        <v>0</v>
      </c>
      <c r="G36" s="2930"/>
      <c r="H36" s="2848"/>
      <c r="I36" s="2849"/>
      <c r="J36" s="3672">
        <v>1</v>
      </c>
      <c r="K36" s="3673" t="s">
        <v>2432</v>
      </c>
      <c r="L36" s="2874"/>
      <c r="M36" s="2875"/>
      <c r="N36" s="2875"/>
      <c r="O36" s="2875"/>
      <c r="P36" s="2875"/>
      <c r="Q36" s="2875"/>
      <c r="R36" s="2858" t="s">
        <v>2344</v>
      </c>
      <c r="S36" s="2922"/>
      <c r="T36" s="2841" t="s">
        <v>2345</v>
      </c>
      <c r="U36" s="2841"/>
      <c r="V36" s="2849"/>
    </row>
    <row r="37" spans="1:23" s="2853" customFormat="1" ht="13.2" customHeight="1">
      <c r="A37" s="2931"/>
      <c r="B37" s="2932"/>
      <c r="C37" s="2932"/>
      <c r="D37" s="2932"/>
      <c r="E37" s="2932"/>
      <c r="F37" s="2936"/>
      <c r="G37" s="2930"/>
      <c r="H37" s="2848"/>
      <c r="I37" s="2849"/>
      <c r="J37" s="3672"/>
      <c r="K37" s="3674"/>
      <c r="L37" s="2883"/>
      <c r="M37" s="2884"/>
      <c r="N37" s="2860"/>
      <c r="O37" s="2885"/>
      <c r="P37" s="2885"/>
      <c r="Q37" s="2886"/>
      <c r="R37" s="2887"/>
      <c r="S37" s="2922"/>
      <c r="T37" s="2841" t="s">
        <v>2348</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2"/>
      <c r="K38" s="3674"/>
      <c r="L38" s="2883"/>
      <c r="M38" s="2884"/>
      <c r="N38" s="2860"/>
      <c r="O38" s="2885"/>
      <c r="P38" s="2885"/>
      <c r="Q38" s="2886"/>
      <c r="R38" s="2887"/>
      <c r="S38" s="2922"/>
      <c r="T38" s="2841" t="s">
        <v>2355</v>
      </c>
      <c r="U38" s="2841"/>
      <c r="V38" s="2849"/>
    </row>
    <row r="39" spans="1:23" s="2853" customFormat="1" ht="13.2" customHeight="1">
      <c r="A39" s="2931">
        <v>9</v>
      </c>
      <c r="B39" s="2932" t="s">
        <v>2433</v>
      </c>
      <c r="C39" s="2897" t="e">
        <f>C38</f>
        <v>#DIV/0!</v>
      </c>
      <c r="D39" s="2932">
        <f>D38/(1+D34)^C36</f>
        <v>0</v>
      </c>
      <c r="E39" s="2932">
        <f>E38/(1+E34)^(C36+D36)</f>
        <v>0</v>
      </c>
      <c r="F39" s="2936"/>
      <c r="G39" s="2991"/>
      <c r="H39" s="2848"/>
      <c r="I39" s="2849"/>
      <c r="J39" s="3672"/>
      <c r="K39" s="3674"/>
      <c r="L39" s="2883"/>
      <c r="M39" s="2884"/>
      <c r="N39" s="2860"/>
      <c r="O39" s="2885"/>
      <c r="P39" s="2885"/>
      <c r="Q39" s="2886"/>
      <c r="R39" s="2887"/>
      <c r="S39" s="2922"/>
      <c r="T39" s="2841"/>
      <c r="U39" s="2841"/>
      <c r="V39" s="2849"/>
    </row>
    <row r="40" spans="1:23" s="2853" customFormat="1" ht="13.2" customHeight="1">
      <c r="A40" s="2992">
        <v>10</v>
      </c>
      <c r="B40" s="2932" t="s">
        <v>2434</v>
      </c>
      <c r="C40" s="2993" t="e">
        <f>C39+D39+E39</f>
        <v>#DIV/0!</v>
      </c>
      <c r="D40" s="2994"/>
      <c r="E40" s="2994"/>
      <c r="F40" s="2995"/>
      <c r="G40" s="2930"/>
      <c r="H40" s="2848"/>
      <c r="I40" s="2849"/>
      <c r="J40" s="3672"/>
      <c r="K40" s="3675"/>
      <c r="L40" s="2903" t="s">
        <v>2373</v>
      </c>
      <c r="M40" s="2904"/>
      <c r="N40" s="2904"/>
      <c r="O40" s="2905"/>
      <c r="P40" s="2905"/>
      <c r="Q40" s="2906"/>
      <c r="R40" s="2852">
        <f>SUM(R37:R39)</f>
        <v>0</v>
      </c>
      <c r="S40" s="2922"/>
      <c r="T40" s="2841"/>
      <c r="U40" s="2841"/>
      <c r="V40" s="2849"/>
    </row>
    <row r="41" spans="1:23" s="2853" customFormat="1" ht="13.2"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2" customHeight="1">
      <c r="G42" s="3000"/>
      <c r="H42" s="2848"/>
      <c r="I42" s="2849"/>
      <c r="J42" s="3676">
        <v>3</v>
      </c>
      <c r="K42" s="2951" t="s">
        <v>2415</v>
      </c>
      <c r="L42" s="2952"/>
      <c r="M42" s="2953"/>
      <c r="N42" s="2954" t="s">
        <v>2416</v>
      </c>
      <c r="O42" s="2954" t="s">
        <v>2417</v>
      </c>
      <c r="P42" s="2955" t="s">
        <v>2418</v>
      </c>
      <c r="Q42" s="2955" t="s">
        <v>2419</v>
      </c>
      <c r="R42" s="2858" t="s">
        <v>2344</v>
      </c>
      <c r="S42" s="2956"/>
      <c r="T42" s="2956"/>
      <c r="U42" s="2841"/>
      <c r="V42" s="2849"/>
    </row>
    <row r="43" spans="1:23" ht="13.2" customHeight="1">
      <c r="A43" s="2853"/>
      <c r="B43" s="2853"/>
      <c r="C43" s="2853"/>
      <c r="D43" s="2853"/>
      <c r="E43" s="2853"/>
      <c r="F43" s="2853"/>
      <c r="I43" s="2836"/>
      <c r="J43" s="3677"/>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676</v>
      </c>
      <c r="C2" s="1872" t="s">
        <v>1651</v>
      </c>
      <c r="D2" s="1873" t="s">
        <v>1652</v>
      </c>
      <c r="E2" s="2607">
        <f>SUM(E6:E13)</f>
        <v>2072.9499999999998</v>
      </c>
      <c r="F2" s="2707"/>
      <c r="G2" s="1489"/>
      <c r="H2" s="1489"/>
      <c r="I2" s="1489"/>
      <c r="J2" s="1489"/>
      <c r="K2" s="1489"/>
      <c r="L2" s="1489"/>
      <c r="M2" s="1489"/>
      <c r="N2" s="1489"/>
      <c r="O2" s="1489"/>
      <c r="P2" s="1489"/>
      <c r="Q2" s="1489"/>
      <c r="R2" s="1489"/>
      <c r="S2" s="1489"/>
    </row>
    <row r="3" spans="1:22" ht="15.6">
      <c r="A3" s="1870" t="s">
        <v>686</v>
      </c>
      <c r="B3" s="2601">
        <f ca="1">ROUND(B2*10000/E2,0)</f>
        <v>3261</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1" t="s">
        <v>1654</v>
      </c>
      <c r="C5" s="3692"/>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v>
      </c>
      <c r="B6" s="2602">
        <f ca="1">IF(F6="是",'数据-取费表'!AO6,0)</f>
        <v>676</v>
      </c>
      <c r="C6" s="1872" t="s">
        <v>1651</v>
      </c>
      <c r="D6" s="2709"/>
      <c r="E6" s="2606">
        <f>IF(OR(A6=0,F6="否"),0,'数据-取费表'!K6+'数据-取费表'!S6)</f>
        <v>2072.9499999999998</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554687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2072.9499999999998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1" t="s">
        <v>1667</v>
      </c>
      <c r="D4" s="3712"/>
      <c r="E4" s="3713" t="s">
        <v>1668</v>
      </c>
      <c r="F4" s="3714"/>
      <c r="G4" s="3711" t="s">
        <v>1669</v>
      </c>
      <c r="H4" s="3712"/>
      <c r="I4" s="3711" t="s">
        <v>1670</v>
      </c>
      <c r="J4" s="3712"/>
      <c r="K4" s="1889" t="s">
        <v>1671</v>
      </c>
      <c r="L4" s="2715"/>
      <c r="M4" s="2716"/>
      <c r="N4" s="2716"/>
      <c r="O4" s="2716"/>
      <c r="P4" s="3715" t="s">
        <v>1672</v>
      </c>
      <c r="Q4" s="3716"/>
      <c r="R4" s="3721" t="s">
        <v>1668</v>
      </c>
      <c r="S4" s="3722"/>
      <c r="T4" s="3721" t="s">
        <v>1669</v>
      </c>
      <c r="U4" s="3722"/>
      <c r="V4" s="3727" t="s">
        <v>1670</v>
      </c>
      <c r="W4" s="3727"/>
      <c r="X4" s="1355"/>
      <c r="Y4" s="3721" t="s">
        <v>1672</v>
      </c>
      <c r="Z4" s="3722"/>
      <c r="AA4" s="3708" t="s">
        <v>1668</v>
      </c>
      <c r="AB4" s="3708" t="s">
        <v>1669</v>
      </c>
      <c r="AC4" s="3708" t="s">
        <v>1670</v>
      </c>
    </row>
    <row r="5" spans="1:29">
      <c r="A5" s="358"/>
      <c r="B5" s="359"/>
      <c r="C5" s="3730" t="s">
        <v>1673</v>
      </c>
      <c r="D5" s="3731"/>
      <c r="E5" s="3737" t="s">
        <v>1674</v>
      </c>
      <c r="F5" s="3738"/>
      <c r="G5" s="3730" t="s">
        <v>1675</v>
      </c>
      <c r="H5" s="3731"/>
      <c r="I5" s="3730" t="s">
        <v>1676</v>
      </c>
      <c r="J5" s="3731"/>
      <c r="K5" s="1890"/>
      <c r="L5" s="2715"/>
      <c r="M5" s="2716"/>
      <c r="N5" s="2716"/>
      <c r="O5" s="2716"/>
      <c r="P5" s="3717"/>
      <c r="Q5" s="3718"/>
      <c r="R5" s="3723"/>
      <c r="S5" s="3724"/>
      <c r="T5" s="3723"/>
      <c r="U5" s="3724"/>
      <c r="V5" s="3727"/>
      <c r="W5" s="3727"/>
      <c r="X5" s="1355"/>
      <c r="Y5" s="3723"/>
      <c r="Z5" s="3724"/>
      <c r="AA5" s="3709"/>
      <c r="AB5" s="3709"/>
      <c r="AC5" s="3709"/>
    </row>
    <row r="6" spans="1:29" ht="15" thickBot="1">
      <c r="A6" s="360"/>
      <c r="B6" s="361"/>
      <c r="C6" s="3728" t="s">
        <v>1677</v>
      </c>
      <c r="D6" s="3729"/>
      <c r="E6" s="3735" t="s">
        <v>1677</v>
      </c>
      <c r="F6" s="3736"/>
      <c r="G6" s="3728" t="s">
        <v>1677</v>
      </c>
      <c r="H6" s="3729"/>
      <c r="I6" s="3728" t="s">
        <v>1677</v>
      </c>
      <c r="J6" s="3729"/>
      <c r="K6" s="1890" t="s">
        <v>1678</v>
      </c>
      <c r="L6" s="2715"/>
      <c r="M6" s="2716"/>
      <c r="N6" s="2716"/>
      <c r="O6" s="2716"/>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45442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2" t="s">
        <v>1680</v>
      </c>
      <c r="Q7" s="3734"/>
      <c r="R7" s="701" t="s">
        <v>20</v>
      </c>
      <c r="S7" s="702">
        <f t="shared" ref="S7:S15" si="0">F7</f>
        <v>0</v>
      </c>
      <c r="T7" s="701" t="s">
        <v>20</v>
      </c>
      <c r="U7" s="702">
        <f t="shared" ref="U7:U15" si="1">H7</f>
        <v>0</v>
      </c>
      <c r="V7" s="701" t="s">
        <v>20</v>
      </c>
      <c r="W7" s="702">
        <f t="shared" ref="W7:W15" si="2">J7</f>
        <v>0</v>
      </c>
      <c r="X7" s="703"/>
      <c r="Y7" s="3732" t="s">
        <v>1680</v>
      </c>
      <c r="Z7" s="3733"/>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2" t="s">
        <v>1683</v>
      </c>
      <c r="Q8" s="3733"/>
      <c r="R8" s="701" t="s">
        <v>20</v>
      </c>
      <c r="S8" s="702">
        <f t="shared" si="0"/>
        <v>100</v>
      </c>
      <c r="T8" s="701" t="s">
        <v>20</v>
      </c>
      <c r="U8" s="702">
        <f t="shared" si="1"/>
        <v>100</v>
      </c>
      <c r="V8" s="701" t="s">
        <v>20</v>
      </c>
      <c r="W8" s="702">
        <f t="shared" si="2"/>
        <v>100</v>
      </c>
      <c r="X8" s="703"/>
      <c r="Y8" s="3732" t="s">
        <v>1683</v>
      </c>
      <c r="Z8" s="3733"/>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7"/>
      <c r="Q11" s="1343" t="str">
        <f t="shared" si="6"/>
        <v>容积率</v>
      </c>
      <c r="R11" s="701" t="s">
        <v>18</v>
      </c>
      <c r="S11" s="702" t="e">
        <f t="shared" si="0"/>
        <v>#N/A</v>
      </c>
      <c r="T11" s="701" t="s">
        <v>18</v>
      </c>
      <c r="U11" s="702" t="e">
        <f t="shared" si="1"/>
        <v>#N/A</v>
      </c>
      <c r="V11" s="701" t="s">
        <v>18</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7"/>
      <c r="Q12" s="1343">
        <f t="shared" si="6"/>
        <v>111</v>
      </c>
      <c r="R12" s="701" t="s">
        <v>18</v>
      </c>
      <c r="S12" s="702">
        <f t="shared" si="0"/>
        <v>100</v>
      </c>
      <c r="T12" s="701" t="s">
        <v>18</v>
      </c>
      <c r="U12" s="702">
        <f t="shared" si="1"/>
        <v>100</v>
      </c>
      <c r="V12" s="701" t="s">
        <v>18</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7"/>
      <c r="Q13" s="1343">
        <f t="shared" si="6"/>
        <v>111</v>
      </c>
      <c r="R13" s="701" t="s">
        <v>18</v>
      </c>
      <c r="S13" s="702">
        <f t="shared" si="0"/>
        <v>100</v>
      </c>
      <c r="T13" s="701" t="s">
        <v>18</v>
      </c>
      <c r="U13" s="702">
        <f t="shared" si="1"/>
        <v>100</v>
      </c>
      <c r="V13" s="701" t="s">
        <v>18</v>
      </c>
      <c r="W13" s="702">
        <f t="shared" si="2"/>
        <v>100</v>
      </c>
      <c r="X13" s="703"/>
      <c r="Y13" s="355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7"/>
      <c r="Q14" s="1343">
        <f t="shared" si="6"/>
        <v>111</v>
      </c>
      <c r="R14" s="701" t="s">
        <v>18</v>
      </c>
      <c r="S14" s="702">
        <f t="shared" si="0"/>
        <v>100</v>
      </c>
      <c r="T14" s="701" t="s">
        <v>18</v>
      </c>
      <c r="U14" s="702">
        <f t="shared" si="1"/>
        <v>100</v>
      </c>
      <c r="V14" s="701" t="s">
        <v>18</v>
      </c>
      <c r="W14" s="702">
        <f t="shared" si="2"/>
        <v>100</v>
      </c>
      <c r="X14" s="703"/>
      <c r="Y14" s="3552"/>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2072.9499999999998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27" t="s">
        <v>1772</v>
      </c>
      <c r="AC4" s="3708" t="s">
        <v>1773</v>
      </c>
    </row>
    <row r="5" spans="1:29">
      <c r="A5" s="358"/>
      <c r="B5" s="359"/>
      <c r="C5" s="3730" t="s">
        <v>1673</v>
      </c>
      <c r="D5" s="3731"/>
      <c r="E5" s="3737" t="s">
        <v>1674</v>
      </c>
      <c r="F5" s="3738"/>
      <c r="G5" s="3730" t="s">
        <v>1675</v>
      </c>
      <c r="H5" s="3731"/>
      <c r="I5" s="3730" t="s">
        <v>1676</v>
      </c>
      <c r="J5" s="3731"/>
      <c r="K5" s="559"/>
      <c r="L5" s="2715"/>
      <c r="M5" s="2716"/>
      <c r="N5" s="2716"/>
      <c r="O5" s="2716"/>
      <c r="P5" s="3717"/>
      <c r="Q5" s="3718"/>
      <c r="R5" s="3723"/>
      <c r="S5" s="3724"/>
      <c r="T5" s="3723"/>
      <c r="U5" s="3724"/>
      <c r="V5" s="3727"/>
      <c r="W5" s="3727"/>
      <c r="X5" s="1355"/>
      <c r="Y5" s="3723"/>
      <c r="Z5" s="3724"/>
      <c r="AA5" s="3709"/>
      <c r="AB5" s="3727"/>
      <c r="AC5" s="3709"/>
    </row>
    <row r="6" spans="1:29" ht="15" thickBot="1">
      <c r="A6" s="360"/>
      <c r="B6" s="361"/>
      <c r="C6" s="3728" t="s">
        <v>1677</v>
      </c>
      <c r="D6" s="3729"/>
      <c r="E6" s="3735" t="s">
        <v>1677</v>
      </c>
      <c r="F6" s="3736"/>
      <c r="G6" s="3728" t="s">
        <v>1677</v>
      </c>
      <c r="H6" s="3729"/>
      <c r="I6" s="3728" t="s">
        <v>1677</v>
      </c>
      <c r="J6" s="3729"/>
      <c r="K6" s="559" t="s">
        <v>1678</v>
      </c>
      <c r="L6" s="2715"/>
      <c r="M6" s="2716"/>
      <c r="N6" s="2716"/>
      <c r="O6" s="2716"/>
      <c r="P6" s="3719"/>
      <c r="Q6" s="3720"/>
      <c r="R6" s="3723"/>
      <c r="S6" s="3724"/>
      <c r="T6" s="3725"/>
      <c r="U6" s="3726"/>
      <c r="V6" s="3727"/>
      <c r="W6" s="3727"/>
      <c r="X6" s="1355"/>
      <c r="Y6" s="3725"/>
      <c r="Z6" s="3726"/>
      <c r="AA6" s="3710"/>
      <c r="AB6" s="3727"/>
      <c r="AC6" s="3710"/>
    </row>
    <row r="7" spans="1:29" s="108" customFormat="1" ht="15" thickBot="1">
      <c r="A7" s="362" t="s">
        <v>1679</v>
      </c>
      <c r="B7" s="363"/>
      <c r="C7" s="364">
        <f>'数据-取费表'!B2</f>
        <v>45442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2" t="s">
        <v>1683</v>
      </c>
      <c r="Q8" s="3733"/>
      <c r="R8" s="701" t="s">
        <v>14</v>
      </c>
      <c r="S8" s="702">
        <f t="shared" si="0"/>
        <v>100</v>
      </c>
      <c r="T8" s="701" t="s">
        <v>14</v>
      </c>
      <c r="U8" s="702">
        <f t="shared" si="1"/>
        <v>100</v>
      </c>
      <c r="V8" s="701" t="s">
        <v>14</v>
      </c>
      <c r="W8" s="702">
        <f t="shared" si="2"/>
        <v>100</v>
      </c>
      <c r="X8" s="703"/>
      <c r="Y8" s="3732" t="s">
        <v>1683</v>
      </c>
      <c r="Z8" s="373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7"/>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727">
        <f>E47</f>
        <v>0</v>
      </c>
      <c r="S47" s="3727"/>
      <c r="T47" s="3727">
        <f>G47</f>
        <v>0</v>
      </c>
      <c r="U47" s="3727"/>
      <c r="V47" s="3727">
        <f>I47</f>
        <v>0</v>
      </c>
      <c r="W47" s="3727"/>
      <c r="X47" s="690"/>
      <c r="Y47" s="712"/>
      <c r="Z47" s="690"/>
      <c r="AA47" s="690"/>
      <c r="AB47" s="690"/>
      <c r="AC47" s="690"/>
    </row>
    <row r="48" spans="1:29" ht="1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受贵公司委托，我公司对北京市怀柔区雁栖经济开发区雁栖河西路9号1号1至2层房地产抵押价值进行了预评估。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估价对象为北京市怀柔区雁栖经济开发区雁栖河西路9号1号1至2层房地产，为所有。根据《国有土地使用证》[]，估价对象（分摊）出让国有建设用地使用权面积为5514.09平方米，建筑面积为2072.95平方米。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河西路9号1号1至2层房地产,属开发建设的工业项目，该项目尚在开发建设中。根据《国有土地使用证》[]，估价对象（分摊）出让国有建设用地使用权面积为5514.09平方米，规划建筑面积为2072.95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怀柔区雁栖经济开发区雁栖河西路9号1号1至2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2024年5月30日（评估专业人员实地查勘之日）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30日，估价对象规划用途为工业用地/厂房，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用地/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2072.9499999999998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45" t="s">
        <v>1775</v>
      </c>
      <c r="Q4" s="3746"/>
      <c r="R4" s="3749" t="s">
        <v>1771</v>
      </c>
      <c r="S4" s="3750"/>
      <c r="T4" s="3749" t="s">
        <v>1772</v>
      </c>
      <c r="U4" s="3750"/>
      <c r="V4" s="3751" t="s">
        <v>1773</v>
      </c>
      <c r="W4" s="3751"/>
      <c r="X4" s="1958"/>
      <c r="Y4" s="3749" t="s">
        <v>1775</v>
      </c>
      <c r="Z4" s="3750"/>
      <c r="AA4" s="3753" t="s">
        <v>1771</v>
      </c>
      <c r="AB4" s="3753" t="s">
        <v>1772</v>
      </c>
      <c r="AC4" s="3742" t="s">
        <v>1773</v>
      </c>
    </row>
    <row r="5" spans="1:29">
      <c r="A5" s="358"/>
      <c r="B5" s="359"/>
      <c r="C5" s="3730" t="s">
        <v>1673</v>
      </c>
      <c r="D5" s="3731"/>
      <c r="E5" s="3737" t="s">
        <v>1674</v>
      </c>
      <c r="F5" s="3738"/>
      <c r="G5" s="3730" t="s">
        <v>1675</v>
      </c>
      <c r="H5" s="3731"/>
      <c r="I5" s="3730" t="s">
        <v>1676</v>
      </c>
      <c r="J5" s="3731"/>
      <c r="K5" s="559"/>
      <c r="L5" s="2715"/>
      <c r="M5" s="2716"/>
      <c r="N5" s="2716"/>
      <c r="O5" s="2716"/>
      <c r="P5" s="3747"/>
      <c r="Q5" s="3718"/>
      <c r="R5" s="3723"/>
      <c r="S5" s="3724"/>
      <c r="T5" s="3723"/>
      <c r="U5" s="3724"/>
      <c r="V5" s="3727"/>
      <c r="W5" s="3727"/>
      <c r="X5" s="1355"/>
      <c r="Y5" s="3723"/>
      <c r="Z5" s="3724"/>
      <c r="AA5" s="3709"/>
      <c r="AB5" s="3709"/>
      <c r="AC5" s="3743"/>
    </row>
    <row r="6" spans="1:29" ht="15" thickBot="1">
      <c r="A6" s="360"/>
      <c r="B6" s="361"/>
      <c r="C6" s="3728" t="s">
        <v>1677</v>
      </c>
      <c r="D6" s="3729"/>
      <c r="E6" s="3735" t="s">
        <v>1677</v>
      </c>
      <c r="F6" s="3736"/>
      <c r="G6" s="3728" t="s">
        <v>1677</v>
      </c>
      <c r="H6" s="3729"/>
      <c r="I6" s="3728" t="s">
        <v>1677</v>
      </c>
      <c r="J6" s="3729"/>
      <c r="K6" s="559" t="s">
        <v>1678</v>
      </c>
      <c r="L6" s="2715"/>
      <c r="M6" s="2716"/>
      <c r="N6" s="2716"/>
      <c r="O6" s="2716"/>
      <c r="P6" s="3748"/>
      <c r="Q6" s="3720"/>
      <c r="R6" s="3723"/>
      <c r="S6" s="3724"/>
      <c r="T6" s="3725"/>
      <c r="U6" s="3726"/>
      <c r="V6" s="3727"/>
      <c r="W6" s="3727"/>
      <c r="X6" s="1355"/>
      <c r="Y6" s="3725"/>
      <c r="Z6" s="3726"/>
      <c r="AA6" s="3710"/>
      <c r="AB6" s="3710"/>
      <c r="AC6" s="3744"/>
    </row>
    <row r="7" spans="1:29" s="108" customFormat="1" ht="15" thickBot="1">
      <c r="A7" s="362" t="s">
        <v>1679</v>
      </c>
      <c r="B7" s="363"/>
      <c r="C7" s="364">
        <f>'数据-取费表'!B2</f>
        <v>45442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2" t="s">
        <v>1683</v>
      </c>
      <c r="Q8" s="3733"/>
      <c r="R8" s="701" t="s">
        <v>14</v>
      </c>
      <c r="S8" s="702">
        <f t="shared" si="0"/>
        <v>100</v>
      </c>
      <c r="T8" s="701" t="s">
        <v>14</v>
      </c>
      <c r="U8" s="702">
        <f t="shared" si="1"/>
        <v>100</v>
      </c>
      <c r="V8" s="701" t="s">
        <v>14</v>
      </c>
      <c r="W8" s="702">
        <f t="shared" si="2"/>
        <v>100</v>
      </c>
      <c r="X8" s="703"/>
      <c r="Y8" s="3732" t="s">
        <v>1683</v>
      </c>
      <c r="Z8" s="3733"/>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7"/>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7" t="str">
        <f>A48</f>
        <v>成交单价（元/平方米）</v>
      </c>
      <c r="Q48" s="3696"/>
      <c r="R48" s="3697">
        <f>E48</f>
        <v>0</v>
      </c>
      <c r="S48" s="3697"/>
      <c r="T48" s="3697">
        <f>G48</f>
        <v>0</v>
      </c>
      <c r="U48" s="3697"/>
      <c r="V48" s="3697">
        <f>I48</f>
        <v>0</v>
      </c>
      <c r="W48" s="3697"/>
      <c r="X48" s="397"/>
      <c r="Y48" s="712"/>
      <c r="Z48" s="397"/>
      <c r="AA48" s="397"/>
      <c r="AB48" s="397"/>
      <c r="AC48" s="578"/>
    </row>
    <row r="49" spans="1:29" ht="1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07"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60" zoomScaleNormal="60" workbookViewId="0">
      <selection activeCell="B37" sqref="B37"/>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2072.9499999999998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1" t="s">
        <v>1770</v>
      </c>
      <c r="D4" s="3712"/>
      <c r="E4" s="3713" t="s">
        <v>1771</v>
      </c>
      <c r="F4" s="3714"/>
      <c r="G4" s="3711" t="s">
        <v>1772</v>
      </c>
      <c r="H4" s="3712"/>
      <c r="I4" s="3711" t="s">
        <v>1773</v>
      </c>
      <c r="J4" s="3712"/>
      <c r="K4" s="559" t="s">
        <v>1774</v>
      </c>
      <c r="L4" s="913"/>
      <c r="M4" s="914"/>
      <c r="N4" s="914"/>
      <c r="O4" s="914"/>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c r="A5" s="358"/>
      <c r="B5" s="359"/>
      <c r="C5" s="3730" t="s">
        <v>1673</v>
      </c>
      <c r="D5" s="3731"/>
      <c r="E5" s="3737" t="s">
        <v>1674</v>
      </c>
      <c r="F5" s="3738"/>
      <c r="G5" s="3730" t="s">
        <v>1675</v>
      </c>
      <c r="H5" s="3731"/>
      <c r="I5" s="3730" t="s">
        <v>1676</v>
      </c>
      <c r="J5" s="3731"/>
      <c r="K5" s="559"/>
      <c r="L5" s="913"/>
      <c r="M5" s="914"/>
      <c r="N5" s="914"/>
      <c r="O5" s="914"/>
      <c r="P5" s="3717"/>
      <c r="Q5" s="3718"/>
      <c r="R5" s="3723"/>
      <c r="S5" s="3724"/>
      <c r="T5" s="3723"/>
      <c r="U5" s="3724"/>
      <c r="V5" s="3727"/>
      <c r="W5" s="3727"/>
      <c r="X5" s="1355"/>
      <c r="Y5" s="3723"/>
      <c r="Z5" s="3724"/>
      <c r="AA5" s="3709"/>
      <c r="AB5" s="3709"/>
      <c r="AC5" s="3709"/>
    </row>
    <row r="6" spans="1:29" ht="15" thickBot="1">
      <c r="A6" s="360"/>
      <c r="B6" s="361"/>
      <c r="C6" s="3728" t="s">
        <v>1677</v>
      </c>
      <c r="D6" s="3729"/>
      <c r="E6" s="3735" t="s">
        <v>1677</v>
      </c>
      <c r="F6" s="3736"/>
      <c r="G6" s="3728" t="s">
        <v>1677</v>
      </c>
      <c r="H6" s="3729"/>
      <c r="I6" s="3728" t="s">
        <v>1677</v>
      </c>
      <c r="J6" s="3729"/>
      <c r="K6" s="559" t="s">
        <v>1678</v>
      </c>
      <c r="L6" s="913"/>
      <c r="M6" s="914"/>
      <c r="N6" s="914"/>
      <c r="O6" s="914"/>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45442</v>
      </c>
      <c r="D7" s="365">
        <v>100</v>
      </c>
      <c r="E7" s="366"/>
      <c r="F7" s="367">
        <f>SUMIF(52:52,YEAR(E7)&amp;"-"&amp;MONTH(E7),53:53)</f>
        <v>0</v>
      </c>
      <c r="G7" s="366"/>
      <c r="H7" s="365">
        <f>SUMIF(52:52,YEAR(G7)&amp;"-"&amp;MONTH(G7),53:53)</f>
        <v>0</v>
      </c>
      <c r="I7" s="366"/>
      <c r="J7" s="365">
        <f>SUMIF(52:52,YEAR(I7)&amp;"-"&amp;MONTH(I7),53:53)</f>
        <v>0</v>
      </c>
      <c r="K7" s="560"/>
      <c r="L7" s="915"/>
      <c r="M7" s="916"/>
      <c r="N7" s="916"/>
      <c r="O7" s="916"/>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2" t="s">
        <v>1683</v>
      </c>
      <c r="Q8" s="3733"/>
      <c r="R8" s="701" t="s">
        <v>14</v>
      </c>
      <c r="S8" s="702">
        <f t="shared" si="0"/>
        <v>100</v>
      </c>
      <c r="T8" s="701" t="s">
        <v>14</v>
      </c>
      <c r="U8" s="702">
        <f t="shared" si="1"/>
        <v>100</v>
      </c>
      <c r="V8" s="701" t="s">
        <v>14</v>
      </c>
      <c r="W8" s="702">
        <f t="shared" si="2"/>
        <v>100</v>
      </c>
      <c r="X8" s="703"/>
      <c r="Y8" s="3732" t="s">
        <v>1683</v>
      </c>
      <c r="Z8" s="373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4"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c r="A5" s="358"/>
      <c r="B5" s="359"/>
      <c r="C5" s="3730" t="s">
        <v>1673</v>
      </c>
      <c r="D5" s="3731"/>
      <c r="E5" s="3737" t="s">
        <v>1674</v>
      </c>
      <c r="F5" s="3738"/>
      <c r="G5" s="3730" t="s">
        <v>1675</v>
      </c>
      <c r="H5" s="3731"/>
      <c r="I5" s="3730" t="s">
        <v>1676</v>
      </c>
      <c r="J5" s="3731"/>
      <c r="K5" s="559"/>
      <c r="L5" s="2715"/>
      <c r="M5" s="2716"/>
      <c r="N5" s="2716"/>
      <c r="O5" s="2716"/>
      <c r="P5" s="3717"/>
      <c r="Q5" s="3718"/>
      <c r="R5" s="3723"/>
      <c r="S5" s="3724"/>
      <c r="T5" s="3723"/>
      <c r="U5" s="3724"/>
      <c r="V5" s="3727"/>
      <c r="W5" s="3727"/>
      <c r="X5" s="1355"/>
      <c r="Y5" s="3723"/>
      <c r="Z5" s="3724"/>
      <c r="AA5" s="3709"/>
      <c r="AB5" s="3709"/>
      <c r="AC5" s="3709"/>
    </row>
    <row r="6" spans="1:29" ht="15" thickBot="1">
      <c r="A6" s="360"/>
      <c r="B6" s="361"/>
      <c r="C6" s="3728" t="s">
        <v>1677</v>
      </c>
      <c r="D6" s="3729"/>
      <c r="E6" s="3735" t="s">
        <v>1677</v>
      </c>
      <c r="F6" s="3736"/>
      <c r="G6" s="3728" t="s">
        <v>1677</v>
      </c>
      <c r="H6" s="3729"/>
      <c r="I6" s="3728" t="s">
        <v>1677</v>
      </c>
      <c r="J6" s="3729"/>
      <c r="K6" s="559" t="s">
        <v>1678</v>
      </c>
      <c r="L6" s="2715"/>
      <c r="M6" s="2716"/>
      <c r="N6" s="2716"/>
      <c r="O6" s="2716"/>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45442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2" t="s">
        <v>1683</v>
      </c>
      <c r="Q8" s="3733"/>
      <c r="R8" s="701" t="s">
        <v>14</v>
      </c>
      <c r="S8" s="702">
        <f t="shared" si="0"/>
        <v>100</v>
      </c>
      <c r="T8" s="701" t="s">
        <v>14</v>
      </c>
      <c r="U8" s="702">
        <f t="shared" si="1"/>
        <v>100</v>
      </c>
      <c r="V8" s="701" t="s">
        <v>14</v>
      </c>
      <c r="W8" s="702">
        <f t="shared" si="2"/>
        <v>100</v>
      </c>
      <c r="X8" s="703"/>
      <c r="Y8" s="3732" t="s">
        <v>1683</v>
      </c>
      <c r="Z8" s="373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4.4">
      <c r="A37" s="430" t="s">
        <v>1844</v>
      </c>
      <c r="B37" s="1973" t="s">
        <v>3357</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55" t="e">
        <f>IF(F1="售价",ROUND(IF(D38="简单平均",AVERAGE(R38:W38),R38*F38+T38*H38+V38*J38),0),ROUND(IF(D38="简单平均",AVERAGE(R38:V38),R38*F38+T38*H38+V38*J38),1))</f>
        <v>#DIV/0!</v>
      </c>
      <c r="S39" s="3755"/>
      <c r="T39" s="3755"/>
      <c r="U39" s="3755"/>
      <c r="V39" s="3755"/>
      <c r="W39" s="375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c r="A5" s="358"/>
      <c r="B5" s="359"/>
      <c r="C5" s="3730" t="s">
        <v>1673</v>
      </c>
      <c r="D5" s="3731"/>
      <c r="E5" s="3737" t="s">
        <v>1674</v>
      </c>
      <c r="F5" s="3738"/>
      <c r="G5" s="3730" t="s">
        <v>1675</v>
      </c>
      <c r="H5" s="3731"/>
      <c r="I5" s="3730" t="s">
        <v>1676</v>
      </c>
      <c r="J5" s="3731"/>
      <c r="K5" s="559"/>
      <c r="L5" s="2715"/>
      <c r="M5" s="2716"/>
      <c r="N5" s="2716"/>
      <c r="O5" s="2716"/>
      <c r="P5" s="3717"/>
      <c r="Q5" s="3718"/>
      <c r="R5" s="3723"/>
      <c r="S5" s="3724"/>
      <c r="T5" s="3723"/>
      <c r="U5" s="3724"/>
      <c r="V5" s="3727"/>
      <c r="W5" s="3727"/>
      <c r="X5" s="1355"/>
      <c r="Y5" s="3723"/>
      <c r="Z5" s="3724"/>
      <c r="AA5" s="3709"/>
      <c r="AB5" s="3709"/>
      <c r="AC5" s="3709"/>
    </row>
    <row r="6" spans="1:29" ht="15" thickBot="1">
      <c r="A6" s="360"/>
      <c r="B6" s="361"/>
      <c r="C6" s="3728" t="s">
        <v>1677</v>
      </c>
      <c r="D6" s="3729"/>
      <c r="E6" s="3735" t="s">
        <v>1677</v>
      </c>
      <c r="F6" s="3736"/>
      <c r="G6" s="3728" t="s">
        <v>1677</v>
      </c>
      <c r="H6" s="3729"/>
      <c r="I6" s="3728" t="s">
        <v>1677</v>
      </c>
      <c r="J6" s="3729"/>
      <c r="K6" s="559" t="s">
        <v>1678</v>
      </c>
      <c r="L6" s="2715"/>
      <c r="M6" s="2716"/>
      <c r="N6" s="2716"/>
      <c r="O6" s="2716"/>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45442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2" t="s">
        <v>1683</v>
      </c>
      <c r="Q8" s="3733"/>
      <c r="R8" s="701" t="s">
        <v>14</v>
      </c>
      <c r="S8" s="702">
        <f t="shared" si="0"/>
        <v>100</v>
      </c>
      <c r="T8" s="701" t="s">
        <v>14</v>
      </c>
      <c r="U8" s="702">
        <f t="shared" si="1"/>
        <v>100</v>
      </c>
      <c r="V8" s="701" t="s">
        <v>14</v>
      </c>
      <c r="W8" s="702">
        <f t="shared" si="2"/>
        <v>100</v>
      </c>
      <c r="X8" s="703"/>
      <c r="Y8" s="3732" t="s">
        <v>1683</v>
      </c>
      <c r="Z8" s="373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55" t="e">
        <f>IF(F1="售价",ROUND(IF(D36="简单平均",AVERAGE(R36:W36),R36*F36+T36*H36+V36*J36),0),ROUND(IF(D36="简单平均",AVERAGE(R36:V36),R36*F36+T36*H36+V36*J36),1))</f>
        <v>#DIV/0!</v>
      </c>
      <c r="S37" s="3755"/>
      <c r="T37" s="3755"/>
      <c r="U37" s="3755"/>
      <c r="V37" s="3755"/>
      <c r="W37" s="375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30">
      <c r="A5" s="358"/>
      <c r="B5" s="359"/>
      <c r="C5" s="3730" t="s">
        <v>1673</v>
      </c>
      <c r="D5" s="3731"/>
      <c r="E5" s="3737" t="s">
        <v>1674</v>
      </c>
      <c r="F5" s="3738"/>
      <c r="G5" s="3730" t="s">
        <v>1675</v>
      </c>
      <c r="H5" s="3731"/>
      <c r="I5" s="3730" t="s">
        <v>1676</v>
      </c>
      <c r="J5" s="3731"/>
      <c r="K5" s="559"/>
      <c r="L5" s="2715"/>
      <c r="M5" s="2716"/>
      <c r="N5" s="2716"/>
      <c r="O5" s="2716"/>
      <c r="P5" s="3717"/>
      <c r="Q5" s="3718"/>
      <c r="R5" s="3723"/>
      <c r="S5" s="3724"/>
      <c r="T5" s="3723"/>
      <c r="U5" s="3724"/>
      <c r="V5" s="3727"/>
      <c r="W5" s="3727"/>
      <c r="X5" s="1355"/>
      <c r="Y5" s="3723"/>
      <c r="Z5" s="3724"/>
      <c r="AA5" s="3709"/>
      <c r="AB5" s="3709"/>
      <c r="AC5" s="3709"/>
    </row>
    <row r="6" spans="1:30" ht="15" thickBot="1">
      <c r="A6" s="360"/>
      <c r="B6" s="361"/>
      <c r="C6" s="3728" t="s">
        <v>1677</v>
      </c>
      <c r="D6" s="3729"/>
      <c r="E6" s="3735" t="s">
        <v>1677</v>
      </c>
      <c r="F6" s="3736"/>
      <c r="G6" s="3728" t="s">
        <v>1677</v>
      </c>
      <c r="H6" s="3729"/>
      <c r="I6" s="3728" t="s">
        <v>1677</v>
      </c>
      <c r="J6" s="3729"/>
      <c r="K6" s="559" t="s">
        <v>1678</v>
      </c>
      <c r="L6" s="2715"/>
      <c r="M6" s="2716"/>
      <c r="N6" s="2716"/>
      <c r="O6" s="2716"/>
      <c r="P6" s="3719"/>
      <c r="Q6" s="3720"/>
      <c r="R6" s="3723"/>
      <c r="S6" s="3724"/>
      <c r="T6" s="3725"/>
      <c r="U6" s="3726"/>
      <c r="V6" s="3727"/>
      <c r="W6" s="3727"/>
      <c r="X6" s="1355"/>
      <c r="Y6" s="3725"/>
      <c r="Z6" s="3726"/>
      <c r="AA6" s="3710"/>
      <c r="AB6" s="3710"/>
      <c r="AC6" s="3710"/>
    </row>
    <row r="7" spans="1:30" s="108" customFormat="1" ht="15" thickBot="1">
      <c r="A7" s="362" t="s">
        <v>1679</v>
      </c>
      <c r="B7" s="363"/>
      <c r="C7" s="364">
        <f>'数据-取费表'!B2</f>
        <v>45442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2" t="s">
        <v>1683</v>
      </c>
      <c r="Q8" s="3733"/>
      <c r="R8" s="701" t="s">
        <v>14</v>
      </c>
      <c r="S8" s="702">
        <f t="shared" si="0"/>
        <v>0</v>
      </c>
      <c r="T8" s="701" t="s">
        <v>14</v>
      </c>
      <c r="U8" s="702">
        <f t="shared" si="1"/>
        <v>0</v>
      </c>
      <c r="V8" s="701" t="s">
        <v>14</v>
      </c>
      <c r="W8" s="702">
        <f t="shared" si="2"/>
        <v>0</v>
      </c>
      <c r="X8" s="703"/>
      <c r="Y8" s="3732" t="s">
        <v>1683</v>
      </c>
      <c r="Z8" s="3733"/>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696"/>
      <c r="Q10" s="1343" t="str">
        <f t="shared" si="6"/>
        <v>土地使用年限（年）</v>
      </c>
      <c r="R10" s="701" t="s">
        <v>14</v>
      </c>
      <c r="S10" s="702">
        <f t="shared" si="0"/>
        <v>123</v>
      </c>
      <c r="T10" s="701" t="s">
        <v>14</v>
      </c>
      <c r="U10" s="702">
        <f t="shared" si="1"/>
        <v>123</v>
      </c>
      <c r="V10" s="701" t="s">
        <v>14</v>
      </c>
      <c r="W10" s="702">
        <f t="shared" si="2"/>
        <v>123</v>
      </c>
      <c r="X10" s="703"/>
      <c r="Y10" s="3552"/>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55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5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55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4"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727">
        <f>E46</f>
        <v>0</v>
      </c>
      <c r="S46" s="3727"/>
      <c r="T46" s="3727">
        <f>G46</f>
        <v>0</v>
      </c>
      <c r="U46" s="3727"/>
      <c r="V46" s="3727">
        <f>I46</f>
        <v>0</v>
      </c>
      <c r="W46" s="3727"/>
      <c r="X46" s="690"/>
      <c r="Y46" s="712"/>
      <c r="Z46" s="690"/>
      <c r="AA46" s="690"/>
      <c r="AB46" s="690"/>
      <c r="AC46" s="690"/>
    </row>
    <row r="47" spans="1:29" ht="1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56" t="e">
        <f>ROUND(PRODUCT(R46,AA7:AA45),0)</f>
        <v>#DIV/0!</v>
      </c>
      <c r="S47" s="3756"/>
      <c r="T47" s="3756" t="e">
        <f>ROUND(PRODUCT(T46,AB7:AB45),0)</f>
        <v>#DIV/0!</v>
      </c>
      <c r="U47" s="3756"/>
      <c r="V47" s="3756" t="e">
        <f>ROUND(PRODUCT(V46,AC7:AC45),0)</f>
        <v>#DIV/0!</v>
      </c>
      <c r="W47" s="3756"/>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57" t="e">
        <f>ROUND(IF(D47="简单平均",AVERAGE(R47:W47),R47*F47+T47*H47+V47*J47),0)</f>
        <v>#DIV/0!</v>
      </c>
      <c r="S48" s="3757"/>
      <c r="T48" s="3757"/>
      <c r="U48" s="3757"/>
      <c r="V48" s="3757"/>
      <c r="W48" s="375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1" t="s">
        <v>1887</v>
      </c>
      <c r="H55" s="375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2072.9499999999998</v>
      </c>
      <c r="F56" s="886" t="e">
        <f t="shared" ref="F56:F64" si="15">ROUND(B56*E56/10000,0)</f>
        <v>#DIV/0!</v>
      </c>
      <c r="G56" s="3707"/>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2072.9499999999998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c r="A5" s="358"/>
      <c r="B5" s="359"/>
      <c r="C5" s="3730" t="s">
        <v>1673</v>
      </c>
      <c r="D5" s="3731"/>
      <c r="E5" s="3737" t="s">
        <v>1674</v>
      </c>
      <c r="F5" s="3738"/>
      <c r="G5" s="3730" t="s">
        <v>1675</v>
      </c>
      <c r="H5" s="3731"/>
      <c r="I5" s="3730" t="s">
        <v>1676</v>
      </c>
      <c r="J5" s="3731"/>
      <c r="K5" s="559"/>
      <c r="L5" s="2715"/>
      <c r="M5" s="2716"/>
      <c r="N5" s="2716"/>
      <c r="O5" s="2716"/>
      <c r="P5" s="3717"/>
      <c r="Q5" s="3718"/>
      <c r="R5" s="3723"/>
      <c r="S5" s="3724"/>
      <c r="T5" s="3723"/>
      <c r="U5" s="3724"/>
      <c r="V5" s="3727"/>
      <c r="W5" s="3727"/>
      <c r="X5" s="1355"/>
      <c r="Y5" s="3723"/>
      <c r="Z5" s="3724"/>
      <c r="AA5" s="3709"/>
      <c r="AB5" s="3709"/>
      <c r="AC5" s="3709"/>
    </row>
    <row r="6" spans="1:29" ht="15" thickBot="1">
      <c r="A6" s="360"/>
      <c r="B6" s="361"/>
      <c r="C6" s="3759" t="s">
        <v>1919</v>
      </c>
      <c r="D6" s="3760"/>
      <c r="E6" s="3761" t="s">
        <v>1919</v>
      </c>
      <c r="F6" s="3762"/>
      <c r="G6" s="3759" t="s">
        <v>1919</v>
      </c>
      <c r="H6" s="3760"/>
      <c r="I6" s="3759" t="s">
        <v>1919</v>
      </c>
      <c r="J6" s="3760"/>
      <c r="K6" s="559" t="s">
        <v>1678</v>
      </c>
      <c r="L6" s="2715"/>
      <c r="M6" s="2716"/>
      <c r="N6" s="2716"/>
      <c r="O6" s="2716"/>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45442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2" t="s">
        <v>1683</v>
      </c>
      <c r="Q8" s="3733"/>
      <c r="R8" s="701" t="s">
        <v>14</v>
      </c>
      <c r="S8" s="702">
        <f t="shared" si="0"/>
        <v>0</v>
      </c>
      <c r="T8" s="701" t="s">
        <v>14</v>
      </c>
      <c r="U8" s="702">
        <f t="shared" si="1"/>
        <v>0</v>
      </c>
      <c r="V8" s="701" t="s">
        <v>14</v>
      </c>
      <c r="W8" s="702">
        <f t="shared" si="2"/>
        <v>0</v>
      </c>
      <c r="X8" s="703"/>
      <c r="Y8" s="3732" t="s">
        <v>1683</v>
      </c>
      <c r="Z8" s="3733"/>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696"/>
      <c r="Q10" s="1343" t="str">
        <f t="shared" si="6"/>
        <v>土地使用年限（年）</v>
      </c>
      <c r="R10" s="701" t="s">
        <v>14</v>
      </c>
      <c r="S10" s="702">
        <f t="shared" si="0"/>
        <v>123</v>
      </c>
      <c r="T10" s="701" t="s">
        <v>14</v>
      </c>
      <c r="U10" s="702">
        <f t="shared" si="1"/>
        <v>123</v>
      </c>
      <c r="V10" s="701" t="s">
        <v>14</v>
      </c>
      <c r="W10" s="702">
        <f t="shared" si="2"/>
        <v>123</v>
      </c>
      <c r="X10" s="703"/>
      <c r="Y10" s="3552"/>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4"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727">
        <f>E41</f>
        <v>0</v>
      </c>
      <c r="S41" s="3727"/>
      <c r="T41" s="3727">
        <f>G41</f>
        <v>0</v>
      </c>
      <c r="U41" s="3727"/>
      <c r="V41" s="3727">
        <f>I41</f>
        <v>0</v>
      </c>
      <c r="W41" s="3727"/>
      <c r="X41" s="690"/>
      <c r="Y41" s="712"/>
      <c r="Z41" s="690"/>
      <c r="AA41" s="690"/>
      <c r="AB41" s="690"/>
      <c r="AC41" s="690"/>
    </row>
    <row r="42" spans="1:31" ht="1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56" t="e">
        <f>ROUND(PRODUCT(R41,AA7:AA40),0)</f>
        <v>#DIV/0!</v>
      </c>
      <c r="S42" s="3756"/>
      <c r="T42" s="3756" t="e">
        <f>ROUND(PRODUCT(T41,AB7:AB40),0)</f>
        <v>#DIV/0!</v>
      </c>
      <c r="U42" s="3756"/>
      <c r="V42" s="3756" t="e">
        <f>ROUND(PRODUCT(V41,AC7:AC40),0)</f>
        <v>#DIV/0!</v>
      </c>
      <c r="W42" s="3756"/>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57" t="e">
        <f>ROUND(IF(D42="简单平均",AVERAGE(R42:W42),R42*F42+T42*H42+V42*J42),0)</f>
        <v>#DIV/0!</v>
      </c>
      <c r="S43" s="3757"/>
      <c r="T43" s="3757"/>
      <c r="U43" s="3757"/>
      <c r="V43" s="3757"/>
      <c r="W43" s="375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1" t="s">
        <v>1887</v>
      </c>
      <c r="H50" s="375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2072.9499999999998</v>
      </c>
      <c r="F51" s="639" t="e">
        <f t="shared" ref="F51:F60" si="15">ROUND(B51*E51/10000,0)</f>
        <v>#DIV/0!</v>
      </c>
      <c r="G51" s="3707"/>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5514.09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6" t="s">
        <v>2083</v>
      </c>
      <c r="D1" s="3767"/>
      <c r="E1" s="3767"/>
      <c r="F1" s="3767"/>
      <c r="G1" s="3767"/>
      <c r="H1" s="3767"/>
      <c r="I1" s="3767"/>
      <c r="J1" s="3767"/>
      <c r="K1" s="3767"/>
      <c r="L1" s="3767"/>
      <c r="M1" s="3767"/>
      <c r="N1" s="3767"/>
      <c r="O1" s="3767"/>
      <c r="P1" s="3767"/>
      <c r="Q1" s="3767"/>
      <c r="R1" s="3767"/>
      <c r="S1" s="376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3" t="s">
        <v>27</v>
      </c>
      <c r="D22" s="3764"/>
      <c r="E22" s="3764"/>
      <c r="F22" s="3764"/>
      <c r="G22" s="3764"/>
      <c r="H22" s="3764"/>
      <c r="I22" s="3764"/>
      <c r="J22" s="3764"/>
      <c r="K22" s="3764"/>
      <c r="L22" s="3764"/>
      <c r="M22" s="3764"/>
      <c r="N22" s="3764"/>
      <c r="O22" s="3764"/>
      <c r="P22" s="3764"/>
      <c r="Q22" s="376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f ca="1">SUMIF(B6:B13,"&lt;&gt;#ref!",B6:B13)</f>
        <v>201</v>
      </c>
      <c r="C2" s="2145" t="s">
        <v>2073</v>
      </c>
      <c r="D2" s="2145" t="s">
        <v>2074</v>
      </c>
      <c r="E2" s="2612">
        <f ca="1">SUMIF(E6:E13,"&lt;&gt;#ref!",E6:E13)</f>
        <v>2072.9499999999998</v>
      </c>
      <c r="F2" s="2793"/>
      <c r="G2" s="2793"/>
      <c r="H2" s="2793"/>
      <c r="I2" s="2793"/>
      <c r="J2" s="2793"/>
      <c r="K2" s="2793"/>
      <c r="L2" s="2793"/>
      <c r="M2" s="2793"/>
      <c r="N2" s="2793"/>
      <c r="O2" s="2793"/>
      <c r="P2" s="2793"/>
    </row>
    <row r="3" spans="1:16" ht="15.6">
      <c r="A3" s="2145" t="s">
        <v>2075</v>
      </c>
      <c r="B3" s="2602">
        <f ca="1">ROUND(B2*10000/E2,0)</f>
        <v>970</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f ca="1">SUMIF(INDIRECT("'"&amp;A6&amp;"'"&amp;"!A:A"),"总价",INDIRECT("'"&amp;A6&amp;"'"&amp;"!B:B"))</f>
        <v>201</v>
      </c>
      <c r="C6" s="2145" t="s">
        <v>2073</v>
      </c>
      <c r="D6" s="2793"/>
      <c r="E6" s="2612">
        <f ca="1">SUMIF(INDIRECT("'"&amp;A6&amp;"'"&amp;"!C:C"),"建筑面积",INDIRECT("'"&amp;A6&amp;"'"&amp;"!D:D"))</f>
        <v>2072.9499999999998</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8" t="s">
        <v>2610</v>
      </c>
      <c r="B20" s="3773" t="s">
        <v>2631</v>
      </c>
      <c r="C20" s="3103" t="s">
        <v>2442</v>
      </c>
      <c r="D20" s="3104"/>
      <c r="E20" s="3105">
        <v>1</v>
      </c>
      <c r="F20" s="3106" t="s">
        <v>2443</v>
      </c>
      <c r="G20" s="3106"/>
    </row>
    <row r="21" spans="1:13" ht="19.5" customHeight="1">
      <c r="A21" s="3779"/>
      <c r="B21" s="3772"/>
      <c r="C21" s="3107" t="s">
        <v>2444</v>
      </c>
      <c r="D21" s="3108"/>
      <c r="E21" s="3109">
        <v>1</v>
      </c>
      <c r="F21" s="3106" t="s">
        <v>2445</v>
      </c>
      <c r="G21" s="3106"/>
    </row>
    <row r="22" spans="1:13" ht="19.5" customHeight="1">
      <c r="A22" s="3779"/>
      <c r="B22" s="3772"/>
      <c r="C22" s="3107" t="s">
        <v>2446</v>
      </c>
      <c r="D22" s="3108"/>
      <c r="E22" s="3109">
        <v>0.9</v>
      </c>
      <c r="F22" s="3106" t="s">
        <v>2447</v>
      </c>
      <c r="G22" s="3106"/>
    </row>
    <row r="23" spans="1:13" ht="19.5" customHeight="1">
      <c r="A23" s="3779"/>
      <c r="B23" s="3772"/>
      <c r="C23" s="3107" t="s">
        <v>2448</v>
      </c>
      <c r="D23" s="3108"/>
      <c r="E23" s="3109">
        <v>0.9</v>
      </c>
      <c r="F23" s="3106" t="s">
        <v>2449</v>
      </c>
      <c r="G23" s="3106"/>
    </row>
    <row r="24" spans="1:13" ht="19.5" customHeight="1">
      <c r="A24" s="3779"/>
      <c r="B24" s="3772"/>
      <c r="C24" s="3107" t="s">
        <v>2450</v>
      </c>
      <c r="D24" s="3108"/>
      <c r="E24" s="3109">
        <v>0.8</v>
      </c>
      <c r="F24" s="3106" t="s">
        <v>2451</v>
      </c>
      <c r="G24" s="3106"/>
    </row>
    <row r="25" spans="1:13" ht="19.5" customHeight="1" thickBot="1">
      <c r="A25" s="3780"/>
      <c r="B25" s="3774"/>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5" t="s">
        <v>2634</v>
      </c>
      <c r="B27" s="3773" t="s">
        <v>2615</v>
      </c>
      <c r="C27" s="3103" t="s">
        <v>2455</v>
      </c>
      <c r="D27" s="3104"/>
      <c r="E27" s="3105">
        <v>1</v>
      </c>
      <c r="F27" s="3106" t="s">
        <v>2456</v>
      </c>
      <c r="G27" s="3106"/>
    </row>
    <row r="28" spans="1:13" ht="19.5" customHeight="1">
      <c r="A28" s="3776"/>
      <c r="B28" s="3772"/>
      <c r="C28" s="3107" t="s">
        <v>2457</v>
      </c>
      <c r="D28" s="3108"/>
      <c r="E28" s="3109">
        <v>1</v>
      </c>
      <c r="F28" s="3106" t="s">
        <v>2458</v>
      </c>
      <c r="G28" s="3106"/>
    </row>
    <row r="29" spans="1:13" ht="19.5" customHeight="1">
      <c r="A29" s="3776"/>
      <c r="B29" s="3772"/>
      <c r="C29" s="3107" t="s">
        <v>2459</v>
      </c>
      <c r="D29" s="3108"/>
      <c r="E29" s="3109">
        <v>0.8</v>
      </c>
      <c r="F29" s="3106" t="s">
        <v>2460</v>
      </c>
      <c r="G29" s="3106"/>
    </row>
    <row r="30" spans="1:13" ht="19.5" customHeight="1">
      <c r="A30" s="3776"/>
      <c r="B30" s="3772"/>
      <c r="C30" s="3107" t="s">
        <v>2461</v>
      </c>
      <c r="D30" s="3108"/>
      <c r="E30" s="3109">
        <v>0.8</v>
      </c>
      <c r="F30" s="3106" t="s">
        <v>2462</v>
      </c>
      <c r="G30" s="3106"/>
    </row>
    <row r="31" spans="1:13" ht="19.5" customHeight="1">
      <c r="A31" s="3776"/>
      <c r="B31" s="3772"/>
      <c r="C31" s="3107" t="s">
        <v>2463</v>
      </c>
      <c r="D31" s="3108"/>
      <c r="E31" s="3109">
        <v>0.8</v>
      </c>
      <c r="F31" s="3106" t="s">
        <v>2464</v>
      </c>
      <c r="G31" s="3106"/>
    </row>
    <row r="32" spans="1:13" ht="19.5" customHeight="1">
      <c r="A32" s="3776"/>
      <c r="B32" s="3772"/>
      <c r="C32" s="3107" t="s">
        <v>2465</v>
      </c>
      <c r="D32" s="3108"/>
      <c r="E32" s="3109">
        <v>0.7</v>
      </c>
      <c r="F32" s="3106" t="s">
        <v>2466</v>
      </c>
      <c r="G32" s="3106"/>
    </row>
    <row r="33" spans="1:7" ht="19.5" customHeight="1">
      <c r="A33" s="3776"/>
      <c r="B33" s="3772"/>
      <c r="C33" s="3107" t="s">
        <v>2467</v>
      </c>
      <c r="D33" s="3108"/>
      <c r="E33" s="3109">
        <v>0.8</v>
      </c>
      <c r="F33" s="3106" t="s">
        <v>2468</v>
      </c>
      <c r="G33" s="3106"/>
    </row>
    <row r="34" spans="1:7" ht="19.5" customHeight="1">
      <c r="A34" s="3776"/>
      <c r="B34" s="3772"/>
      <c r="C34" s="3107" t="s">
        <v>2469</v>
      </c>
      <c r="D34" s="3108"/>
      <c r="E34" s="3109">
        <v>0.6</v>
      </c>
      <c r="F34" s="3106" t="s">
        <v>2470</v>
      </c>
      <c r="G34" s="3106"/>
    </row>
    <row r="35" spans="1:7" ht="19.5" customHeight="1">
      <c r="A35" s="3776"/>
      <c r="B35" s="3772"/>
      <c r="C35" s="3107" t="s">
        <v>2471</v>
      </c>
      <c r="D35" s="3108"/>
      <c r="E35" s="3109">
        <v>0.2</v>
      </c>
      <c r="F35" s="3106" t="s">
        <v>2472</v>
      </c>
      <c r="G35" s="3106"/>
    </row>
    <row r="36" spans="1:7" ht="19.5" customHeight="1">
      <c r="A36" s="3776"/>
      <c r="B36" s="3772"/>
      <c r="C36" s="3107" t="s">
        <v>2473</v>
      </c>
      <c r="D36" s="3108"/>
      <c r="E36" s="3109">
        <v>0.2</v>
      </c>
      <c r="F36" s="3106" t="s">
        <v>2474</v>
      </c>
      <c r="G36" s="3106"/>
    </row>
    <row r="37" spans="1:7" ht="19.5" customHeight="1">
      <c r="A37" s="3776"/>
      <c r="B37" s="3770" t="s">
        <v>2635</v>
      </c>
      <c r="C37" s="3107" t="s">
        <v>2475</v>
      </c>
      <c r="D37" s="3108"/>
      <c r="E37" s="3109">
        <v>0.6</v>
      </c>
      <c r="F37" s="3106" t="s">
        <v>2476</v>
      </c>
      <c r="G37" s="3106"/>
    </row>
    <row r="38" spans="1:7" ht="19.5" customHeight="1">
      <c r="A38" s="3776"/>
      <c r="B38" s="3772"/>
      <c r="C38" s="3107" t="s">
        <v>2477</v>
      </c>
      <c r="D38" s="3108"/>
      <c r="E38" s="3109">
        <v>0.6</v>
      </c>
      <c r="F38" s="3106" t="s">
        <v>2478</v>
      </c>
      <c r="G38" s="3106"/>
    </row>
    <row r="39" spans="1:7" ht="19.5" customHeight="1" thickBot="1">
      <c r="A39" s="3777"/>
      <c r="B39" s="3774"/>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8" t="s">
        <v>2613</v>
      </c>
      <c r="B41" s="3773" t="s">
        <v>2637</v>
      </c>
      <c r="C41" s="3103" t="s">
        <v>2482</v>
      </c>
      <c r="D41" s="3104"/>
      <c r="E41" s="3105">
        <v>1</v>
      </c>
      <c r="F41" s="3106" t="s">
        <v>2483</v>
      </c>
      <c r="G41" s="3106"/>
    </row>
    <row r="42" spans="1:7" ht="19.5" customHeight="1">
      <c r="A42" s="3779"/>
      <c r="B42" s="3772"/>
      <c r="C42" s="3107" t="s">
        <v>2484</v>
      </c>
      <c r="D42" s="3108"/>
      <c r="E42" s="3109">
        <v>1</v>
      </c>
      <c r="F42" s="3106" t="s">
        <v>2485</v>
      </c>
      <c r="G42" s="3106"/>
    </row>
    <row r="43" spans="1:7" ht="19.5" customHeight="1">
      <c r="A43" s="3779"/>
      <c r="B43" s="3771"/>
      <c r="C43" s="3107" t="s">
        <v>2486</v>
      </c>
      <c r="D43" s="3108"/>
      <c r="E43" s="3109">
        <v>1.5</v>
      </c>
      <c r="F43" s="3106" t="s">
        <v>2487</v>
      </c>
      <c r="G43" s="3106"/>
    </row>
    <row r="44" spans="1:7" ht="19.5" customHeight="1">
      <c r="A44" s="3779"/>
      <c r="B44" s="3118" t="s">
        <v>2638</v>
      </c>
      <c r="C44" s="3107" t="s">
        <v>2639</v>
      </c>
      <c r="D44" s="3108"/>
      <c r="E44" s="3109">
        <v>2</v>
      </c>
      <c r="F44" s="3106" t="s">
        <v>2488</v>
      </c>
      <c r="G44" s="3106"/>
    </row>
    <row r="45" spans="1:7" ht="19.5" customHeight="1">
      <c r="A45" s="3779"/>
      <c r="B45" s="3770" t="s">
        <v>2640</v>
      </c>
      <c r="C45" s="3107" t="s">
        <v>2489</v>
      </c>
      <c r="D45" s="3108"/>
      <c r="E45" s="3109">
        <v>1</v>
      </c>
      <c r="F45" s="3106" t="s">
        <v>2490</v>
      </c>
      <c r="G45" s="3106"/>
    </row>
    <row r="46" spans="1:7" ht="19.5" customHeight="1">
      <c r="A46" s="3779"/>
      <c r="B46" s="3772"/>
      <c r="C46" s="3107" t="s">
        <v>2491</v>
      </c>
      <c r="D46" s="3108"/>
      <c r="E46" s="3109">
        <v>1</v>
      </c>
      <c r="F46" s="3106" t="s">
        <v>2492</v>
      </c>
      <c r="G46" s="3106"/>
    </row>
    <row r="47" spans="1:7" ht="19.5" customHeight="1">
      <c r="A47" s="3779"/>
      <c r="B47" s="3772"/>
      <c r="C47" s="3107" t="s">
        <v>2493</v>
      </c>
      <c r="D47" s="3108"/>
      <c r="E47" s="3109">
        <v>1</v>
      </c>
      <c r="F47" s="3106" t="s">
        <v>2494</v>
      </c>
      <c r="G47" s="3106"/>
    </row>
    <row r="48" spans="1:7" ht="19.5" customHeight="1">
      <c r="A48" s="3779"/>
      <c r="B48" s="3772"/>
      <c r="C48" s="3107" t="s">
        <v>2495</v>
      </c>
      <c r="D48" s="3108"/>
      <c r="E48" s="3109">
        <v>1</v>
      </c>
      <c r="F48" s="3106" t="s">
        <v>2496</v>
      </c>
      <c r="G48" s="3106"/>
    </row>
    <row r="49" spans="1:7" ht="19.5" customHeight="1">
      <c r="A49" s="3779"/>
      <c r="B49" s="3772"/>
      <c r="C49" s="3107" t="s">
        <v>2497</v>
      </c>
      <c r="D49" s="3108"/>
      <c r="E49" s="3109">
        <v>1</v>
      </c>
      <c r="F49" s="3106" t="s">
        <v>2498</v>
      </c>
      <c r="G49" s="3106"/>
    </row>
    <row r="50" spans="1:7" ht="19.5" customHeight="1">
      <c r="A50" s="3779"/>
      <c r="B50" s="3772"/>
      <c r="C50" s="3107" t="s">
        <v>2499</v>
      </c>
      <c r="D50" s="3108"/>
      <c r="E50" s="3109">
        <v>1</v>
      </c>
      <c r="F50" s="3106" t="s">
        <v>2500</v>
      </c>
      <c r="G50" s="3106"/>
    </row>
    <row r="51" spans="1:7" ht="19.5" customHeight="1" thickBot="1">
      <c r="A51" s="3780"/>
      <c r="B51" s="3774"/>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4.4">
      <c r="A72" s="3118"/>
      <c r="B72" s="3118"/>
      <c r="C72" s="3118" t="s">
        <v>2653</v>
      </c>
      <c r="D72" s="3118"/>
      <c r="E72" s="3118" t="s">
        <v>2624</v>
      </c>
      <c r="F72" s="3118" t="s">
        <v>2624</v>
      </c>
    </row>
    <row r="73" spans="1:7" ht="14.4">
      <c r="A73" s="3118">
        <v>1</v>
      </c>
      <c r="B73" s="3770" t="s">
        <v>2654</v>
      </c>
      <c r="C73" s="3092" t="s">
        <v>2655</v>
      </c>
      <c r="D73" s="3092" t="s">
        <v>2656</v>
      </c>
      <c r="E73" s="3118">
        <v>0.2</v>
      </c>
      <c r="F73" s="3118">
        <v>25</v>
      </c>
    </row>
    <row r="74" spans="1:7" ht="24">
      <c r="A74" s="3118">
        <v>2</v>
      </c>
      <c r="B74" s="3772"/>
      <c r="C74" s="3092" t="s">
        <v>2657</v>
      </c>
      <c r="D74" s="3092" t="s">
        <v>2658</v>
      </c>
      <c r="E74" s="3118">
        <v>0.2</v>
      </c>
      <c r="F74" s="3118">
        <v>25</v>
      </c>
    </row>
    <row r="75" spans="1:7" ht="24">
      <c r="A75" s="3118">
        <v>3</v>
      </c>
      <c r="B75" s="3772"/>
      <c r="C75" s="3092" t="s">
        <v>2659</v>
      </c>
      <c r="D75" s="3092" t="s">
        <v>2660</v>
      </c>
      <c r="E75" s="3118">
        <v>0.2</v>
      </c>
      <c r="F75" s="3118">
        <v>25</v>
      </c>
    </row>
    <row r="76" spans="1:7" ht="14.4">
      <c r="A76" s="3118">
        <v>4</v>
      </c>
      <c r="B76" s="3772"/>
      <c r="C76" s="3092" t="s">
        <v>2661</v>
      </c>
      <c r="D76" s="3092" t="s">
        <v>2662</v>
      </c>
      <c r="E76" s="3118">
        <v>0.15</v>
      </c>
      <c r="F76" s="3118">
        <v>20</v>
      </c>
    </row>
    <row r="77" spans="1:7" ht="24">
      <c r="A77" s="3118">
        <v>5</v>
      </c>
      <c r="B77" s="3772"/>
      <c r="C77" s="3092" t="s">
        <v>2663</v>
      </c>
      <c r="D77" s="3092" t="s">
        <v>2664</v>
      </c>
      <c r="E77" s="3118">
        <v>0.15</v>
      </c>
      <c r="F77" s="3118">
        <v>20</v>
      </c>
    </row>
    <row r="78" spans="1:7" ht="24">
      <c r="A78" s="3118">
        <v>6</v>
      </c>
      <c r="B78" s="3772"/>
      <c r="C78" s="3092" t="s">
        <v>2665</v>
      </c>
      <c r="D78" s="3092" t="s">
        <v>2666</v>
      </c>
      <c r="E78" s="3118">
        <v>0.15</v>
      </c>
      <c r="F78" s="3118">
        <v>20</v>
      </c>
    </row>
    <row r="79" spans="1:7" ht="24">
      <c r="A79" s="3118">
        <v>7</v>
      </c>
      <c r="B79" s="3772"/>
      <c r="C79" s="3092" t="s">
        <v>2667</v>
      </c>
      <c r="D79" s="3092" t="s">
        <v>2668</v>
      </c>
      <c r="E79" s="3118">
        <v>0.15</v>
      </c>
      <c r="F79" s="3118">
        <v>20</v>
      </c>
    </row>
    <row r="80" spans="1:7" ht="24">
      <c r="A80" s="3118">
        <v>8</v>
      </c>
      <c r="B80" s="3772"/>
      <c r="C80" s="3092" t="s">
        <v>2669</v>
      </c>
      <c r="D80" s="3092" t="s">
        <v>2670</v>
      </c>
      <c r="E80" s="3118">
        <v>0.1</v>
      </c>
      <c r="F80" s="3118">
        <v>15</v>
      </c>
    </row>
    <row r="81" spans="1:6" ht="24">
      <c r="A81" s="3118">
        <v>9</v>
      </c>
      <c r="B81" s="3772"/>
      <c r="C81" s="3092" t="s">
        <v>2671</v>
      </c>
      <c r="D81" s="3092" t="s">
        <v>2672</v>
      </c>
      <c r="E81" s="3118">
        <v>0.1</v>
      </c>
      <c r="F81" s="3118">
        <v>15</v>
      </c>
    </row>
    <row r="82" spans="1:6" ht="24">
      <c r="A82" s="3118">
        <v>10</v>
      </c>
      <c r="B82" s="3772"/>
      <c r="C82" s="3092" t="s">
        <v>2673</v>
      </c>
      <c r="D82" s="3092" t="s">
        <v>2674</v>
      </c>
      <c r="E82" s="3118">
        <v>0.1</v>
      </c>
      <c r="F82" s="3118">
        <v>15</v>
      </c>
    </row>
    <row r="83" spans="1:6" ht="24">
      <c r="A83" s="3118">
        <v>11</v>
      </c>
      <c r="B83" s="3772"/>
      <c r="C83" s="3092" t="s">
        <v>2675</v>
      </c>
      <c r="D83" s="3092" t="s">
        <v>2676</v>
      </c>
      <c r="E83" s="3118">
        <v>0.1</v>
      </c>
      <c r="F83" s="3118">
        <v>15</v>
      </c>
    </row>
    <row r="84" spans="1:6" ht="24">
      <c r="A84" s="3118">
        <v>12</v>
      </c>
      <c r="B84" s="3772"/>
      <c r="C84" s="3092" t="s">
        <v>2677</v>
      </c>
      <c r="D84" s="3092" t="s">
        <v>2678</v>
      </c>
      <c r="E84" s="3118">
        <v>0.1</v>
      </c>
      <c r="F84" s="3118">
        <v>15</v>
      </c>
    </row>
    <row r="85" spans="1:6" ht="24">
      <c r="A85" s="3118">
        <v>13</v>
      </c>
      <c r="B85" s="3772"/>
      <c r="C85" s="3092" t="s">
        <v>2679</v>
      </c>
      <c r="D85" s="3092" t="s">
        <v>2680</v>
      </c>
      <c r="E85" s="3118">
        <v>0.1</v>
      </c>
      <c r="F85" s="3118">
        <v>15</v>
      </c>
    </row>
    <row r="86" spans="1:6" ht="24">
      <c r="A86" s="3118">
        <v>14</v>
      </c>
      <c r="B86" s="3772"/>
      <c r="C86" s="3092" t="s">
        <v>2681</v>
      </c>
      <c r="D86" s="3092" t="s">
        <v>2682</v>
      </c>
      <c r="E86" s="3118">
        <v>0.1</v>
      </c>
      <c r="F86" s="3118">
        <v>15</v>
      </c>
    </row>
    <row r="87" spans="1:6" ht="24">
      <c r="A87" s="3118">
        <v>15</v>
      </c>
      <c r="B87" s="3772"/>
      <c r="C87" s="3092" t="s">
        <v>2683</v>
      </c>
      <c r="D87" s="3092" t="s">
        <v>2684</v>
      </c>
      <c r="E87" s="3118">
        <v>0.1</v>
      </c>
      <c r="F87" s="3118">
        <v>15</v>
      </c>
    </row>
    <row r="88" spans="1:6" ht="24">
      <c r="A88" s="3118">
        <v>16</v>
      </c>
      <c r="B88" s="3772"/>
      <c r="C88" s="3092" t="s">
        <v>2685</v>
      </c>
      <c r="D88" s="3092" t="s">
        <v>2686</v>
      </c>
      <c r="E88" s="3118">
        <v>0.1</v>
      </c>
      <c r="F88" s="3118">
        <v>15</v>
      </c>
    </row>
    <row r="89" spans="1:6" ht="24">
      <c r="A89" s="3118">
        <v>17</v>
      </c>
      <c r="B89" s="3771"/>
      <c r="C89" s="3092" t="s">
        <v>2687</v>
      </c>
      <c r="D89" s="3092" t="s">
        <v>2688</v>
      </c>
      <c r="E89" s="3118">
        <v>0.1</v>
      </c>
      <c r="F89" s="3118">
        <v>15</v>
      </c>
    </row>
    <row r="90" spans="1:6" ht="14.4">
      <c r="A90" s="3118">
        <v>18</v>
      </c>
      <c r="B90" s="3770" t="s">
        <v>2689</v>
      </c>
      <c r="C90" s="3092" t="s">
        <v>2690</v>
      </c>
      <c r="D90" s="3092" t="s">
        <v>2691</v>
      </c>
      <c r="E90" s="3118">
        <v>0.2</v>
      </c>
      <c r="F90" s="3118">
        <v>25</v>
      </c>
    </row>
    <row r="91" spans="1:6" ht="24">
      <c r="A91" s="3118">
        <v>19</v>
      </c>
      <c r="B91" s="3772"/>
      <c r="C91" s="3092" t="s">
        <v>2692</v>
      </c>
      <c r="D91" s="3092" t="s">
        <v>2693</v>
      </c>
      <c r="E91" s="3118">
        <v>0.2</v>
      </c>
      <c r="F91" s="3118">
        <v>25</v>
      </c>
    </row>
    <row r="92" spans="1:6" ht="14.4">
      <c r="A92" s="3118">
        <v>20</v>
      </c>
      <c r="B92" s="3772"/>
      <c r="C92" s="3092" t="s">
        <v>2694</v>
      </c>
      <c r="D92" s="3092" t="s">
        <v>2695</v>
      </c>
      <c r="E92" s="3118">
        <v>0.15</v>
      </c>
      <c r="F92" s="3118">
        <v>20</v>
      </c>
    </row>
    <row r="93" spans="1:6" ht="24">
      <c r="A93" s="3118">
        <v>21</v>
      </c>
      <c r="B93" s="3772"/>
      <c r="C93" s="3092" t="s">
        <v>2696</v>
      </c>
      <c r="D93" s="3092" t="s">
        <v>2697</v>
      </c>
      <c r="E93" s="3118">
        <v>0.15</v>
      </c>
      <c r="F93" s="3118">
        <v>20</v>
      </c>
    </row>
    <row r="94" spans="1:6" ht="24">
      <c r="A94" s="3118">
        <v>22</v>
      </c>
      <c r="B94" s="3772"/>
      <c r="C94" s="3092" t="s">
        <v>2698</v>
      </c>
      <c r="D94" s="3092" t="s">
        <v>2699</v>
      </c>
      <c r="E94" s="3118">
        <v>0.15</v>
      </c>
      <c r="F94" s="3118">
        <v>20</v>
      </c>
    </row>
    <row r="95" spans="1:6" ht="36">
      <c r="A95" s="3118">
        <v>23</v>
      </c>
      <c r="B95" s="3772"/>
      <c r="C95" s="3092" t="s">
        <v>2700</v>
      </c>
      <c r="D95" s="3092" t="s">
        <v>2701</v>
      </c>
      <c r="E95" s="3118">
        <v>0.15</v>
      </c>
      <c r="F95" s="3118">
        <v>20</v>
      </c>
    </row>
    <row r="96" spans="1:6" ht="24">
      <c r="A96" s="3118">
        <v>24</v>
      </c>
      <c r="B96" s="3772"/>
      <c r="C96" s="3092" t="s">
        <v>2702</v>
      </c>
      <c r="D96" s="3092" t="s">
        <v>2703</v>
      </c>
      <c r="E96" s="3118">
        <v>0.1</v>
      </c>
      <c r="F96" s="3118">
        <v>15</v>
      </c>
    </row>
    <row r="97" spans="1:6" ht="24">
      <c r="A97" s="3118">
        <v>25</v>
      </c>
      <c r="B97" s="3772"/>
      <c r="C97" s="3092" t="s">
        <v>2704</v>
      </c>
      <c r="D97" s="3092" t="s">
        <v>2705</v>
      </c>
      <c r="E97" s="3118">
        <v>0.1</v>
      </c>
      <c r="F97" s="3118">
        <v>15</v>
      </c>
    </row>
    <row r="98" spans="1:6" ht="24">
      <c r="A98" s="3118">
        <v>26</v>
      </c>
      <c r="B98" s="3772"/>
      <c r="C98" s="3092" t="s">
        <v>2706</v>
      </c>
      <c r="D98" s="3092" t="s">
        <v>2707</v>
      </c>
      <c r="E98" s="3118">
        <v>0.1</v>
      </c>
      <c r="F98" s="3118">
        <v>15</v>
      </c>
    </row>
    <row r="99" spans="1:6" ht="24">
      <c r="A99" s="3118">
        <v>27</v>
      </c>
      <c r="B99" s="3772"/>
      <c r="C99" s="3092" t="s">
        <v>2708</v>
      </c>
      <c r="D99" s="3092" t="s">
        <v>2709</v>
      </c>
      <c r="E99" s="3118">
        <v>0.1</v>
      </c>
      <c r="F99" s="3118">
        <v>15</v>
      </c>
    </row>
    <row r="100" spans="1:6" ht="24">
      <c r="A100" s="3118">
        <v>28</v>
      </c>
      <c r="B100" s="3772"/>
      <c r="C100" s="3092" t="s">
        <v>2710</v>
      </c>
      <c r="D100" s="3092" t="s">
        <v>2711</v>
      </c>
      <c r="E100" s="3118">
        <v>0.1</v>
      </c>
      <c r="F100" s="3118">
        <v>15</v>
      </c>
    </row>
    <row r="101" spans="1:6" ht="24">
      <c r="A101" s="3118">
        <v>29</v>
      </c>
      <c r="B101" s="3772"/>
      <c r="C101" s="3092" t="s">
        <v>2712</v>
      </c>
      <c r="D101" s="3092" t="s">
        <v>2713</v>
      </c>
      <c r="E101" s="3118">
        <v>0.1</v>
      </c>
      <c r="F101" s="3118">
        <v>15</v>
      </c>
    </row>
    <row r="102" spans="1:6" ht="24">
      <c r="A102" s="3118">
        <v>30</v>
      </c>
      <c r="B102" s="3772"/>
      <c r="C102" s="3092" t="s">
        <v>2714</v>
      </c>
      <c r="D102" s="3092" t="s">
        <v>2715</v>
      </c>
      <c r="E102" s="3118">
        <v>0.1</v>
      </c>
      <c r="F102" s="3118">
        <v>15</v>
      </c>
    </row>
    <row r="103" spans="1:6" ht="24">
      <c r="A103" s="3118">
        <v>31</v>
      </c>
      <c r="B103" s="3772"/>
      <c r="C103" s="3092" t="s">
        <v>2716</v>
      </c>
      <c r="D103" s="3092" t="s">
        <v>2717</v>
      </c>
      <c r="E103" s="3118">
        <v>0.1</v>
      </c>
      <c r="F103" s="3118">
        <v>15</v>
      </c>
    </row>
    <row r="104" spans="1:6" ht="24">
      <c r="A104" s="3118">
        <v>32</v>
      </c>
      <c r="B104" s="3772"/>
      <c r="C104" s="3092" t="s">
        <v>2718</v>
      </c>
      <c r="D104" s="3092" t="s">
        <v>2719</v>
      </c>
      <c r="E104" s="3118">
        <v>0.1</v>
      </c>
      <c r="F104" s="3118">
        <v>15</v>
      </c>
    </row>
    <row r="105" spans="1:6" ht="24">
      <c r="A105" s="3118">
        <v>33</v>
      </c>
      <c r="B105" s="3772"/>
      <c r="C105" s="3092" t="s">
        <v>2720</v>
      </c>
      <c r="D105" s="3092" t="s">
        <v>2721</v>
      </c>
      <c r="E105" s="3118">
        <v>0.1</v>
      </c>
      <c r="F105" s="3118">
        <v>15</v>
      </c>
    </row>
    <row r="106" spans="1:6" ht="24">
      <c r="A106" s="3118">
        <v>34</v>
      </c>
      <c r="B106" s="3771"/>
      <c r="C106" s="3092" t="s">
        <v>2722</v>
      </c>
      <c r="D106" s="3092" t="s">
        <v>2723</v>
      </c>
      <c r="E106" s="3118">
        <v>0.1</v>
      </c>
      <c r="F106" s="3118">
        <v>15</v>
      </c>
    </row>
    <row r="107" spans="1:6" ht="36">
      <c r="A107" s="3118">
        <v>35</v>
      </c>
      <c r="B107" s="3770" t="s">
        <v>2724</v>
      </c>
      <c r="C107" s="3118" t="s">
        <v>2725</v>
      </c>
      <c r="D107" s="3092" t="s">
        <v>2726</v>
      </c>
      <c r="E107" s="3118">
        <v>0.15</v>
      </c>
      <c r="F107" s="3118">
        <v>20</v>
      </c>
    </row>
    <row r="108" spans="1:6" ht="24">
      <c r="A108" s="3118">
        <v>36</v>
      </c>
      <c r="B108" s="3772"/>
      <c r="C108" s="3118" t="s">
        <v>2727</v>
      </c>
      <c r="D108" s="3092" t="s">
        <v>2728</v>
      </c>
      <c r="E108" s="3118">
        <v>0.15</v>
      </c>
      <c r="F108" s="3118">
        <v>20</v>
      </c>
    </row>
    <row r="109" spans="1:6" ht="24">
      <c r="A109" s="3118">
        <v>37</v>
      </c>
      <c r="B109" s="3772"/>
      <c r="C109" s="3118" t="s">
        <v>2729</v>
      </c>
      <c r="D109" s="3092" t="s">
        <v>2730</v>
      </c>
      <c r="E109" s="3118">
        <v>0.15</v>
      </c>
      <c r="F109" s="3118">
        <v>20</v>
      </c>
    </row>
    <row r="110" spans="1:6" ht="24">
      <c r="A110" s="3118">
        <v>38</v>
      </c>
      <c r="B110" s="3772"/>
      <c r="C110" s="3118" t="s">
        <v>2731</v>
      </c>
      <c r="D110" s="3092" t="s">
        <v>2732</v>
      </c>
      <c r="E110" s="3118">
        <v>0.1</v>
      </c>
      <c r="F110" s="3118">
        <v>15</v>
      </c>
    </row>
    <row r="111" spans="1:6" ht="24">
      <c r="A111" s="3118">
        <v>39</v>
      </c>
      <c r="B111" s="3772"/>
      <c r="C111" s="3118" t="s">
        <v>2733</v>
      </c>
      <c r="D111" s="3092" t="s">
        <v>2734</v>
      </c>
      <c r="E111" s="3118">
        <v>0.1</v>
      </c>
      <c r="F111" s="3118">
        <v>15</v>
      </c>
    </row>
    <row r="112" spans="1:6" ht="24">
      <c r="A112" s="3118">
        <v>40</v>
      </c>
      <c r="B112" s="3771"/>
      <c r="C112" s="3118" t="s">
        <v>2735</v>
      </c>
      <c r="D112" s="3092" t="s">
        <v>2736</v>
      </c>
      <c r="E112" s="3118">
        <v>0.1</v>
      </c>
      <c r="F112" s="3118">
        <v>15</v>
      </c>
    </row>
    <row r="113" spans="1:6" ht="24">
      <c r="A113" s="3118">
        <v>41</v>
      </c>
      <c r="B113" s="3769" t="s">
        <v>2737</v>
      </c>
      <c r="C113" s="3118" t="s">
        <v>2738</v>
      </c>
      <c r="D113" s="3092" t="s">
        <v>2739</v>
      </c>
      <c r="E113" s="3118">
        <v>0.1</v>
      </c>
      <c r="F113" s="3118">
        <v>15</v>
      </c>
    </row>
    <row r="114" spans="1:6" ht="24">
      <c r="A114" s="3118">
        <v>42</v>
      </c>
      <c r="B114" s="3769"/>
      <c r="C114" s="3118" t="s">
        <v>2740</v>
      </c>
      <c r="D114" s="3092" t="s">
        <v>2741</v>
      </c>
      <c r="E114" s="3118">
        <v>0.1</v>
      </c>
      <c r="F114" s="3118">
        <v>15</v>
      </c>
    </row>
    <row r="115" spans="1:6" ht="24">
      <c r="A115" s="3118">
        <v>43</v>
      </c>
      <c r="B115" s="3769"/>
      <c r="C115" s="3118" t="s">
        <v>2742</v>
      </c>
      <c r="D115" s="3092" t="s">
        <v>2743</v>
      </c>
      <c r="E115" s="3118">
        <v>0.1</v>
      </c>
      <c r="F115" s="3118">
        <v>15</v>
      </c>
    </row>
    <row r="116" spans="1:6" ht="24">
      <c r="A116" s="3118">
        <v>44</v>
      </c>
      <c r="B116" s="3770" t="s">
        <v>2744</v>
      </c>
      <c r="C116" s="3118" t="s">
        <v>2745</v>
      </c>
      <c r="D116" s="3092" t="s">
        <v>2746</v>
      </c>
      <c r="E116" s="3118">
        <v>0.1</v>
      </c>
      <c r="F116" s="3118">
        <v>15</v>
      </c>
    </row>
    <row r="117" spans="1:6" ht="24">
      <c r="A117" s="3118">
        <v>45</v>
      </c>
      <c r="B117" s="3771"/>
      <c r="C117" s="3092" t="s">
        <v>2747</v>
      </c>
      <c r="D117" s="3092" t="s">
        <v>2748</v>
      </c>
      <c r="E117" s="3118">
        <v>0.1</v>
      </c>
      <c r="F117" s="3118">
        <v>15</v>
      </c>
    </row>
    <row r="118" spans="1:6" ht="24">
      <c r="A118" s="3118">
        <v>46</v>
      </c>
      <c r="B118" s="3770" t="s">
        <v>2749</v>
      </c>
      <c r="C118" s="3118" t="s">
        <v>2750</v>
      </c>
      <c r="D118" s="3092" t="s">
        <v>2751</v>
      </c>
      <c r="E118" s="3118">
        <v>0.1</v>
      </c>
      <c r="F118" s="3118">
        <v>15</v>
      </c>
    </row>
    <row r="119" spans="1:6" ht="24">
      <c r="A119" s="3118">
        <v>47</v>
      </c>
      <c r="B119" s="3771"/>
      <c r="C119" s="3118" t="s">
        <v>2752</v>
      </c>
      <c r="D119" s="3092" t="s">
        <v>2753</v>
      </c>
      <c r="E119" s="3118">
        <v>0.1</v>
      </c>
      <c r="F119" s="3118">
        <v>15</v>
      </c>
    </row>
    <row r="120" spans="1:6" ht="24">
      <c r="A120" s="3118">
        <v>48</v>
      </c>
      <c r="B120" s="3770" t="s">
        <v>2754</v>
      </c>
      <c r="C120" s="3118" t="s">
        <v>2755</v>
      </c>
      <c r="D120" s="3092" t="s">
        <v>2756</v>
      </c>
      <c r="E120" s="3118">
        <v>0.1</v>
      </c>
      <c r="F120" s="3118">
        <v>15</v>
      </c>
    </row>
    <row r="121" spans="1:6" ht="24">
      <c r="A121" s="3118">
        <v>49</v>
      </c>
      <c r="B121" s="3771"/>
      <c r="C121" s="3118" t="s">
        <v>2757</v>
      </c>
      <c r="D121" s="3092" t="s">
        <v>2758</v>
      </c>
      <c r="E121" s="3118">
        <v>0.1</v>
      </c>
      <c r="F121" s="3118">
        <v>15</v>
      </c>
    </row>
    <row r="122" spans="1:6" ht="24">
      <c r="A122" s="3118">
        <v>50</v>
      </c>
      <c r="B122" s="3769" t="s">
        <v>2759</v>
      </c>
      <c r="C122" s="3118" t="s">
        <v>2760</v>
      </c>
      <c r="D122" s="3092" t="s">
        <v>2761</v>
      </c>
      <c r="E122" s="3118">
        <v>0.1</v>
      </c>
      <c r="F122" s="3118">
        <v>15</v>
      </c>
    </row>
    <row r="123" spans="1:6" ht="24">
      <c r="A123" s="3118">
        <v>51</v>
      </c>
      <c r="B123" s="3769"/>
      <c r="C123" s="3118" t="s">
        <v>2762</v>
      </c>
      <c r="D123" s="3092" t="s">
        <v>2763</v>
      </c>
      <c r="E123" s="3118">
        <v>0.1</v>
      </c>
      <c r="F123" s="3118">
        <v>15</v>
      </c>
    </row>
    <row r="124" spans="1:6" ht="24">
      <c r="A124" s="3118">
        <v>52</v>
      </c>
      <c r="B124" s="3769" t="s">
        <v>2764</v>
      </c>
      <c r="C124" s="3118" t="s">
        <v>2765</v>
      </c>
      <c r="D124" s="3092" t="s">
        <v>2766</v>
      </c>
      <c r="E124" s="3118">
        <v>0.1</v>
      </c>
      <c r="F124" s="3118">
        <v>15</v>
      </c>
    </row>
    <row r="125" spans="1:6" ht="24">
      <c r="A125" s="3118">
        <v>53</v>
      </c>
      <c r="B125" s="3769"/>
      <c r="C125" s="3118" t="s">
        <v>2767</v>
      </c>
      <c r="D125" s="3092" t="s">
        <v>2768</v>
      </c>
      <c r="E125" s="3118">
        <v>0.1</v>
      </c>
      <c r="F125" s="3118">
        <v>15</v>
      </c>
    </row>
    <row r="126" spans="1:6" ht="24">
      <c r="A126" s="3118">
        <v>54</v>
      </c>
      <c r="B126" s="3118" t="s">
        <v>2769</v>
      </c>
      <c r="C126" s="3118" t="s">
        <v>2770</v>
      </c>
      <c r="D126" s="3092" t="s">
        <v>2771</v>
      </c>
      <c r="E126" s="3118">
        <v>0.1</v>
      </c>
      <c r="F126" s="3118">
        <v>15</v>
      </c>
    </row>
    <row r="127" spans="1:6" ht="24">
      <c r="A127" s="3118">
        <v>55</v>
      </c>
      <c r="B127" s="3769" t="s">
        <v>2772</v>
      </c>
      <c r="C127" s="3118" t="s">
        <v>2773</v>
      </c>
      <c r="D127" s="3092" t="s">
        <v>2774</v>
      </c>
      <c r="E127" s="3118">
        <v>0.1</v>
      </c>
      <c r="F127" s="3118">
        <v>15</v>
      </c>
    </row>
    <row r="128" spans="1:6" ht="24">
      <c r="A128" s="3118">
        <v>56</v>
      </c>
      <c r="B128" s="3769"/>
      <c r="C128" s="3118" t="s">
        <v>2775</v>
      </c>
      <c r="D128" s="3092" t="s">
        <v>2776</v>
      </c>
      <c r="E128" s="3118">
        <v>0.1</v>
      </c>
      <c r="F128" s="3118">
        <v>15</v>
      </c>
    </row>
    <row r="129" spans="1:6" ht="24">
      <c r="A129" s="3118">
        <v>57</v>
      </c>
      <c r="B129" s="3769"/>
      <c r="C129" s="3118" t="s">
        <v>2777</v>
      </c>
      <c r="D129" s="3092" t="s">
        <v>2778</v>
      </c>
      <c r="E129" s="3118">
        <v>0.1</v>
      </c>
      <c r="F129" s="3118">
        <v>15</v>
      </c>
    </row>
    <row r="130" spans="1:6" ht="24">
      <c r="A130" s="3118">
        <v>58</v>
      </c>
      <c r="B130" s="3769" t="s">
        <v>2779</v>
      </c>
      <c r="C130" s="3118" t="s">
        <v>2780</v>
      </c>
      <c r="D130" s="3092" t="s">
        <v>2781</v>
      </c>
      <c r="E130" s="3118">
        <v>0.1</v>
      </c>
      <c r="F130" s="3118">
        <v>15</v>
      </c>
    </row>
    <row r="131" spans="1:6" ht="24">
      <c r="A131" s="3118">
        <v>59</v>
      </c>
      <c r="B131" s="3769"/>
      <c r="C131" s="3118" t="s">
        <v>2782</v>
      </c>
      <c r="D131" s="3092" t="s">
        <v>2783</v>
      </c>
      <c r="E131" s="3118">
        <v>0.1</v>
      </c>
      <c r="F131" s="3118">
        <v>15</v>
      </c>
    </row>
    <row r="132" spans="1:6" ht="24">
      <c r="A132" s="3118">
        <v>60</v>
      </c>
      <c r="B132" s="3770" t="s">
        <v>2784</v>
      </c>
      <c r="C132" s="3118" t="s">
        <v>2785</v>
      </c>
      <c r="D132" s="3092" t="s">
        <v>2786</v>
      </c>
      <c r="E132" s="3118">
        <v>0.1</v>
      </c>
      <c r="F132" s="3118">
        <v>15</v>
      </c>
    </row>
    <row r="133" spans="1:6" ht="24">
      <c r="A133" s="3118">
        <v>61</v>
      </c>
      <c r="B133" s="3771"/>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24">
      <c r="A135" s="3118">
        <v>63</v>
      </c>
      <c r="B135" s="3769" t="s">
        <v>2792</v>
      </c>
      <c r="C135" s="3118" t="s">
        <v>2793</v>
      </c>
      <c r="D135" s="3092" t="s">
        <v>2794</v>
      </c>
      <c r="E135" s="3118">
        <v>0.1</v>
      </c>
      <c r="F135" s="3118">
        <v>15</v>
      </c>
    </row>
    <row r="136" spans="1:6" ht="24">
      <c r="A136" s="3118">
        <v>64</v>
      </c>
      <c r="B136" s="3769"/>
      <c r="C136" s="3118" t="s">
        <v>2795</v>
      </c>
      <c r="D136" s="3092" t="s">
        <v>2796</v>
      </c>
      <c r="E136" s="3118">
        <v>0.1</v>
      </c>
      <c r="F136" s="3118">
        <v>15</v>
      </c>
    </row>
    <row r="137" spans="1:6" ht="24">
      <c r="A137" s="3118">
        <v>65</v>
      </c>
      <c r="B137" s="3118" t="s">
        <v>2797</v>
      </c>
      <c r="C137" s="3118" t="s">
        <v>2798</v>
      </c>
      <c r="D137" s="3092" t="s">
        <v>2799</v>
      </c>
      <c r="E137" s="3118">
        <v>0.1</v>
      </c>
      <c r="F137" s="3118">
        <v>15</v>
      </c>
    </row>
    <row r="138" spans="1:6" ht="14.4">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1.2302</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1.1198999999999999</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7.399999999999999">
      <c r="A3" s="3467" t="str">
        <f>IF(项目基本情况!B9="房地产市场价值","估价结果一览表（市场价值不需“结果表-1”）","估价结果一览表")</f>
        <v>估价结果一览表</v>
      </c>
      <c r="B3" s="3467"/>
      <c r="C3" s="3467"/>
      <c r="D3" s="3467"/>
      <c r="E3" s="3467"/>
    </row>
    <row r="4" spans="1:5" ht="18" thickBot="1">
      <c r="A4" s="1493"/>
      <c r="B4" s="3465" t="s">
        <v>917</v>
      </c>
      <c r="C4" s="3465"/>
      <c r="D4" s="3465"/>
      <c r="E4" s="1493"/>
    </row>
    <row r="5" spans="1:5" ht="16.2" thickTop="1">
      <c r="A5" s="1491"/>
      <c r="B5" s="3463" t="s">
        <v>909</v>
      </c>
      <c r="C5" s="1494" t="s">
        <v>910</v>
      </c>
      <c r="D5" s="850">
        <f ca="1">结果表!H101</f>
        <v>701</v>
      </c>
      <c r="E5" s="1491"/>
    </row>
    <row r="6" spans="1:5" ht="15.6">
      <c r="A6" s="1491"/>
      <c r="B6" s="3463"/>
      <c r="C6" s="1494" t="s">
        <v>911</v>
      </c>
      <c r="D6" s="850" t="str">
        <f ca="1">NUMBERSTRING(INT(D5*10000),2)&amp;"元整"</f>
        <v>柒佰零壹万元整</v>
      </c>
      <c r="E6" s="1491"/>
    </row>
    <row r="7" spans="1:5" ht="15.6">
      <c r="A7" s="1491"/>
      <c r="B7" s="3468"/>
      <c r="C7" s="1495" t="s">
        <v>912</v>
      </c>
      <c r="D7" s="851">
        <f ca="1">结果表!H102</f>
        <v>3382</v>
      </c>
      <c r="E7" s="1491"/>
    </row>
    <row r="8" spans="1:5" ht="15.6">
      <c r="A8" s="1491"/>
      <c r="B8" s="3469" t="str">
        <f>结果表!E103</f>
        <v>2.估价师知悉的法定优先受偿款</v>
      </c>
      <c r="C8" s="1496" t="s">
        <v>913</v>
      </c>
      <c r="D8" s="851">
        <f>结果表!H103</f>
        <v>0</v>
      </c>
      <c r="E8" s="1491"/>
    </row>
    <row r="9" spans="1:5" ht="15.6">
      <c r="A9" s="1491"/>
      <c r="B9" s="347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2" t="str">
        <f>结果表!E107</f>
        <v>3.房地产抵押价值</v>
      </c>
      <c r="C13" s="1499" t="s">
        <v>910</v>
      </c>
      <c r="D13" s="853">
        <f ca="1">结果表!H107</f>
        <v>701</v>
      </c>
      <c r="E13" s="1491"/>
    </row>
    <row r="14" spans="1:5" ht="15.6">
      <c r="A14" s="1491"/>
      <c r="B14" s="3463"/>
      <c r="C14" s="1494" t="s">
        <v>911</v>
      </c>
      <c r="D14" s="850" t="str">
        <f ca="1">NUMBERSTRING(INT(D13*10000),2)&amp;"元整"</f>
        <v>柒佰零壹万元整</v>
      </c>
      <c r="E14" s="1491"/>
    </row>
    <row r="15" spans="1:5" ht="15.6">
      <c r="A15" s="1491"/>
      <c r="B15" s="3468"/>
      <c r="C15" s="1495" t="s">
        <v>921</v>
      </c>
      <c r="D15" s="859">
        <f ca="1">结果表!H108</f>
        <v>3382</v>
      </c>
      <c r="E15" s="1491"/>
    </row>
    <row r="16" spans="1:5" ht="15.6">
      <c r="A16" s="1491"/>
      <c r="B16" s="3469" t="str">
        <f>结果表!E109</f>
        <v>——</v>
      </c>
      <c r="C16" s="1499" t="s">
        <v>922</v>
      </c>
      <c r="D16" s="1500" t="str">
        <f>结果表!H109</f>
        <v>——</v>
      </c>
      <c r="E16" s="1491"/>
    </row>
    <row r="17" spans="1:5" ht="15.6">
      <c r="A17" s="1491"/>
      <c r="B17" s="3470"/>
      <c r="C17" s="1494" t="s">
        <v>923</v>
      </c>
      <c r="D17" s="850" t="e">
        <f>NUMBERSTRING(INT(D16*10000),2)&amp;"元整"</f>
        <v>#VALUE!</v>
      </c>
      <c r="E17" s="1491"/>
    </row>
    <row r="18" spans="1:5" ht="15.6">
      <c r="A18" s="1491"/>
      <c r="B18" s="3471"/>
      <c r="C18" s="1495" t="s">
        <v>912</v>
      </c>
      <c r="D18" s="859" t="str">
        <f>结果表!H110</f>
        <v>——</v>
      </c>
      <c r="E18" s="1491"/>
    </row>
    <row r="19" spans="1:5" ht="15.6">
      <c r="A19" s="1491"/>
      <c r="B19" s="3462" t="str">
        <f>结果表!E111</f>
        <v>——</v>
      </c>
      <c r="C19" s="1499" t="s">
        <v>910</v>
      </c>
      <c r="D19" s="851" t="str">
        <f>结果表!H111</f>
        <v>——</v>
      </c>
      <c r="E19" s="1491"/>
    </row>
    <row r="20" spans="1:5" ht="15.6">
      <c r="A20" s="1491"/>
      <c r="B20" s="3463"/>
      <c r="C20" s="1494" t="s">
        <v>923</v>
      </c>
      <c r="D20" s="850" t="e">
        <f>NUMBERSTRING(INT(D19*10000),2)&amp;"元整"</f>
        <v>#VALUE!</v>
      </c>
      <c r="E20" s="1491"/>
    </row>
    <row r="21" spans="1:5" ht="16.2" thickBot="1">
      <c r="A21" s="1491"/>
      <c r="B21" s="346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27093</v>
      </c>
      <c r="C2" s="2" t="s">
        <v>106</v>
      </c>
      <c r="D2" s="199"/>
      <c r="E2" s="199"/>
      <c r="F2" s="199"/>
      <c r="G2" s="199"/>
    </row>
    <row r="3" spans="1:7" s="200" customFormat="1" ht="18" customHeight="1" thickBot="1">
      <c r="A3" s="203" t="s">
        <v>58</v>
      </c>
      <c r="B3" s="204">
        <f ca="1">ROUND(B2*10000/'数据-汇总表'!E3,0)</f>
        <v>130698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25</v>
      </c>
      <c r="D10" s="845">
        <f>'数据-汇总表'!E6</f>
        <v>2072.9499999999998</v>
      </c>
      <c r="E10" s="225">
        <f>'数据-取费表'!B28</f>
        <v>120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41</v>
      </c>
      <c r="D19" s="849">
        <f>'数据-汇总表'!E3</f>
        <v>2072.9499999999998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1464</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2106</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2106</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26634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476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415</v>
      </c>
      <c r="D34" s="217"/>
      <c r="E34" s="220"/>
      <c r="F34" s="257">
        <f>IF('数据-取费表'!B24=0,1,'数据-取费表'!N16)</f>
        <v>1</v>
      </c>
      <c r="G34" s="219" t="s">
        <v>89</v>
      </c>
    </row>
    <row r="35" spans="1:7" ht="13.5" customHeight="1">
      <c r="A35" s="780" t="s">
        <v>351</v>
      </c>
      <c r="B35" s="215" t="s">
        <v>33</v>
      </c>
      <c r="C35" s="220">
        <f>ROUND(C34*F35,0)</f>
        <v>12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41</v>
      </c>
      <c r="D37" s="217">
        <f>'数据-汇总表'!E3</f>
        <v>2072.9499999999998</v>
      </c>
      <c r="E37" s="249">
        <f>'数据-取费表'!B35</f>
        <v>200</v>
      </c>
      <c r="F37" s="259"/>
      <c r="G37" s="261" t="s">
        <v>92</v>
      </c>
    </row>
    <row r="38" spans="1:7" ht="13.5" customHeight="1">
      <c r="A38" s="780" t="s">
        <v>354</v>
      </c>
      <c r="B38" s="215" t="s">
        <v>36</v>
      </c>
      <c r="C38" s="220">
        <f>ROUND(C34*F38,0)</f>
        <v>8</v>
      </c>
      <c r="D38" s="220"/>
      <c r="E38" s="220"/>
      <c r="F38" s="259">
        <f>'数据-取费表'!B36</f>
        <v>0.02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16</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6.9999999999999999E-4</v>
      </c>
      <c r="D44" s="238"/>
      <c r="E44" s="238"/>
      <c r="F44" s="239"/>
      <c r="G44" s="3647"/>
    </row>
    <row r="45" spans="1:7" s="214" customFormat="1" ht="13.5" customHeight="1">
      <c r="A45" s="777" t="s">
        <v>341</v>
      </c>
      <c r="B45" s="244" t="s">
        <v>85</v>
      </c>
      <c r="C45" s="245">
        <f>C46</f>
        <v>49</v>
      </c>
      <c r="D45" s="235">
        <f>C47</f>
        <v>2E-3</v>
      </c>
      <c r="E45" s="236" t="s">
        <v>102</v>
      </c>
      <c r="F45" s="246"/>
      <c r="G45" s="247" t="s">
        <v>434</v>
      </c>
    </row>
    <row r="46" spans="1:7" s="214" customFormat="1" ht="13.5" customHeight="1">
      <c r="A46" s="780" t="s">
        <v>349</v>
      </c>
      <c r="B46" s="248" t="s">
        <v>427</v>
      </c>
      <c r="C46" s="249">
        <f>ROUND((C33+C39)*F27,0)</f>
        <v>49</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596</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459</v>
      </c>
      <c r="D51" s="232"/>
      <c r="E51" s="232"/>
      <c r="F51" s="264"/>
      <c r="G51" s="234" t="s">
        <v>37</v>
      </c>
    </row>
    <row r="52" spans="1:7" s="208" customFormat="1" ht="16.8" thickBot="1">
      <c r="A52" s="265" t="s">
        <v>38</v>
      </c>
      <c r="B52" s="266"/>
      <c r="C52" s="267">
        <f ca="1">C31+C51</f>
        <v>27093</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83" t="s">
        <v>2842</v>
      </c>
      <c r="B1" s="3783"/>
      <c r="C1" s="3783"/>
      <c r="D1" s="3783"/>
      <c r="E1" s="3783"/>
      <c r="F1" s="3783"/>
      <c r="G1" s="3784"/>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1.4"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81"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1.4" thickBot="1">
      <c r="A4" s="3782"/>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1.4"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1.4"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1.4"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1.4"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RowHeight="14.4"/>
  <cols>
    <col min="1" max="1" width="12.6640625" style="3289" customWidth="1"/>
    <col min="2" max="2" width="20" style="3289" customWidth="1"/>
    <col min="3" max="7" width="8.88671875" style="3253"/>
    <col min="8" max="16384" width="8.88671875" style="3254"/>
  </cols>
  <sheetData>
    <row r="1" spans="1:7">
      <c r="A1" s="3785" t="s">
        <v>3184</v>
      </c>
      <c r="B1" s="3785"/>
    </row>
    <row r="2" spans="1:7" ht="15" thickBot="1">
      <c r="A2" s="3255"/>
      <c r="B2" s="3255"/>
    </row>
    <row r="3" spans="1:7" ht="15" thickBot="1">
      <c r="A3" s="3255"/>
      <c r="B3" s="3255"/>
      <c r="C3" s="3256" t="s">
        <v>2814</v>
      </c>
      <c r="D3" s="3256" t="s">
        <v>2870</v>
      </c>
      <c r="E3" s="3256" t="s">
        <v>2816</v>
      </c>
      <c r="F3" s="3256" t="s">
        <v>2871</v>
      </c>
      <c r="G3" s="3256" t="s">
        <v>2634</v>
      </c>
    </row>
    <row r="4" spans="1:7" ht="1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90"/>
  </cols>
  <sheetData>
    <row r="1" spans="1:6">
      <c r="A1" s="3786" t="s">
        <v>3235</v>
      </c>
      <c r="B1" s="3786"/>
      <c r="C1" s="3786"/>
      <c r="D1" s="3786"/>
      <c r="E1" s="3786"/>
      <c r="F1" s="3787"/>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21">
        <f>基准地价修正!G23</f>
        <v>45442</v>
      </c>
      <c r="B1" s="3210" t="s">
        <v>3374</v>
      </c>
      <c r="C1" s="3211"/>
      <c r="D1" s="3211"/>
      <c r="E1" s="3211"/>
      <c r="F1" s="3211"/>
      <c r="G1" s="3211"/>
      <c r="H1" s="3211"/>
      <c r="I1" s="3211"/>
      <c r="J1" s="3165"/>
      <c r="K1" s="3211" t="s">
        <v>454</v>
      </c>
      <c r="L1" s="3211"/>
      <c r="M1" s="3211"/>
      <c r="N1" s="3211"/>
      <c r="O1" s="3211"/>
      <c r="P1" s="3211"/>
      <c r="Q1" s="3165"/>
      <c r="R1" s="3788" t="s">
        <v>456</v>
      </c>
      <c r="S1" s="3789"/>
      <c r="T1" s="3789"/>
      <c r="U1" s="3789"/>
      <c r="V1" s="3789"/>
      <c r="W1" s="3789"/>
      <c r="X1" s="3165"/>
      <c r="Y1" s="3788" t="s">
        <v>457</v>
      </c>
      <c r="Z1" s="3789"/>
      <c r="AA1" s="3789"/>
      <c r="AB1" s="3789"/>
      <c r="AC1" s="3789"/>
      <c r="AD1" s="3789"/>
    </row>
    <row r="2" spans="1:30" s="3143" customFormat="1" ht="1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3.2">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3.2">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3.2">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3.2">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3.2">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3.2">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3.2">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3.2">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3.2">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3.2">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3.2">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3.2">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3.2">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ht="13.8"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5" thickTop="1"/>
    <row r="20" spans="1:30" s="3009" customFormat="1">
      <c r="A20" s="3448" t="s">
        <v>3369</v>
      </c>
    </row>
    <row r="21" spans="1:30" s="3009" customFormat="1">
      <c r="I21" s="3208" t="s">
        <v>2828</v>
      </c>
    </row>
    <row r="22" spans="1:30" s="3009" customFormat="1"/>
    <row r="23" spans="1:30" s="3209" customFormat="1" ht="13.2">
      <c r="B23" s="3210" t="s">
        <v>3375</v>
      </c>
      <c r="C23" s="3211"/>
      <c r="D23" s="3211"/>
      <c r="E23" s="3211"/>
      <c r="F23" s="3211"/>
      <c r="G23" s="3211"/>
      <c r="H23" s="3211"/>
      <c r="I23" s="3211"/>
      <c r="J23" s="3165"/>
      <c r="K23" s="3211" t="s">
        <v>2829</v>
      </c>
      <c r="L23" s="3211"/>
      <c r="M23" s="3211"/>
      <c r="N23" s="3211"/>
      <c r="O23" s="3211"/>
      <c r="P23" s="3211"/>
      <c r="Q23" s="3165"/>
      <c r="R23" s="3788" t="s">
        <v>2830</v>
      </c>
      <c r="S23" s="3789"/>
      <c r="T23" s="3789"/>
      <c r="U23" s="3789"/>
      <c r="V23" s="3789"/>
      <c r="W23" s="3789"/>
      <c r="X23" s="3165"/>
      <c r="Y23" s="3788" t="s">
        <v>2831</v>
      </c>
      <c r="Z23" s="3789"/>
      <c r="AA23" s="3789"/>
      <c r="AB23" s="3789"/>
      <c r="AC23" s="3789"/>
      <c r="AD23" s="3789"/>
    </row>
    <row r="24" spans="1:30" s="3143" customFormat="1" ht="1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3.2">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3.2">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3.2">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3.2">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3.2">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3.2">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3.2">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3.2">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3.2">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3.2">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3.2">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3.2">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3.2">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3.2">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3.2">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ht="13.8"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45442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6">
      <c r="A3" s="3475"/>
      <c r="B3" s="3475"/>
      <c r="C3" s="3475"/>
      <c r="D3" s="854" t="s">
        <v>925</v>
      </c>
      <c r="E3" s="854" t="s">
        <v>931</v>
      </c>
      <c r="F3" s="854" t="s">
        <v>925</v>
      </c>
      <c r="G3" s="854" t="s">
        <v>926</v>
      </c>
      <c r="H3" s="854" t="s">
        <v>925</v>
      </c>
      <c r="I3" s="854" t="s">
        <v>926</v>
      </c>
    </row>
    <row r="4" spans="1:9" ht="45">
      <c r="A4" s="1505" t="str">
        <f>项目基本情况!S2</f>
        <v>北京市怀柔区雁栖经济开发区雁栖河西路9号1号1至2层房地产</v>
      </c>
      <c r="B4" s="854">
        <f>项目基本情况!C17</f>
        <v>2072.9499999999998</v>
      </c>
      <c r="C4" s="854">
        <f>项目基本情况!C18</f>
        <v>5514.09</v>
      </c>
      <c r="D4" s="854">
        <f>结果表!D118</f>
        <v>0</v>
      </c>
      <c r="E4" s="854">
        <f>结果表!E118</f>
        <v>0</v>
      </c>
      <c r="F4" s="854">
        <f>结果表!F118</f>
        <v>0</v>
      </c>
      <c r="G4" s="854">
        <f>结果表!G118</f>
        <v>0</v>
      </c>
      <c r="H4" s="854">
        <f ca="1">结果表!H118</f>
        <v>701</v>
      </c>
      <c r="I4" s="854">
        <f ca="1">结果表!I118</f>
        <v>3382</v>
      </c>
    </row>
    <row r="5" spans="1:9" ht="30" customHeight="1">
      <c r="A5" s="3475" t="s">
        <v>927</v>
      </c>
      <c r="B5" s="3475"/>
      <c r="C5" s="3475"/>
      <c r="D5" s="3475" t="str">
        <f>结果表!D119</f>
        <v>零元整</v>
      </c>
      <c r="E5" s="3475"/>
      <c r="F5" s="3475" t="str">
        <f>结果表!F119</f>
        <v>零元整</v>
      </c>
      <c r="G5" s="3475"/>
      <c r="H5" s="3475" t="str">
        <f ca="1">结果表!H119</f>
        <v>柒佰零壹万元整</v>
      </c>
      <c r="I5" s="3475"/>
    </row>
    <row r="6" spans="1:9" ht="15.6">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6">
      <c r="A8" s="3474" t="str">
        <f>结果表!A122</f>
        <v>房地产抵押价值</v>
      </c>
      <c r="B8" s="3474"/>
      <c r="C8" s="3474"/>
      <c r="D8" s="3474">
        <f ca="1">结果表!D122</f>
        <v>701</v>
      </c>
      <c r="E8" s="3474"/>
      <c r="F8" s="3474"/>
      <c r="G8" s="3474"/>
      <c r="H8" s="3474"/>
      <c r="I8" s="3474"/>
    </row>
    <row r="9" spans="1:9" ht="15">
      <c r="A9" s="3475" t="s">
        <v>927</v>
      </c>
      <c r="B9" s="3475"/>
      <c r="C9" s="3475"/>
      <c r="D9" s="3475" t="str">
        <f ca="1">结果表!D123</f>
        <v>柒佰零壹万元整</v>
      </c>
      <c r="E9" s="3475"/>
      <c r="F9" s="3475"/>
      <c r="G9" s="3475"/>
      <c r="H9" s="3475"/>
      <c r="I9" s="3475"/>
    </row>
    <row r="10" spans="1:9" ht="15.6">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6">
      <c r="A12" s="3474" t="str">
        <f>结果表!A126</f>
        <v/>
      </c>
      <c r="B12" s="3474"/>
      <c r="C12" s="3474"/>
      <c r="D12" s="3474" t="str">
        <f>结果表!D126</f>
        <v>——</v>
      </c>
      <c r="E12" s="3474"/>
      <c r="F12" s="3474"/>
      <c r="G12" s="3474"/>
      <c r="H12" s="3474"/>
      <c r="I12" s="3474"/>
    </row>
    <row r="13" spans="1:9" ht="15.6" thickBot="1">
      <c r="A13" s="3472" t="s">
        <v>927</v>
      </c>
      <c r="B13" s="3472"/>
      <c r="C13" s="3472"/>
      <c r="D13" s="3472" t="e">
        <f>结果表!D127</f>
        <v>#VALUE!</v>
      </c>
      <c r="E13" s="3472"/>
      <c r="F13" s="3472"/>
      <c r="G13" s="3472"/>
      <c r="H13" s="3472"/>
      <c r="I13" s="3472"/>
    </row>
    <row r="14" spans="1:9" ht="14.4" thickTop="1">
      <c r="A14" s="3473" t="s">
        <v>932</v>
      </c>
      <c r="B14" s="3473"/>
      <c r="C14" s="3473"/>
      <c r="D14" s="3473"/>
      <c r="E14" s="3473"/>
      <c r="F14" s="3473"/>
      <c r="G14" s="3473"/>
      <c r="H14" s="3473"/>
      <c r="I14" s="347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7" t="s">
        <v>949</v>
      </c>
      <c r="B1" s="3487"/>
      <c r="C1" s="3487"/>
      <c r="D1" s="3487"/>
    </row>
    <row r="2" spans="1:4" ht="17.399999999999999">
      <c r="A2" s="3488" t="s">
        <v>933</v>
      </c>
      <c r="B2" s="3488"/>
      <c r="C2" s="3488"/>
      <c r="D2" s="3488"/>
    </row>
    <row r="3" spans="1:4" ht="17.399999999999999">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7.399999999999999">
      <c r="A6" s="3488" t="s">
        <v>939</v>
      </c>
      <c r="B6" s="3488"/>
      <c r="C6" s="3488"/>
      <c r="D6" s="3488"/>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9" t="s">
        <v>942</v>
      </c>
      <c r="B11" s="3481"/>
      <c r="C11" s="3481"/>
      <c r="D11" s="3481"/>
    </row>
    <row r="12" spans="1:4" ht="15.6">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95" t="s">
        <v>956</v>
      </c>
      <c r="B15" s="3490" t="s">
        <v>109</v>
      </c>
      <c r="C15" s="3491"/>
    </row>
    <row r="16" spans="1:7" ht="14.4">
      <c r="A16" s="3496"/>
      <c r="B16" s="3490" t="s">
        <v>42</v>
      </c>
      <c r="C16" s="3491"/>
    </row>
    <row r="17" spans="1:3" ht="14.4">
      <c r="A17" s="3496"/>
      <c r="B17" s="3493" t="s">
        <v>957</v>
      </c>
      <c r="C17" s="1532" t="s">
        <v>956</v>
      </c>
    </row>
    <row r="18" spans="1:3" ht="14.4">
      <c r="A18" s="3496"/>
      <c r="B18" s="3493"/>
      <c r="C18" s="1532" t="s">
        <v>958</v>
      </c>
    </row>
    <row r="19" spans="1:3" ht="14.4">
      <c r="A19" s="3496"/>
      <c r="B19" s="3493"/>
      <c r="C19" s="1532" t="s">
        <v>959</v>
      </c>
    </row>
    <row r="20" spans="1:3" ht="14.4">
      <c r="A20" s="3497"/>
      <c r="B20" s="3492" t="s">
        <v>960</v>
      </c>
      <c r="C20" s="3491"/>
    </row>
    <row r="21" spans="1:3" ht="14.4">
      <c r="A21" s="1533" t="s">
        <v>961</v>
      </c>
      <c r="B21" s="1534"/>
      <c r="C21" s="1535"/>
    </row>
    <row r="22" spans="1:3" ht="14.4">
      <c r="A22" s="3494" t="s">
        <v>962</v>
      </c>
      <c r="B22" s="3492" t="s">
        <v>963</v>
      </c>
      <c r="C22" s="3491"/>
    </row>
    <row r="23" spans="1:3" ht="14.4">
      <c r="A23" s="3494"/>
      <c r="B23" s="3492" t="s">
        <v>964</v>
      </c>
      <c r="C23" s="3491"/>
    </row>
    <row r="24" spans="1:3" ht="14.4">
      <c r="A24" s="3494"/>
      <c r="B24" s="3492" t="s">
        <v>965</v>
      </c>
      <c r="C24" s="3491"/>
    </row>
    <row r="25" spans="1:3" ht="14.4">
      <c r="A25" s="3494"/>
      <c r="B25" s="3493" t="s">
        <v>966</v>
      </c>
      <c r="C25" s="1532" t="s">
        <v>967</v>
      </c>
    </row>
    <row r="26" spans="1:3" ht="14.4">
      <c r="A26" s="3494"/>
      <c r="B26" s="3493"/>
      <c r="C26" s="1532" t="s">
        <v>968</v>
      </c>
    </row>
    <row r="27" spans="1:3" ht="14.4">
      <c r="A27" s="3494"/>
      <c r="B27" s="3493"/>
      <c r="C27" s="1532" t="s">
        <v>969</v>
      </c>
    </row>
    <row r="28" spans="1:3" ht="14.4">
      <c r="A28" s="3494"/>
      <c r="B28" s="3493"/>
      <c r="C28" s="1532" t="s">
        <v>970</v>
      </c>
    </row>
    <row r="29" spans="1:3" ht="14.4">
      <c r="A29" s="3494"/>
      <c r="B29" s="3493"/>
      <c r="C29" s="1532" t="s">
        <v>971</v>
      </c>
    </row>
    <row r="30" spans="1:3" ht="14.4">
      <c r="A30" s="3494"/>
      <c r="B30" s="3493"/>
      <c r="C30" s="1532" t="s">
        <v>972</v>
      </c>
    </row>
    <row r="31" spans="1:3" ht="14.4">
      <c r="A31" s="3494"/>
      <c r="B31" s="3493"/>
      <c r="C31" s="1532" t="s">
        <v>973</v>
      </c>
    </row>
    <row r="32" spans="1:3" ht="14.4">
      <c r="A32" s="3494"/>
      <c r="B32" s="3493"/>
      <c r="C32" s="1532" t="s">
        <v>974</v>
      </c>
    </row>
    <row r="33" spans="1:3" ht="14.4">
      <c r="A33" s="3494"/>
      <c r="B33" s="349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45442</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2159</v>
      </c>
      <c r="B17" s="3498"/>
      <c r="C17" s="3498"/>
      <c r="D17" s="3498"/>
      <c r="E17" s="3498"/>
      <c r="F17" s="3498"/>
      <c r="G17" s="3498"/>
      <c r="H17" s="3498"/>
    </row>
    <row r="18" spans="1:8" ht="24" customHeight="1">
      <c r="A18" s="3499" t="s">
        <v>2160</v>
      </c>
      <c r="B18" s="3499"/>
      <c r="C18" s="3499"/>
      <c r="D18" s="2343"/>
      <c r="E18" s="3500" t="s">
        <v>2161</v>
      </c>
      <c r="F18" s="3499"/>
      <c r="G18" s="349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租金案例</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2024-05-30T08:20:43Z</dcterms:modified>
</cp:coreProperties>
</file>