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汇总" sheetId="84" r:id="rId18"/>
    <sheet name="结果表-办公" sheetId="9" r:id="rId19"/>
    <sheet name="成本法" sheetId="68" state="hidden" r:id="rId20"/>
    <sheet name="成本法 (元)" sheetId="69" state="hidden" r:id="rId21"/>
    <sheet name="假设开发法" sheetId="12" state="hidden" r:id="rId22"/>
    <sheet name="收益法（汇总）" sheetId="70" state="hidden" r:id="rId23"/>
    <sheet name="比较法-办公" sheetId="34" r:id="rId24"/>
    <sheet name="收益法（办公）" sheetId="15" r:id="rId25"/>
    <sheet name="收益法 (元)" sheetId="67" state="hidden" r:id="rId26"/>
    <sheet name="酒店收入计算" sheetId="66" state="hidden" r:id="rId27"/>
    <sheet name="比较法-住宅" sheetId="21" state="hidden" r:id="rId28"/>
    <sheet name="结果表-地下商业" sheetId="78" r:id="rId29"/>
    <sheet name="比较法-商业" sheetId="33" r:id="rId30"/>
    <sheet name="比较法-工业" sheetId="37" state="hidden" r:id="rId31"/>
    <sheet name="比较法-车位" sheetId="35"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 (地下商业)" sheetId="79" r:id="rId45"/>
    <sheet name="典型户型修正" sheetId="31" state="hidden" r:id="rId46"/>
    <sheet name="比较法-商业租金" sheetId="83" r:id="rId47"/>
    <sheet name="结果表-仓储" sheetId="80" r:id="rId48"/>
    <sheet name="收益法 (仓储)" sheetId="81" r:id="rId49"/>
    <sheet name="比较法-仓储" sheetId="36" r:id="rId50"/>
    <sheet name="面积清单" sheetId="77" r:id="rId51"/>
    <sheet name="案例及位置图" sheetId="82" r:id="rId52"/>
  </sheets>
  <definedNames>
    <definedName name="_xlnm._FilterDatabase" localSheetId="23" hidden="1">'比较法-办公'!$A$1:$L$50</definedName>
    <definedName name="_xlnm._FilterDatabase" localSheetId="49"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46" hidden="1">'比较法-商业租金'!$A$1:$L$49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48">'收益法 (仓储)'!$A$1:$AK$69</definedName>
    <definedName name="_xlnm.Print_Area" localSheetId="44">'收益法 (地下商业)'!$A$1:$AK$69</definedName>
    <definedName name="_xlnm.Print_Area" localSheetId="25">'收益法 (元)'!$A$1:$AK$69</definedName>
    <definedName name="_xlnm.Print_Area" localSheetId="24">'收益法（办公）'!$A$1:$AK$69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修正!$C$59:$C$119</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6" i="84" l="1"/>
  <c r="K4" i="84"/>
  <c r="K2" i="84"/>
  <c r="I47" i="83"/>
  <c r="E47" i="83"/>
  <c r="G47" i="83"/>
  <c r="H8" i="84" l="1"/>
  <c r="C30" i="36"/>
  <c r="H6" i="84"/>
  <c r="H4" i="84"/>
  <c r="H2" i="84"/>
  <c r="E5" i="84"/>
  <c r="E4" i="84"/>
  <c r="E3" i="84"/>
  <c r="E2" i="84"/>
  <c r="B130" i="83"/>
  <c r="B128" i="83"/>
  <c r="B126" i="83"/>
  <c r="E125" i="83"/>
  <c r="F125" i="83" s="1"/>
  <c r="G125" i="83" s="1"/>
  <c r="D125" i="83"/>
  <c r="E123" i="83"/>
  <c r="F123" i="83" s="1"/>
  <c r="G123" i="83" s="1"/>
  <c r="H123" i="83" s="1"/>
  <c r="I123" i="83" s="1"/>
  <c r="J123" i="83" s="1"/>
  <c r="K123" i="83" s="1"/>
  <c r="L123" i="83" s="1"/>
  <c r="M123" i="83" s="1"/>
  <c r="D123" i="83"/>
  <c r="E121" i="83"/>
  <c r="F121" i="83" s="1"/>
  <c r="G121" i="83" s="1"/>
  <c r="H121" i="83" s="1"/>
  <c r="I121" i="83" s="1"/>
  <c r="J121" i="83" s="1"/>
  <c r="K121" i="83" s="1"/>
  <c r="L121" i="83" s="1"/>
  <c r="M121" i="83" s="1"/>
  <c r="D121" i="83"/>
  <c r="E117" i="83"/>
  <c r="F117" i="83" s="1"/>
  <c r="G117" i="83" s="1"/>
  <c r="D117" i="83"/>
  <c r="E115" i="83"/>
  <c r="F115" i="83" s="1"/>
  <c r="G115" i="83" s="1"/>
  <c r="H115" i="83" s="1"/>
  <c r="I115" i="83" s="1"/>
  <c r="J115" i="83" s="1"/>
  <c r="K115" i="83" s="1"/>
  <c r="L115" i="83" s="1"/>
  <c r="M115" i="83" s="1"/>
  <c r="D115" i="83"/>
  <c r="D113" i="83"/>
  <c r="E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B94" i="83"/>
  <c r="B92" i="83"/>
  <c r="D91" i="83"/>
  <c r="E91" i="83" s="1"/>
  <c r="F91" i="83" s="1"/>
  <c r="G91" i="83" s="1"/>
  <c r="H91" i="83" s="1"/>
  <c r="I91" i="83" s="1"/>
  <c r="J91" i="83" s="1"/>
  <c r="K91" i="83" s="1"/>
  <c r="L91" i="83" s="1"/>
  <c r="M91" i="83" s="1"/>
  <c r="B90" i="83"/>
  <c r="B88" i="83"/>
  <c r="D87" i="83"/>
  <c r="E87" i="83" s="1"/>
  <c r="F87" i="83" s="1"/>
  <c r="G87" i="83" s="1"/>
  <c r="H87" i="83" s="1"/>
  <c r="I87" i="83" s="1"/>
  <c r="J87" i="83" s="1"/>
  <c r="K87" i="83" s="1"/>
  <c r="L87" i="83" s="1"/>
  <c r="M87" i="83" s="1"/>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E69" i="83"/>
  <c r="F69" i="83" s="1"/>
  <c r="G69" i="83" s="1"/>
  <c r="H69" i="83" s="1"/>
  <c r="I69" i="83" s="1"/>
  <c r="J69" i="83" s="1"/>
  <c r="K69" i="83" s="1"/>
  <c r="L69" i="83" s="1"/>
  <c r="M69" i="83" s="1"/>
  <c r="D69" i="83"/>
  <c r="M67" i="83"/>
  <c r="L67" i="83"/>
  <c r="K67" i="83"/>
  <c r="J67" i="83"/>
  <c r="I67" i="83"/>
  <c r="H67" i="83"/>
  <c r="G67" i="83"/>
  <c r="F67" i="83"/>
  <c r="E67" i="83"/>
  <c r="D67" i="83"/>
  <c r="C67" i="83"/>
  <c r="H66" i="83"/>
  <c r="I66" i="83" s="1"/>
  <c r="G66" i="83"/>
  <c r="C63" i="83"/>
  <c r="I54" i="83"/>
  <c r="J54" i="83" s="1"/>
  <c r="G54" i="83"/>
  <c r="H54" i="83" s="1"/>
  <c r="E54" i="83"/>
  <c r="F54" i="83" s="1"/>
  <c r="P49" i="83"/>
  <c r="P48" i="83"/>
  <c r="V47" i="83"/>
  <c r="T47" i="83"/>
  <c r="R47" i="83"/>
  <c r="P47" i="83"/>
  <c r="Q46" i="83"/>
  <c r="Z46" i="83" s="1"/>
  <c r="J46" i="83"/>
  <c r="AC46" i="83" s="1"/>
  <c r="H46" i="83"/>
  <c r="AB46" i="83" s="1"/>
  <c r="F46" i="83"/>
  <c r="AA46" i="83" s="1"/>
  <c r="Q45" i="83"/>
  <c r="Z45" i="83" s="1"/>
  <c r="J45" i="83"/>
  <c r="AC45" i="83" s="1"/>
  <c r="H45" i="83"/>
  <c r="F45" i="83"/>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C36" i="83"/>
  <c r="J36" i="83" s="1"/>
  <c r="Q35" i="83"/>
  <c r="Z35" i="83" s="1"/>
  <c r="J35" i="83"/>
  <c r="AC35" i="83" s="1"/>
  <c r="H35" i="83"/>
  <c r="AB35" i="83" s="1"/>
  <c r="F35" i="83"/>
  <c r="AA35" i="83" s="1"/>
  <c r="Q34" i="83"/>
  <c r="Z34" i="83" s="1"/>
  <c r="J34" i="83"/>
  <c r="AC34" i="83" s="1"/>
  <c r="H34" i="83"/>
  <c r="AB34" i="83" s="1"/>
  <c r="F34" i="83"/>
  <c r="AA34" i="83" s="1"/>
  <c r="Q33" i="83"/>
  <c r="Z33" i="83" s="1"/>
  <c r="C33" i="83"/>
  <c r="J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J23" i="83"/>
  <c r="AC23" i="83" s="1"/>
  <c r="H23" i="83"/>
  <c r="AB23" i="83" s="1"/>
  <c r="F23" i="83"/>
  <c r="AA23" i="83" s="1"/>
  <c r="C23" i="83"/>
  <c r="Q21" i="83"/>
  <c r="Z21" i="83" s="1"/>
  <c r="J21" i="83"/>
  <c r="H21" i="83"/>
  <c r="AB21" i="83" s="1"/>
  <c r="F21" i="83"/>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W8" i="83"/>
  <c r="S8" i="83"/>
  <c r="J8" i="83"/>
  <c r="AC8" i="83" s="1"/>
  <c r="H8" i="83"/>
  <c r="U8" i="83" s="1"/>
  <c r="F8" i="83"/>
  <c r="AA8" i="83" s="1"/>
  <c r="C7" i="83"/>
  <c r="C58" i="83" s="1"/>
  <c r="D58" i="83" s="1"/>
  <c r="E58" i="83" s="1"/>
  <c r="F58" i="83" s="1"/>
  <c r="G58" i="83" s="1"/>
  <c r="H58" i="83" s="1"/>
  <c r="I58" i="83" s="1"/>
  <c r="J58" i="83" s="1"/>
  <c r="K58" i="83" s="1"/>
  <c r="L58" i="83" s="1"/>
  <c r="M58" i="83" s="1"/>
  <c r="N58" i="83" s="1"/>
  <c r="O58" i="83" s="1"/>
  <c r="D3" i="83"/>
  <c r="B24" i="31"/>
  <c r="D2" i="83"/>
  <c r="F113" i="83" l="1"/>
  <c r="G113" i="83" s="1"/>
  <c r="H113" i="83" s="1"/>
  <c r="I113" i="83" s="1"/>
  <c r="J113" i="83" s="1"/>
  <c r="K113" i="83" s="1"/>
  <c r="L113" i="83" s="1"/>
  <c r="M113" i="83" s="1"/>
  <c r="H37" i="83"/>
  <c r="AB37" i="83" s="1"/>
  <c r="F37" i="83"/>
  <c r="AA37" i="83" s="1"/>
  <c r="J37" i="83"/>
  <c r="AC37" i="83" s="1"/>
  <c r="F7" i="83"/>
  <c r="J7" i="83"/>
  <c r="AB8" i="83"/>
  <c r="S9" i="83"/>
  <c r="W9" i="83"/>
  <c r="U10" i="83"/>
  <c r="S11" i="83"/>
  <c r="W11" i="83"/>
  <c r="U12" i="83"/>
  <c r="S13" i="83"/>
  <c r="W13" i="83"/>
  <c r="U14" i="83"/>
  <c r="U15" i="83"/>
  <c r="U17" i="83"/>
  <c r="U19" i="83"/>
  <c r="AC33" i="83"/>
  <c r="W33" i="83"/>
  <c r="AC36" i="83"/>
  <c r="W36" i="83"/>
  <c r="H7" i="83"/>
  <c r="U9" i="83"/>
  <c r="S10" i="83"/>
  <c r="W10" i="83"/>
  <c r="U11" i="83"/>
  <c r="S12" i="83"/>
  <c r="W12" i="83"/>
  <c r="U13" i="83"/>
  <c r="S14" i="83"/>
  <c r="W14" i="83"/>
  <c r="S15" i="83"/>
  <c r="W15" i="83"/>
  <c r="S17" i="83"/>
  <c r="W17" i="83"/>
  <c r="S19" i="83"/>
  <c r="W19" i="83"/>
  <c r="AA21" i="83"/>
  <c r="S21" i="83"/>
  <c r="AC21" i="83"/>
  <c r="W21" i="83"/>
  <c r="U21" i="83"/>
  <c r="U23" i="83"/>
  <c r="S25" i="83"/>
  <c r="W25" i="83"/>
  <c r="U26" i="83"/>
  <c r="S27" i="83"/>
  <c r="W27" i="83"/>
  <c r="U28" i="83"/>
  <c r="S29" i="83"/>
  <c r="W29" i="83"/>
  <c r="U30" i="83"/>
  <c r="S31" i="83"/>
  <c r="W31" i="83"/>
  <c r="U32" i="83"/>
  <c r="H33" i="83"/>
  <c r="S34" i="83"/>
  <c r="W34" i="83"/>
  <c r="U35" i="83"/>
  <c r="H36" i="83"/>
  <c r="S37" i="83"/>
  <c r="U38" i="83"/>
  <c r="S39" i="83"/>
  <c r="W39" i="83"/>
  <c r="U40" i="83"/>
  <c r="S41" i="83"/>
  <c r="W41" i="83"/>
  <c r="U42" i="83"/>
  <c r="S43" i="83"/>
  <c r="W43" i="83"/>
  <c r="U44" i="83"/>
  <c r="AA45" i="83"/>
  <c r="S45" i="83"/>
  <c r="S23" i="83"/>
  <c r="W23" i="83"/>
  <c r="U25" i="83"/>
  <c r="S26" i="83"/>
  <c r="W26" i="83"/>
  <c r="U27" i="83"/>
  <c r="S28" i="83"/>
  <c r="W28" i="83"/>
  <c r="U29" i="83"/>
  <c r="S30" i="83"/>
  <c r="W30" i="83"/>
  <c r="U31" i="83"/>
  <c r="S32" i="83"/>
  <c r="W32" i="83"/>
  <c r="F33" i="83"/>
  <c r="U34" i="83"/>
  <c r="S35" i="83"/>
  <c r="W35" i="83"/>
  <c r="F36" i="83"/>
  <c r="U37" i="83"/>
  <c r="S38" i="83"/>
  <c r="W38" i="83"/>
  <c r="U39" i="83"/>
  <c r="S40" i="83"/>
  <c r="W40" i="83"/>
  <c r="U41" i="83"/>
  <c r="S42" i="83"/>
  <c r="W42" i="83"/>
  <c r="U43" i="83"/>
  <c r="S44" i="83"/>
  <c r="W44" i="83"/>
  <c r="AB45" i="83"/>
  <c r="U45" i="83"/>
  <c r="S46" i="83"/>
  <c r="W46" i="83"/>
  <c r="W45" i="83"/>
  <c r="U46" i="83"/>
  <c r="W37" i="83" l="1"/>
  <c r="AB7" i="83"/>
  <c r="U7" i="83"/>
  <c r="W7" i="83"/>
  <c r="AC7" i="83"/>
  <c r="V48" i="83" s="1"/>
  <c r="I48" i="83" s="1"/>
  <c r="AA36" i="83"/>
  <c r="S36" i="83"/>
  <c r="AA33" i="83"/>
  <c r="S33" i="83"/>
  <c r="AB36" i="83"/>
  <c r="U36" i="83"/>
  <c r="AB33" i="83"/>
  <c r="U33" i="83"/>
  <c r="S7" i="83"/>
  <c r="AA7" i="83"/>
  <c r="R48" i="83" s="1"/>
  <c r="E48" i="83" l="1"/>
  <c r="I53" i="83" s="1"/>
  <c r="J53" i="83" s="1"/>
  <c r="I52" i="83"/>
  <c r="J52" i="83" s="1"/>
  <c r="T48" i="83"/>
  <c r="G48" i="83" s="1"/>
  <c r="E53" i="83" l="1"/>
  <c r="F53" i="83" s="1"/>
  <c r="E52" i="83"/>
  <c r="F52" i="83" s="1"/>
  <c r="G53" i="83"/>
  <c r="H53" i="83" s="1"/>
  <c r="G52" i="83"/>
  <c r="H52" i="83" s="1"/>
  <c r="R49" i="83"/>
  <c r="C49" i="83" l="1"/>
  <c r="U7" i="1" s="1"/>
  <c r="C48" i="83"/>
  <c r="B3" i="83" l="1"/>
  <c r="B2" i="83"/>
  <c r="C36" i="33" l="1"/>
  <c r="C33" i="33"/>
  <c r="C34" i="34" l="1"/>
  <c r="N8" i="1"/>
  <c r="N7" i="1"/>
  <c r="Y7" i="1" s="1"/>
  <c r="Y8" i="1"/>
  <c r="Y6" i="1"/>
  <c r="G21" i="6"/>
  <c r="G20" i="6"/>
  <c r="F19" i="6"/>
  <c r="A3" i="3"/>
  <c r="Q72" i="81"/>
  <c r="Q59" i="81"/>
  <c r="K59" i="81"/>
  <c r="P74" i="81" s="1"/>
  <c r="F59" i="81"/>
  <c r="Q58" i="81"/>
  <c r="Q51" i="81"/>
  <c r="J50" i="81"/>
  <c r="M47" i="81"/>
  <c r="D46" i="81"/>
  <c r="F33" i="81"/>
  <c r="F61" i="81" s="1"/>
  <c r="F31" i="81"/>
  <c r="F23" i="81"/>
  <c r="D23" i="81" s="1"/>
  <c r="F21" i="81"/>
  <c r="F20" i="81"/>
  <c r="M19" i="81"/>
  <c r="F18" i="81"/>
  <c r="M17" i="81"/>
  <c r="F17" i="81"/>
  <c r="F15" i="81"/>
  <c r="A126" i="80"/>
  <c r="A124" i="80"/>
  <c r="A122" i="80"/>
  <c r="A120" i="80"/>
  <c r="E111" i="80"/>
  <c r="H111" i="80" s="1"/>
  <c r="D126" i="80" s="1"/>
  <c r="D127" i="80" s="1"/>
  <c r="E109" i="80"/>
  <c r="H109" i="80" s="1"/>
  <c r="E107" i="80"/>
  <c r="H106" i="80"/>
  <c r="H105" i="80"/>
  <c r="H104" i="80"/>
  <c r="H103" i="80"/>
  <c r="D120" i="80" s="1"/>
  <c r="D101" i="80"/>
  <c r="C101" i="80"/>
  <c r="C91" i="80"/>
  <c r="E90" i="80"/>
  <c r="D89" i="80"/>
  <c r="C89" i="80" s="1"/>
  <c r="C87" i="80" s="1"/>
  <c r="H77" i="80"/>
  <c r="D77" i="80"/>
  <c r="C76" i="80"/>
  <c r="F59" i="80"/>
  <c r="E59" i="80"/>
  <c r="D59" i="80"/>
  <c r="N56" i="80"/>
  <c r="M56" i="80"/>
  <c r="K56" i="80"/>
  <c r="J56" i="80"/>
  <c r="F56" i="80"/>
  <c r="O55" i="80"/>
  <c r="N55" i="80"/>
  <c r="M55" i="80"/>
  <c r="K55" i="80"/>
  <c r="J55" i="80"/>
  <c r="J57" i="80" s="1"/>
  <c r="J59" i="80" s="1"/>
  <c r="J61" i="80" s="1"/>
  <c r="I55" i="80"/>
  <c r="F55" i="80"/>
  <c r="O53" i="80" s="1"/>
  <c r="O54" i="80"/>
  <c r="N54" i="80"/>
  <c r="N53" i="80"/>
  <c r="K49" i="80"/>
  <c r="F48" i="80"/>
  <c r="O52" i="80" s="1"/>
  <c r="E48" i="80"/>
  <c r="N52" i="80" s="1"/>
  <c r="D48" i="80"/>
  <c r="M52" i="80" s="1"/>
  <c r="M47" i="80"/>
  <c r="F33" i="80"/>
  <c r="D27" i="80"/>
  <c r="C25" i="80"/>
  <c r="C24" i="80"/>
  <c r="D17" i="80"/>
  <c r="C17" i="80"/>
  <c r="C18" i="80" s="1"/>
  <c r="D18" i="80" s="1"/>
  <c r="L4" i="80"/>
  <c r="K4" i="80"/>
  <c r="H1" i="80"/>
  <c r="Q72" i="79"/>
  <c r="Q59" i="79"/>
  <c r="K59" i="79"/>
  <c r="P74" i="79" s="1"/>
  <c r="F59" i="79"/>
  <c r="Q58" i="79"/>
  <c r="Q51" i="79"/>
  <c r="J50" i="79"/>
  <c r="M47" i="79"/>
  <c r="D46" i="79"/>
  <c r="F33" i="79"/>
  <c r="F61" i="79" s="1"/>
  <c r="F31" i="79"/>
  <c r="F23" i="79"/>
  <c r="D23" i="79" s="1"/>
  <c r="F21" i="79"/>
  <c r="F20" i="79"/>
  <c r="M19" i="79"/>
  <c r="F18" i="79"/>
  <c r="M17" i="79"/>
  <c r="F17" i="79"/>
  <c r="F15" i="79"/>
  <c r="A126" i="78"/>
  <c r="A124" i="78"/>
  <c r="A122" i="78"/>
  <c r="A120" i="78"/>
  <c r="E111" i="78"/>
  <c r="H111" i="78" s="1"/>
  <c r="D126" i="78" s="1"/>
  <c r="D127" i="78" s="1"/>
  <c r="E109" i="78"/>
  <c r="H109" i="78" s="1"/>
  <c r="E107" i="78"/>
  <c r="H106" i="78"/>
  <c r="H105" i="78"/>
  <c r="H104" i="78"/>
  <c r="H103" i="78"/>
  <c r="D120" i="78" s="1"/>
  <c r="D101" i="78"/>
  <c r="C101" i="78"/>
  <c r="C91" i="78"/>
  <c r="E90" i="78"/>
  <c r="D89" i="78"/>
  <c r="C89" i="78" s="1"/>
  <c r="C87" i="78" s="1"/>
  <c r="H77" i="78"/>
  <c r="D77" i="78"/>
  <c r="C76" i="78"/>
  <c r="F59" i="78"/>
  <c r="E59" i="78"/>
  <c r="D59" i="78"/>
  <c r="N56" i="78"/>
  <c r="M56" i="78"/>
  <c r="K56" i="78"/>
  <c r="J56" i="78"/>
  <c r="F56" i="78"/>
  <c r="O55" i="78"/>
  <c r="N55" i="78"/>
  <c r="M55" i="78"/>
  <c r="K55" i="78"/>
  <c r="J55" i="78"/>
  <c r="J57" i="78" s="1"/>
  <c r="J59" i="78" s="1"/>
  <c r="J61" i="78" s="1"/>
  <c r="I55" i="78"/>
  <c r="F55" i="78"/>
  <c r="O53" i="78" s="1"/>
  <c r="O54" i="78"/>
  <c r="N54" i="78"/>
  <c r="N53" i="78"/>
  <c r="K49" i="78"/>
  <c r="F48" i="78"/>
  <c r="O52" i="78" s="1"/>
  <c r="E48" i="78"/>
  <c r="N52" i="78" s="1"/>
  <c r="D48" i="78"/>
  <c r="M52" i="78" s="1"/>
  <c r="M47" i="78"/>
  <c r="F33" i="78"/>
  <c r="D27" i="78"/>
  <c r="C25" i="78"/>
  <c r="C24" i="78"/>
  <c r="D17" i="78"/>
  <c r="C17" i="78"/>
  <c r="L4" i="78"/>
  <c r="K4" i="78"/>
  <c r="H1" i="78"/>
  <c r="D35" i="78"/>
  <c r="C20" i="80"/>
  <c r="D34" i="80"/>
  <c r="D20" i="80"/>
  <c r="D35" i="80"/>
  <c r="D34" i="78"/>
  <c r="D19" i="80"/>
  <c r="C19" i="80"/>
  <c r="C18" i="78" l="1"/>
  <c r="D18" i="78" s="1"/>
  <c r="D24" i="81"/>
  <c r="P61" i="81"/>
  <c r="D22" i="81"/>
  <c r="J51" i="81"/>
  <c r="C102" i="80"/>
  <c r="D22" i="80"/>
  <c r="G19" i="80"/>
  <c r="D103" i="80"/>
  <c r="D102" i="80"/>
  <c r="G20" i="80"/>
  <c r="C103" i="80"/>
  <c r="C92" i="80"/>
  <c r="C94" i="80"/>
  <c r="K120" i="80"/>
  <c r="D121" i="80"/>
  <c r="D124" i="80"/>
  <c r="D125" i="80" s="1"/>
  <c r="H110" i="80"/>
  <c r="M49" i="80"/>
  <c r="H112" i="80"/>
  <c r="D24" i="79"/>
  <c r="P61" i="79"/>
  <c r="D22" i="79"/>
  <c r="J51" i="79"/>
  <c r="C92" i="78"/>
  <c r="C94" i="78"/>
  <c r="K120" i="78"/>
  <c r="D121" i="78"/>
  <c r="D124" i="78"/>
  <c r="D125" i="78" s="1"/>
  <c r="H110" i="78"/>
  <c r="M49" i="78"/>
  <c r="H112" i="78"/>
  <c r="L66" i="80" l="1"/>
  <c r="M66" i="80" s="1"/>
  <c r="L65" i="80"/>
  <c r="M65" i="80" s="1"/>
  <c r="L64" i="80"/>
  <c r="M64" i="80" s="1"/>
  <c r="L68" i="80"/>
  <c r="M68" i="80" s="1"/>
  <c r="L67" i="80"/>
  <c r="M67" i="80" s="1"/>
  <c r="L63" i="80"/>
  <c r="M63" i="80" s="1"/>
  <c r="M69" i="80" s="1"/>
  <c r="N69" i="80" s="1"/>
  <c r="C32" i="80"/>
  <c r="L66" i="78"/>
  <c r="M66" i="78" s="1"/>
  <c r="L65" i="78"/>
  <c r="M65" i="78" s="1"/>
  <c r="L64" i="78"/>
  <c r="M64" i="78" s="1"/>
  <c r="L68" i="78"/>
  <c r="M68" i="78" s="1"/>
  <c r="L67" i="78"/>
  <c r="M67" i="78" s="1"/>
  <c r="L63" i="78"/>
  <c r="M63" i="78" s="1"/>
  <c r="M69" i="78" s="1"/>
  <c r="N69" i="78" s="1"/>
  <c r="C35" i="80" l="1"/>
  <c r="F118" i="80" s="1"/>
  <c r="H118" i="80"/>
  <c r="C34" i="80" l="1"/>
  <c r="D118" i="80" s="1"/>
  <c r="D119" i="80" s="1"/>
  <c r="C104" i="80"/>
  <c r="H119" i="80"/>
  <c r="H101" i="80"/>
  <c r="F119" i="80"/>
  <c r="H107" i="80" l="1"/>
  <c r="D45" i="80"/>
  <c r="M48" i="80"/>
  <c r="D122" i="80" l="1"/>
  <c r="D123" i="80" s="1"/>
  <c r="C64" i="80"/>
  <c r="D55" i="80"/>
  <c r="M53" i="80" s="1"/>
  <c r="E18" i="77" l="1"/>
  <c r="G18" i="77" s="1"/>
  <c r="G9" i="77"/>
  <c r="E7" i="77"/>
  <c r="E19" i="77" s="1"/>
  <c r="G7" i="77" l="1"/>
  <c r="G19" i="77" s="1"/>
  <c r="L3" i="7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B12" i="76"/>
  <c r="B13" i="76"/>
  <c r="B8" i="76"/>
  <c r="B10" i="76"/>
  <c r="E13" i="76"/>
  <c r="B7" i="76"/>
  <c r="E7" i="76"/>
  <c r="B9" i="76"/>
  <c r="E10" i="76"/>
  <c r="E8" i="76"/>
  <c r="E12" i="76"/>
  <c r="E9" i="76"/>
  <c r="E11"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5" i="73"/>
  <c r="D6" i="73"/>
  <c r="F3" i="73"/>
  <c r="F6" i="73"/>
  <c r="F4" i="73"/>
  <c r="I1" i="73" l="1"/>
  <c r="B39" i="1" s="1"/>
  <c r="D7" i="73"/>
  <c r="D3" i="73"/>
  <c r="D5" i="73"/>
  <c r="D4" i="73"/>
  <c r="F11" i="81" l="1"/>
  <c r="M11" i="81"/>
  <c r="F11" i="79"/>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10" i="81"/>
  <c r="C53" i="79"/>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2" i="1"/>
  <c r="AO13"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s="1"/>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W15" i="34" s="1"/>
  <c r="H15" i="34"/>
  <c r="AB15" i="34" s="1"/>
  <c r="S9"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AA14" i="33"/>
  <c r="J36" i="37"/>
  <c r="AC36" i="37" s="1"/>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A36" i="39"/>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43" i="3"/>
  <c r="AZ47" i="3"/>
  <c r="AZ59" i="3"/>
  <c r="AZ63" i="3"/>
  <c r="AZ67" i="3"/>
  <c r="AZ71" i="3"/>
  <c r="AZ79" i="3"/>
  <c r="AZ83" i="3"/>
  <c r="AZ136" i="3"/>
  <c r="AZ14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38" i="3"/>
  <c r="AZ142" i="3"/>
  <c r="AZ146" i="3"/>
  <c r="AZ154" i="3"/>
  <c r="AZ162" i="3"/>
  <c r="AZ170" i="3"/>
  <c r="AZ178" i="3"/>
  <c r="AZ186" i="3"/>
  <c r="AZ194" i="3"/>
  <c r="AZ500" i="3"/>
  <c r="BA16"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14" i="3"/>
  <c r="AZ222"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4" i="3"/>
  <c r="AZ499" i="3"/>
  <c r="E8" i="6"/>
  <c r="F27" i="6" s="1"/>
  <c r="G509" i="3"/>
  <c r="BL493" i="3"/>
  <c r="AZ493" i="3" s="1"/>
  <c r="AZ376" i="3"/>
  <c r="AZ390"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01" i="3"/>
  <c r="W37" i="37"/>
  <c r="W44" i="34"/>
  <c r="AC44" i="34"/>
  <c r="S15" i="37"/>
  <c r="U13" i="37"/>
  <c r="U12" i="40"/>
  <c r="AA12" i="40"/>
  <c r="J37" i="33"/>
  <c r="W37" i="33" s="1"/>
  <c r="AC17" i="34"/>
  <c r="J34" i="33"/>
  <c r="W34" i="33" s="1"/>
  <c r="F33" i="34"/>
  <c r="S33" i="34" s="1"/>
  <c r="W12" i="36"/>
  <c r="AC12" i="36"/>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C40" i="11"/>
  <c r="AZ223" i="3"/>
  <c r="AZ232" i="3"/>
  <c r="AZ235" i="3"/>
  <c r="AZ248" i="3"/>
  <c r="AZ251" i="3"/>
  <c r="AZ268" i="3"/>
  <c r="AZ271" i="3"/>
  <c r="AZ288" i="3"/>
  <c r="AZ117"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S26" i="33" l="1"/>
  <c r="C51" i="10"/>
  <c r="A13" i="51" s="1"/>
  <c r="B11" i="72" s="1"/>
  <c r="A118" i="80"/>
  <c r="A118" i="78"/>
  <c r="A2" i="80"/>
  <c r="A2" i="78"/>
  <c r="F42" i="33"/>
  <c r="AA42" i="33" s="1"/>
  <c r="J42" i="33"/>
  <c r="AC42" i="33" s="1"/>
  <c r="AB26" i="33"/>
  <c r="U35" i="33"/>
  <c r="U8" i="33"/>
  <c r="S8" i="33"/>
  <c r="U46" i="33"/>
  <c r="AC36" i="34"/>
  <c r="C21" i="39"/>
  <c r="M8" i="1"/>
  <c r="M20" i="15"/>
  <c r="M20" i="81"/>
  <c r="M20" i="79"/>
  <c r="F34" i="81"/>
  <c r="F62" i="81" s="1"/>
  <c r="F34" i="79"/>
  <c r="F62" i="79" s="1"/>
  <c r="D78" i="9"/>
  <c r="D93" i="80"/>
  <c r="D78" i="80"/>
  <c r="D93" i="78"/>
  <c r="D78" i="78"/>
  <c r="G1" i="79"/>
  <c r="G1" i="81"/>
  <c r="AZ16" i="3"/>
  <c r="BA20" i="3"/>
  <c r="BL20" i="3"/>
  <c r="BL22" i="3"/>
  <c r="BA24" i="3"/>
  <c r="BA19" i="3"/>
  <c r="BA21" i="3"/>
  <c r="S12" i="21"/>
  <c r="AA12" i="21"/>
  <c r="U23" i="35"/>
  <c r="AB23" i="35"/>
  <c r="U27" i="37"/>
  <c r="AB27" i="37"/>
  <c r="AC31" i="40"/>
  <c r="W31" i="40"/>
  <c r="W33" i="40"/>
  <c r="AC33" i="40"/>
  <c r="AA38" i="40"/>
  <c r="S38" i="40"/>
  <c r="W40" i="40"/>
  <c r="AC40" i="40"/>
  <c r="AC24" i="36"/>
  <c r="W24" i="36"/>
  <c r="AB14" i="37"/>
  <c r="U14" i="37"/>
  <c r="U25" i="37"/>
  <c r="AB25" i="37"/>
  <c r="AC32" i="40"/>
  <c r="W32" i="40"/>
  <c r="AZ326" i="3"/>
  <c r="AZ311" i="3"/>
  <c r="AZ372" i="3"/>
  <c r="AZ347" i="3"/>
  <c r="AZ344" i="3"/>
  <c r="AZ337" i="3"/>
  <c r="AZ320" i="3"/>
  <c r="AZ313" i="3"/>
  <c r="AZ305" i="3"/>
  <c r="AZ362" i="3"/>
  <c r="AZ557" i="3"/>
  <c r="BA551" i="3"/>
  <c r="BL550" i="3"/>
  <c r="BA550" i="3"/>
  <c r="BL548" i="3"/>
  <c r="AZ548" i="3" s="1"/>
  <c r="BL15" i="3"/>
  <c r="AZ15" i="3" s="1"/>
  <c r="BA398" i="3"/>
  <c r="AZ398" i="3" s="1"/>
  <c r="AZ434" i="3"/>
  <c r="AZ459" i="3"/>
  <c r="AZ462" i="3"/>
  <c r="AZ513" i="3"/>
  <c r="AZ521" i="3"/>
  <c r="AZ553" i="3"/>
  <c r="AZ583" i="3"/>
  <c r="AZ581" i="3"/>
  <c r="AZ518" i="3"/>
  <c r="AZ538" i="3"/>
  <c r="AZ552" i="3"/>
  <c r="BL586" i="3"/>
  <c r="BL585" i="3"/>
  <c r="AZ585" i="3" s="1"/>
  <c r="H38" i="40"/>
  <c r="F40" i="40"/>
  <c r="G574" i="3"/>
  <c r="G558" i="3"/>
  <c r="AZ402" i="3"/>
  <c r="AZ418" i="3"/>
  <c r="AZ443" i="3"/>
  <c r="AZ446" i="3"/>
  <c r="AZ450" i="3"/>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G334" i="3"/>
  <c r="G362" i="3"/>
  <c r="AZ476" i="3"/>
  <c r="AZ477" i="3"/>
  <c r="AZ480" i="3"/>
  <c r="AZ481" i="3"/>
  <c r="AZ332" i="3"/>
  <c r="G343" i="3"/>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L48" i="79"/>
  <c r="M8" i="79"/>
  <c r="M23" i="81"/>
  <c r="M29" i="79"/>
  <c r="M23" i="67"/>
  <c r="M29" i="67"/>
  <c r="M22" i="81"/>
  <c r="F40" i="67"/>
  <c r="F6" i="79"/>
  <c r="C76" i="81"/>
  <c r="F26" i="15"/>
  <c r="F13" i="79"/>
  <c r="L47" i="15"/>
  <c r="F40" i="79"/>
  <c r="M28" i="67"/>
  <c r="F43" i="81"/>
  <c r="M28" i="79"/>
  <c r="F7" i="81"/>
  <c r="F26" i="79"/>
  <c r="F36" i="15"/>
  <c r="F37" i="15"/>
  <c r="F42" i="81"/>
  <c r="F40" i="81"/>
  <c r="M24" i="79"/>
  <c r="M9" i="15"/>
  <c r="M22" i="79"/>
  <c r="M24" i="81"/>
  <c r="C76" i="79"/>
  <c r="J15" i="81"/>
  <c r="L47" i="79"/>
  <c r="F8" i="81"/>
  <c r="F13" i="81"/>
  <c r="F9" i="15"/>
  <c r="M9" i="79"/>
  <c r="F26" i="67"/>
  <c r="F9" i="81"/>
  <c r="F38" i="79"/>
  <c r="F43" i="67"/>
  <c r="M6" i="81"/>
  <c r="M26" i="81"/>
  <c r="G1" i="73"/>
  <c r="L48" i="81"/>
  <c r="F37" i="67"/>
  <c r="F16" i="79"/>
  <c r="L47" i="67"/>
  <c r="L48" i="15"/>
  <c r="M28" i="81"/>
  <c r="F16" i="81"/>
  <c r="M9" i="81"/>
  <c r="F36" i="81"/>
  <c r="F13" i="67"/>
  <c r="M29" i="81"/>
  <c r="F9" i="79"/>
  <c r="F8" i="67"/>
  <c r="F42" i="79"/>
  <c r="M26" i="79"/>
  <c r="F40" i="15"/>
  <c r="F36" i="79"/>
  <c r="L48" i="67"/>
  <c r="F7" i="79"/>
  <c r="M22" i="67"/>
  <c r="M27" i="79"/>
  <c r="F38" i="81"/>
  <c r="J15" i="67"/>
  <c r="M8" i="81"/>
  <c r="F26" i="81"/>
  <c r="M23" i="79"/>
  <c r="M24" i="67"/>
  <c r="J15" i="79"/>
  <c r="F38" i="15"/>
  <c r="F16" i="15"/>
  <c r="F37" i="81"/>
  <c r="M29" i="15"/>
  <c r="M27" i="81"/>
  <c r="M6" i="15"/>
  <c r="F8" i="79"/>
  <c r="L47" i="81"/>
  <c r="F36" i="67"/>
  <c r="F37" i="79"/>
  <c r="F43" i="79"/>
  <c r="M6" i="79"/>
  <c r="M24" i="15"/>
  <c r="G101" i="33" l="1"/>
  <c r="H101" i="33" s="1"/>
  <c r="I101" i="33" s="1"/>
  <c r="J101" i="33" s="1"/>
  <c r="K101" i="33" s="1"/>
  <c r="L101" i="33" s="1"/>
  <c r="M101" i="33" s="1"/>
  <c r="H32" i="33"/>
  <c r="AA11" i="34"/>
  <c r="J53" i="81"/>
  <c r="C10" i="79"/>
  <c r="J53" i="79"/>
  <c r="F53" i="9"/>
  <c r="D68" i="80"/>
  <c r="F54" i="80"/>
  <c r="F53" i="80"/>
  <c r="F32" i="79"/>
  <c r="F60" i="79" s="1"/>
  <c r="F28" i="79"/>
  <c r="C28" i="79" s="1"/>
  <c r="M18" i="79"/>
  <c r="F52" i="78"/>
  <c r="F32" i="81"/>
  <c r="F60" i="81" s="1"/>
  <c r="F28" i="81"/>
  <c r="C28" i="81" s="1"/>
  <c r="M18" i="81"/>
  <c r="F52" i="80"/>
  <c r="D68" i="78"/>
  <c r="F54" i="78"/>
  <c r="F53" i="78"/>
  <c r="D52" i="80"/>
  <c r="D53" i="80"/>
  <c r="C77" i="78"/>
  <c r="C74" i="78" s="1"/>
  <c r="C77" i="80"/>
  <c r="C74" i="80" s="1"/>
  <c r="C85" i="80"/>
  <c r="C72" i="80"/>
  <c r="C63" i="80"/>
  <c r="C67" i="80" s="1"/>
  <c r="C68" i="80" s="1"/>
  <c r="D54" i="80" s="1"/>
  <c r="C93" i="80"/>
  <c r="C86" i="80" s="1"/>
  <c r="C78" i="80"/>
  <c r="Q71" i="81"/>
  <c r="F64" i="81"/>
  <c r="F66" i="81"/>
  <c r="L59" i="81"/>
  <c r="M59" i="81"/>
  <c r="N59" i="81"/>
  <c r="L58" i="81"/>
  <c r="C27" i="81"/>
  <c r="F65" i="81"/>
  <c r="F51" i="81"/>
  <c r="F68" i="81"/>
  <c r="L56" i="81"/>
  <c r="J57" i="81"/>
  <c r="J55" i="81" s="1"/>
  <c r="J58" i="81" s="1"/>
  <c r="Q50" i="81" s="1"/>
  <c r="I54" i="81"/>
  <c r="Q71" i="79"/>
  <c r="F64" i="79"/>
  <c r="F66" i="79"/>
  <c r="L59" i="79"/>
  <c r="M59" i="79"/>
  <c r="N59" i="79"/>
  <c r="L58" i="79"/>
  <c r="C27" i="79"/>
  <c r="F65" i="79"/>
  <c r="F51" i="79"/>
  <c r="F68" i="79"/>
  <c r="L56" i="79"/>
  <c r="J57" i="79"/>
  <c r="J55" i="79" s="1"/>
  <c r="J58" i="79" s="1"/>
  <c r="Q50" i="79" s="1"/>
  <c r="I54" i="79"/>
  <c r="AZ20" i="3"/>
  <c r="D22" i="43"/>
  <c r="F50" i="81"/>
  <c r="M7" i="81"/>
  <c r="F71" i="81"/>
  <c r="F50" i="79"/>
  <c r="C6" i="79"/>
  <c r="M7" i="79"/>
  <c r="F71" i="79"/>
  <c r="AB38" i="40"/>
  <c r="U38" i="40"/>
  <c r="W17" i="21"/>
  <c r="C7" i="43"/>
  <c r="AA40" i="40"/>
  <c r="S40" i="40"/>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R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S26" i="6"/>
  <c r="M20" i="6"/>
  <c r="I20" i="6" s="1"/>
  <c r="G16" i="1"/>
  <c r="H10" i="40" s="1"/>
  <c r="U10" i="40" s="1"/>
  <c r="C27" i="67"/>
  <c r="L56" i="67"/>
  <c r="J57" i="67"/>
  <c r="J55" i="67" s="1"/>
  <c r="J58" i="67" s="1"/>
  <c r="Q50" i="67" s="1"/>
  <c r="F51" i="67"/>
  <c r="F68" i="67"/>
  <c r="F71" i="67"/>
  <c r="F64" i="67"/>
  <c r="F65" i="67"/>
  <c r="C27" i="15"/>
  <c r="F64" i="15"/>
  <c r="F65" i="15"/>
  <c r="J57" i="15"/>
  <c r="J55" i="15" s="1"/>
  <c r="J58" i="15" s="1"/>
  <c r="Q50" i="15" s="1"/>
  <c r="F68" i="15"/>
  <c r="F6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67"/>
  <c r="F31" i="15"/>
  <c r="C16" i="81"/>
  <c r="F6" i="15"/>
  <c r="C17" i="81"/>
  <c r="M22" i="15"/>
  <c r="C17" i="79"/>
  <c r="M9" i="67"/>
  <c r="F16" i="67"/>
  <c r="M8" i="67"/>
  <c r="F7" i="15"/>
  <c r="F43" i="15"/>
  <c r="M6" i="67"/>
  <c r="M26" i="67"/>
  <c r="C16" i="79"/>
  <c r="F42" i="15"/>
  <c r="F7" i="67"/>
  <c r="F6" i="67"/>
  <c r="C16" i="15"/>
  <c r="M8" i="15"/>
  <c r="F9" i="67"/>
  <c r="J15" i="15"/>
  <c r="C76" i="67"/>
  <c r="F38" i="67"/>
  <c r="F8" i="15"/>
  <c r="M26" i="15"/>
  <c r="M28" i="15"/>
  <c r="M23" i="15"/>
  <c r="C76" i="15"/>
  <c r="F42" i="67"/>
  <c r="F13" i="15"/>
  <c r="C5" i="79" l="1"/>
  <c r="C38" i="79" s="1"/>
  <c r="AB32" i="33"/>
  <c r="U32" i="33"/>
  <c r="C49" i="79"/>
  <c r="C48" i="79" s="1"/>
  <c r="C60" i="79" s="1"/>
  <c r="C49" i="81"/>
  <c r="C48" i="81" s="1"/>
  <c r="C60" i="81" s="1"/>
  <c r="F1" i="81"/>
  <c r="Q52" i="81"/>
  <c r="C10" i="15"/>
  <c r="Q52" i="79"/>
  <c r="F1" i="79"/>
  <c r="C95" i="80"/>
  <c r="C73" i="80"/>
  <c r="C79" i="80" s="1"/>
  <c r="M21" i="6"/>
  <c r="I21" i="6" s="1"/>
  <c r="S21" i="6" s="1"/>
  <c r="S8" i="1"/>
  <c r="E8" i="70" s="1"/>
  <c r="Q61" i="79"/>
  <c r="Q74" i="79"/>
  <c r="Q61" i="81"/>
  <c r="Q74" i="81"/>
  <c r="Q60" i="79"/>
  <c r="Q73" i="79"/>
  <c r="Q60" i="81"/>
  <c r="Q73" i="81"/>
  <c r="C23" i="43"/>
  <c r="C21" i="43" s="1"/>
  <c r="S3" i="43"/>
  <c r="S5" i="43"/>
  <c r="S7" i="43"/>
  <c r="S4" i="43"/>
  <c r="S6" i="43"/>
  <c r="S2" i="43"/>
  <c r="L18" i="80"/>
  <c r="L18" i="78"/>
  <c r="M18" i="80"/>
  <c r="B118" i="80" s="1"/>
  <c r="M18" i="78"/>
  <c r="B118" i="78" s="1"/>
  <c r="H108" i="80"/>
  <c r="M19" i="6"/>
  <c r="AQ6" i="1"/>
  <c r="O6" i="1"/>
  <c r="P6" i="1" s="1"/>
  <c r="J6" i="79"/>
  <c r="J10" i="79"/>
  <c r="C66" i="79"/>
  <c r="J6" i="81"/>
  <c r="J10" i="81"/>
  <c r="F24" i="79"/>
  <c r="F24" i="81"/>
  <c r="C24" i="79"/>
  <c r="F50" i="15"/>
  <c r="M7" i="15"/>
  <c r="J6" i="15" s="1"/>
  <c r="F71" i="15"/>
  <c r="C6" i="15"/>
  <c r="C6" i="67"/>
  <c r="C5" i="67" s="1"/>
  <c r="C32" i="67" s="1"/>
  <c r="M7" i="67"/>
  <c r="J6" i="67" s="1"/>
  <c r="F50" i="67"/>
  <c r="C49" i="67" s="1"/>
  <c r="Q71" i="15"/>
  <c r="F51" i="15"/>
  <c r="C49" i="15" s="1"/>
  <c r="F66" i="67"/>
  <c r="Q71" i="67"/>
  <c r="F70" i="67"/>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F10" i="40"/>
  <c r="AA10" i="40" s="1"/>
  <c r="S20" i="6"/>
  <c r="I19" i="6"/>
  <c r="M27" i="6"/>
  <c r="H10" i="39"/>
  <c r="J10" i="39"/>
  <c r="Q60" i="15"/>
  <c r="M16" i="1"/>
  <c r="N16" i="1" s="1"/>
  <c r="Q60" i="67"/>
  <c r="Q73" i="67"/>
  <c r="F27" i="11"/>
  <c r="Q61" i="67"/>
  <c r="Q74" i="67"/>
  <c r="F1" i="67"/>
  <c r="Q52" i="67"/>
  <c r="F59" i="15"/>
  <c r="F59" i="67"/>
  <c r="M17" i="15"/>
  <c r="M17" i="67"/>
  <c r="C16" i="67"/>
  <c r="C14" i="79"/>
  <c r="C14" i="81"/>
  <c r="C17" i="15"/>
  <c r="C66" i="81" l="1"/>
  <c r="C32" i="79"/>
  <c r="C5" i="15"/>
  <c r="C32" i="15" s="1"/>
  <c r="J10" i="15"/>
  <c r="J5" i="15" s="1"/>
  <c r="C80" i="80"/>
  <c r="E80" i="80" s="1"/>
  <c r="E81" i="80" s="1"/>
  <c r="C81" i="80"/>
  <c r="C97" i="80"/>
  <c r="D58" i="80" s="1"/>
  <c r="D56" i="80" s="1"/>
  <c r="M54" i="80" s="1"/>
  <c r="N57" i="80" s="1"/>
  <c r="C96" i="80"/>
  <c r="E96" i="80" s="1"/>
  <c r="E97" i="80" s="1"/>
  <c r="T8" i="1"/>
  <c r="AQ8" i="1"/>
  <c r="AR8" i="1"/>
  <c r="J5" i="81"/>
  <c r="J18" i="81" s="1"/>
  <c r="J5" i="79"/>
  <c r="J24" i="79" s="1"/>
  <c r="G118" i="80"/>
  <c r="I118" i="80"/>
  <c r="C18" i="79"/>
  <c r="C15" i="79"/>
  <c r="C18" i="81"/>
  <c r="C15" i="81"/>
  <c r="J26" i="81"/>
  <c r="L19" i="80"/>
  <c r="L19" i="78"/>
  <c r="M19" i="80"/>
  <c r="C118" i="80" s="1"/>
  <c r="M19" i="78"/>
  <c r="C118" i="78" s="1"/>
  <c r="C24" i="81"/>
  <c r="Q61" i="15"/>
  <c r="E37" i="43"/>
  <c r="AA7" i="36"/>
  <c r="R36" i="36" s="1"/>
  <c r="E36" i="36" s="1"/>
  <c r="E40" i="36" s="1"/>
  <c r="F40" i="36" s="1"/>
  <c r="AC11" i="37"/>
  <c r="W11" i="37"/>
  <c r="AB7" i="37"/>
  <c r="T42" i="37" s="1"/>
  <c r="G42" i="37" s="1"/>
  <c r="G46" i="37" s="1"/>
  <c r="H46" i="37" s="1"/>
  <c r="W11" i="34"/>
  <c r="AC11" i="34"/>
  <c r="J5" i="67"/>
  <c r="H20" i="6"/>
  <c r="AB7" i="36"/>
  <c r="T36" i="36" s="1"/>
  <c r="C23" i="68"/>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8" i="15" l="1"/>
  <c r="J24" i="81"/>
  <c r="AA7" i="34"/>
  <c r="R49" i="34" s="1"/>
  <c r="J26" i="79"/>
  <c r="C19" i="79"/>
  <c r="R20" i="6"/>
  <c r="R7" i="1" s="1"/>
  <c r="J18" i="79"/>
  <c r="C19" i="81"/>
  <c r="C20" i="81" s="1"/>
  <c r="C26" i="81" s="1"/>
  <c r="N58" i="80"/>
  <c r="N59" i="80"/>
  <c r="P57" i="80"/>
  <c r="E118" i="80"/>
  <c r="H102" i="80"/>
  <c r="C105" i="80"/>
  <c r="C20" i="79"/>
  <c r="C26" i="79" s="1"/>
  <c r="C21" i="80"/>
  <c r="D21" i="80"/>
  <c r="G21" i="80"/>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N60" i="80" l="1"/>
  <c r="N61" i="80"/>
  <c r="C23" i="79"/>
  <c r="C29" i="79" s="1"/>
  <c r="J19" i="79" s="1"/>
  <c r="C23" i="81"/>
  <c r="C29" i="81" s="1"/>
  <c r="D31" i="6"/>
  <c r="I6" i="6" s="1"/>
  <c r="E2" i="76"/>
  <c r="B2" i="43"/>
  <c r="R49" i="21"/>
  <c r="C48" i="21" s="1"/>
  <c r="G54" i="34"/>
  <c r="H54" i="34" s="1"/>
  <c r="I53" i="21"/>
  <c r="J53" i="21" s="1"/>
  <c r="C37" i="36"/>
  <c r="U8" i="1" s="1"/>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M21" i="67"/>
  <c r="M21" i="81"/>
  <c r="B6" i="76"/>
  <c r="F35" i="79"/>
  <c r="F35" i="67"/>
  <c r="F6" i="81"/>
  <c r="F35" i="15"/>
  <c r="F35" i="81"/>
  <c r="M21" i="79"/>
  <c r="C6" i="81" l="1"/>
  <c r="C5" i="81" s="1"/>
  <c r="C57" i="79"/>
  <c r="C61" i="79" s="1"/>
  <c r="C36" i="79"/>
  <c r="Q49" i="79"/>
  <c r="C13" i="79"/>
  <c r="C75" i="79" s="1"/>
  <c r="J59" i="79"/>
  <c r="J60" i="79" s="1"/>
  <c r="Q48" i="79" s="1"/>
  <c r="J14" i="79"/>
  <c r="J13" i="79" s="1"/>
  <c r="J23" i="79" s="1"/>
  <c r="C33" i="79"/>
  <c r="C57" i="81"/>
  <c r="C36" i="81"/>
  <c r="C13" i="81"/>
  <c r="C33" i="81"/>
  <c r="J14" i="81"/>
  <c r="Q49" i="81"/>
  <c r="J59" i="81"/>
  <c r="J60" i="81" s="1"/>
  <c r="J19" i="81"/>
  <c r="J22" i="79"/>
  <c r="C64" i="79"/>
  <c r="J20" i="81"/>
  <c r="F63" i="81"/>
  <c r="C62" i="81" s="1"/>
  <c r="C34" i="81"/>
  <c r="J20" i="79"/>
  <c r="J17" i="79" s="1"/>
  <c r="F63" i="79"/>
  <c r="C62" i="79" s="1"/>
  <c r="C34" i="79"/>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38" i="81" l="1"/>
  <c r="C32" i="81"/>
  <c r="C56" i="79"/>
  <c r="C65" i="79" s="1"/>
  <c r="C37" i="79"/>
  <c r="C31" i="79"/>
  <c r="C31" i="81"/>
  <c r="J16" i="79"/>
  <c r="J25" i="79" s="1"/>
  <c r="Q70" i="79"/>
  <c r="J17" i="81"/>
  <c r="Q48" i="81"/>
  <c r="J22" i="81"/>
  <c r="J13" i="81"/>
  <c r="J23" i="81" s="1"/>
  <c r="Q70" i="81"/>
  <c r="C56" i="81"/>
  <c r="C65" i="81" s="1"/>
  <c r="C75" i="81"/>
  <c r="C37" i="81"/>
  <c r="C61" i="81"/>
  <c r="C59" i="81" s="1"/>
  <c r="C64" i="81"/>
  <c r="C59" i="79"/>
  <c r="C25" i="68"/>
  <c r="C22" i="68" s="1"/>
  <c r="C31" i="68" s="1"/>
  <c r="C27" i="12"/>
  <c r="C25" i="12" s="1"/>
  <c r="C32" i="12" s="1"/>
  <c r="B2" i="12" s="1"/>
  <c r="B3" i="12" s="1"/>
  <c r="C39" i="68"/>
  <c r="C43" i="68" s="1"/>
  <c r="C42" i="68"/>
  <c r="J63" i="40"/>
  <c r="I65" i="40"/>
  <c r="C46" i="11"/>
  <c r="C45" i="11" s="1"/>
  <c r="C49" i="11" s="1"/>
  <c r="C51" i="11" s="1"/>
  <c r="C52" i="11" s="1"/>
  <c r="B2" i="11" s="1"/>
  <c r="B3" i="11" s="1"/>
  <c r="J70" i="39"/>
  <c r="C30" i="81" l="1"/>
  <c r="C39" i="81" s="1"/>
  <c r="C80" i="81" s="1"/>
  <c r="C79" i="81" s="1"/>
  <c r="C58" i="79"/>
  <c r="C67" i="79" s="1"/>
  <c r="C30" i="79"/>
  <c r="C39" i="79" s="1"/>
  <c r="C58" i="81"/>
  <c r="C67" i="81" s="1"/>
  <c r="J16" i="81"/>
  <c r="J25" i="81" s="1"/>
  <c r="L57" i="81"/>
  <c r="L60" i="81" s="1"/>
  <c r="L46" i="81" s="1"/>
  <c r="L57" i="79"/>
  <c r="L60" i="79" s="1"/>
  <c r="L46" i="79" s="1"/>
  <c r="C41" i="68"/>
  <c r="C46" i="68"/>
  <c r="C45" i="68" s="1"/>
  <c r="K63" i="40"/>
  <c r="J65" i="40"/>
  <c r="K70" i="39"/>
  <c r="C56" i="11"/>
  <c r="C57" i="11" s="1"/>
  <c r="L51" i="79"/>
  <c r="Q69" i="81" l="1"/>
  <c r="Q68" i="81" s="1"/>
  <c r="Q67" i="79"/>
  <c r="C80" i="79"/>
  <c r="C79" i="79" s="1"/>
  <c r="Q69" i="79"/>
  <c r="Q68" i="79" s="1"/>
  <c r="Q66" i="81"/>
  <c r="Q57" i="81"/>
  <c r="Q66" i="79"/>
  <c r="Q57" i="79"/>
  <c r="C49" i="68"/>
  <c r="C51" i="68" s="1"/>
  <c r="C52" i="68" s="1"/>
  <c r="C57" i="68" s="1"/>
  <c r="C56" i="68" s="1"/>
  <c r="L63" i="40"/>
  <c r="K65" i="40"/>
  <c r="L70" i="39"/>
  <c r="E2" i="70"/>
  <c r="C34" i="69"/>
  <c r="C17" i="67"/>
  <c r="L51" i="81"/>
  <c r="Q67" i="81" l="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L51" i="15"/>
  <c r="F41" i="79"/>
  <c r="F69" i="79" l="1"/>
  <c r="C68" i="79" s="1"/>
  <c r="J29" i="79"/>
  <c r="C40" i="79"/>
  <c r="C66" i="15"/>
  <c r="C60" i="15"/>
  <c r="C59" i="15" s="1"/>
  <c r="AG6" i="1"/>
  <c r="C80" i="15"/>
  <c r="C79" i="15" s="1"/>
  <c r="C65" i="15"/>
  <c r="Q68" i="15"/>
  <c r="L57" i="15"/>
  <c r="L60" i="15" s="1"/>
  <c r="Q67" i="15"/>
  <c r="M27" i="15"/>
  <c r="F41" i="81"/>
  <c r="M27" i="67"/>
  <c r="F41" i="67"/>
  <c r="F41" i="15"/>
  <c r="J29" i="81" l="1"/>
  <c r="F69" i="81"/>
  <c r="C68" i="81" s="1"/>
  <c r="C40" i="81"/>
  <c r="Q47" i="81" s="1"/>
  <c r="Q53" i="81" s="1"/>
  <c r="C71" i="81"/>
  <c r="Q47" i="79"/>
  <c r="Q53" i="79" s="1"/>
  <c r="B2" i="79"/>
  <c r="B3" i="79" s="1"/>
  <c r="Q65" i="79"/>
  <c r="Q75" i="79" s="1"/>
  <c r="Q56" i="79"/>
  <c r="Q62" i="79" s="1"/>
  <c r="C43" i="79"/>
  <c r="C83" i="79"/>
  <c r="C82" i="79" s="1"/>
  <c r="C71" i="79"/>
  <c r="C46" i="79"/>
  <c r="J26" i="15"/>
  <c r="J29" i="15" s="1"/>
  <c r="J26" i="67"/>
  <c r="J29" i="67" s="1"/>
  <c r="C58" i="15"/>
  <c r="C67" i="15" s="1"/>
  <c r="F69" i="15"/>
  <c r="C40" i="15"/>
  <c r="C43" i="15" s="1"/>
  <c r="L46" i="15"/>
  <c r="Q57" i="15"/>
  <c r="Q66" i="15"/>
  <c r="F69" i="67"/>
  <c r="C68" i="67" s="1"/>
  <c r="C71" i="67" s="1"/>
  <c r="C40" i="67"/>
  <c r="C83" i="67" s="1"/>
  <c r="C82" i="67" s="1"/>
  <c r="Q56" i="81" l="1"/>
  <c r="Q62" i="81" s="1"/>
  <c r="C46" i="81"/>
  <c r="C83" i="81"/>
  <c r="C82" i="81" s="1"/>
  <c r="B2" i="81"/>
  <c r="B3" i="81" s="1"/>
  <c r="G6" i="84" s="1"/>
  <c r="C43" i="81"/>
  <c r="Q65" i="81"/>
  <c r="Q75" i="81" s="1"/>
  <c r="F6" i="84"/>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E2" i="69"/>
  <c r="AO6" i="1"/>
  <c r="B8" i="70" l="1"/>
  <c r="B7" i="70"/>
  <c r="B6" i="70"/>
  <c r="C46" i="15"/>
  <c r="B2" i="69"/>
  <c r="B3" i="69" s="1"/>
  <c r="B2" i="68"/>
  <c r="B3" i="67"/>
  <c r="D2" i="35"/>
  <c r="D2" i="36"/>
  <c r="D2" i="37"/>
  <c r="E2" i="68"/>
  <c r="D2" i="21"/>
  <c r="D2" i="33"/>
  <c r="D2" i="34"/>
  <c r="F20" i="31"/>
  <c r="B20" i="31" l="1"/>
  <c r="B2" i="36"/>
  <c r="B3" i="36" s="1"/>
  <c r="B2" i="35"/>
  <c r="B3" i="35" s="1"/>
  <c r="B2" i="37"/>
  <c r="B3" i="37" s="1"/>
  <c r="B2" i="34"/>
  <c r="B2" i="21"/>
  <c r="B3" i="21" s="1"/>
  <c r="B2" i="70"/>
  <c r="B3" i="68"/>
  <c r="D20" i="9"/>
  <c r="D19" i="78"/>
  <c r="D19" i="9"/>
  <c r="C19" i="9"/>
  <c r="D5" i="84" l="1"/>
  <c r="D3" i="84"/>
  <c r="D2" i="84"/>
  <c r="D102" i="78"/>
  <c r="D21" i="78"/>
  <c r="B3" i="70"/>
  <c r="C102" i="9"/>
  <c r="C21" i="9"/>
  <c r="B3" i="34"/>
  <c r="G19" i="9"/>
  <c r="F2" i="84" s="1"/>
  <c r="D102" i="9"/>
  <c r="D22" i="9"/>
  <c r="D21" i="9"/>
  <c r="D103" i="9"/>
  <c r="C20" i="9"/>
  <c r="D20" i="78"/>
  <c r="G2" i="84" l="1"/>
  <c r="D103" i="78"/>
  <c r="G20" i="9"/>
  <c r="C103" i="9"/>
  <c r="C32" i="9"/>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78"/>
  <c r="D4" i="84" l="1"/>
  <c r="D22" i="78"/>
  <c r="C102" i="78"/>
  <c r="G19" i="78"/>
  <c r="F4" i="84" s="1"/>
  <c r="F8" i="84" s="1"/>
  <c r="G14" i="74" s="1"/>
  <c r="C21" i="78"/>
  <c r="B3" i="33"/>
  <c r="G52" i="39"/>
  <c r="H52" i="39" s="1"/>
  <c r="G51" i="39"/>
  <c r="H51" i="39" s="1"/>
  <c r="I51" i="39"/>
  <c r="J51" i="39" s="1"/>
  <c r="W7" i="39"/>
  <c r="U7" i="39"/>
  <c r="AA7" i="39"/>
  <c r="R47" i="39" s="1"/>
  <c r="C20" i="78"/>
  <c r="G8" i="84" l="1"/>
  <c r="D14" i="74"/>
  <c r="G4" i="84"/>
  <c r="E23" i="77"/>
  <c r="G20" i="78"/>
  <c r="C103" i="78"/>
  <c r="C32" i="78"/>
  <c r="G21" i="78"/>
  <c r="R48" i="39"/>
  <c r="E47" i="39"/>
  <c r="J23" i="78" l="1"/>
  <c r="J24" i="78" s="1"/>
  <c r="C35" i="78"/>
  <c r="F118" i="78" s="1"/>
  <c r="H118" i="78"/>
  <c r="C48" i="39"/>
  <c r="C47" i="39"/>
  <c r="E51" i="39"/>
  <c r="F51" i="39" s="1"/>
  <c r="E52" i="39"/>
  <c r="F52" i="39" s="1"/>
  <c r="I52" i="39"/>
  <c r="J52" i="39" s="1"/>
  <c r="C34" i="78" l="1"/>
  <c r="D118" i="78" s="1"/>
  <c r="D119" i="78" s="1"/>
  <c r="C104" i="78"/>
  <c r="H101" i="78"/>
  <c r="H119" i="78"/>
  <c r="I118" i="78"/>
  <c r="F119" i="78"/>
  <c r="G118" i="78"/>
  <c r="B61" i="39"/>
  <c r="F61" i="39" s="1"/>
  <c r="B60" i="39"/>
  <c r="F60" i="39" s="1"/>
  <c r="B56" i="39"/>
  <c r="F56" i="39" s="1"/>
  <c r="B58" i="39"/>
  <c r="F58" i="39" s="1"/>
  <c r="B59" i="39"/>
  <c r="F59" i="39" s="1"/>
  <c r="B64" i="39"/>
  <c r="F64" i="39" s="1"/>
  <c r="B65" i="39"/>
  <c r="F65" i="39" s="1"/>
  <c r="B57" i="39"/>
  <c r="F57" i="39" s="1"/>
  <c r="B63" i="39"/>
  <c r="F63" i="39" s="1"/>
  <c r="B62" i="39"/>
  <c r="F62" i="39" s="1"/>
  <c r="H102" i="78" l="1"/>
  <c r="E118" i="78"/>
  <c r="C105" i="78"/>
  <c r="D45" i="78"/>
  <c r="H107" i="78"/>
  <c r="M48" i="78"/>
  <c r="F66" i="39"/>
  <c r="B2" i="39" s="1"/>
  <c r="B3" i="39" s="1"/>
  <c r="D35" i="9"/>
  <c r="C64" i="78" l="1"/>
  <c r="C63" i="78" s="1"/>
  <c r="C67" i="78" s="1"/>
  <c r="C68" i="78" s="1"/>
  <c r="D54" i="78" s="1"/>
  <c r="D55" i="78"/>
  <c r="M53" i="78" s="1"/>
  <c r="D53" i="78"/>
  <c r="C72" i="78"/>
  <c r="C85" i="78"/>
  <c r="D52" i="78"/>
  <c r="C93" i="78"/>
  <c r="C86" i="78" s="1"/>
  <c r="C78" i="78"/>
  <c r="C73" i="78" s="1"/>
  <c r="D122" i="78"/>
  <c r="D123" i="78" s="1"/>
  <c r="H108" i="78"/>
  <c r="C35" i="9"/>
  <c r="C79" i="78" l="1"/>
  <c r="C95" i="78"/>
  <c r="C34" i="9"/>
  <c r="C96" i="78" l="1"/>
  <c r="E96" i="78" s="1"/>
  <c r="E97" i="78" s="1"/>
  <c r="C80" i="78"/>
  <c r="E80" i="78" s="1"/>
  <c r="E81" i="78" s="1"/>
  <c r="H112" i="9"/>
  <c r="D21" i="53" s="1"/>
  <c r="B39" i="72" s="1"/>
  <c r="H111" i="9"/>
  <c r="D126" i="9" s="1"/>
  <c r="D19" i="53"/>
  <c r="D59" i="9"/>
  <c r="M55" i="9"/>
  <c r="C81" i="78" l="1"/>
  <c r="C97" i="78"/>
  <c r="D58" i="78" s="1"/>
  <c r="D56" i="78" s="1"/>
  <c r="M54" i="78" s="1"/>
  <c r="N57" i="78" s="1"/>
  <c r="N58" i="78" s="1"/>
  <c r="B38" i="72"/>
  <c r="D20" i="53"/>
  <c r="B40" i="72" s="1"/>
  <c r="I14" i="74"/>
  <c r="B8" i="74" s="1"/>
  <c r="D127" i="9"/>
  <c r="D13" i="52" s="1"/>
  <c r="D12" i="52"/>
  <c r="F118" i="9"/>
  <c r="G118" i="9" s="1"/>
  <c r="G4" i="52" s="1"/>
  <c r="B52" i="72" s="1"/>
  <c r="D118" i="9"/>
  <c r="D119" i="9" s="1"/>
  <c r="D5" i="52" s="1"/>
  <c r="B49" i="72" s="1"/>
  <c r="H118" i="9"/>
  <c r="C104" i="9" s="1"/>
  <c r="P57" i="78" l="1"/>
  <c r="N59" i="78"/>
  <c r="N60" i="78" s="1"/>
  <c r="D8" i="74"/>
  <c r="C8" i="74"/>
  <c r="H101" i="9"/>
  <c r="M48" i="9" s="1"/>
  <c r="I118" i="9"/>
  <c r="C105" i="9" s="1"/>
  <c r="H119" i="9"/>
  <c r="H5" i="52" s="1"/>
  <c r="F4" i="52"/>
  <c r="B51" i="72" s="1"/>
  <c r="F119" i="9"/>
  <c r="F5" i="52" s="1"/>
  <c r="B53" i="72" s="1"/>
  <c r="H4" i="52"/>
  <c r="D4" i="52"/>
  <c r="B47" i="72" s="1"/>
  <c r="H107" i="9"/>
  <c r="N61" i="78" l="1"/>
  <c r="D45" i="9"/>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B6" i="74"/>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<sst xmlns="http://schemas.openxmlformats.org/spreadsheetml/2006/main" count="9330" uniqueCount="3258">
  <si>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</si>
  <si>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</si>
  <si>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</si>
  <si>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</si>
  <si>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</si>
  <si>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</si>
  <si>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</si>
  <si>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</si>
  <si>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</si>
  <si>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</si>
  <si>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</si>
  <si>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</si>
  <si>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</si>
  <si>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</si>
  <si>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</si>
  <si>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</si>
  <si>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</si>
  <si>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</si>
  <si>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</si>
  <si>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</si>
  <si>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</si>
  <si>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</si>
  <si>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</si>
  <si>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</si>
  <si>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</si>
  <si>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</si>
  <si>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</si>
  <si>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</si>
  <si>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</si>
  <si>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</si>
  <si>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</si>
  <si>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</si>
  <si>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</si>
  <si>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</si>
  <si>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</si>
  <si>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</si>
  <si>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</si>
  <si>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</si>
  <si>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</si>
  <si>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</si>
  <si>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</si>
  <si>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</si>
  <si>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</si>
  <si>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</si>
  <si>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</si>
  <si>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</si>
  <si>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</si>
  <si>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</si>
  <si>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</si>
  <si>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</si>
  <si>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</si>
  <si>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</si>
  <si>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</si>
  <si>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</si>
  <si>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</si>
  <si>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</si>
  <si>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</si>
  <si>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</si>
  <si>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</si>
  <si>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</si>
  <si>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</si>
  <si>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</si>
  <si>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</si>
  <si>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</si>
  <si>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</si>
  <si>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</si>
  <si>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</si>
  <si>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</si>
  <si>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</si>
  <si>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</si>
  <si>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</si>
  <si>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</si>
  <si>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</si>
  <si>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</si>
  <si>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</si>
  <si>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</si>
  <si>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</si>
  <si>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</si>
  <si>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</si>
  <si>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</si>
  <si>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</si>
  <si>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</si>
  <si>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</si>
  <si>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</si>
  <si>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</si>
  <si>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</si>
  <si>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</si>
  <si>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</si>
  <si>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</si>
  <si>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</si>
  <si>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</si>
  <si>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</si>
  <si>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</si>
  <si>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</si>
  <si>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</si>
  <si>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</si>
  <si>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</si>
  <si>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</si>
  <si>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</si>
  <si>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</si>
  <si>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</si>
  <si>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</si>
  <si>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</si>
  <si>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</si>
  <si>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</si>
  <si>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</si>
  <si>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</si>
  <si>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</si>
  <si>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</si>
  <si>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</si>
  <si>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</si>
  <si>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</si>
  <si>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</si>
  <si>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</si>
  <si>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</si>
  <si>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</si>
  <si>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</si>
  <si>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</si>
  <si>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</si>
  <si>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</si>
  <si>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</si>
  <si>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</si>
  <si>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</si>
  <si>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</si>
  <si>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</si>
  <si>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</si>
  <si>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</si>
  <si>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</si>
  <si>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</si>
  <si>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</si>
  <si>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</si>
  <si>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</si>
  <si>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</si>
  <si>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</si>
  <si>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</si>
  <si>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</si>
  <si>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</si>
  <si>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</si>
  <si>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</si>
  <si>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</si>
  <si>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</si>
  <si>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</si>
  <si>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</si>
  <si>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</si>
  <si>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</si>
  <si>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</si>
  <si>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</si>
  <si>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</si>
  <si>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</si>
  <si>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</si>
  <si>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</si>
  <si>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</si>
  <si>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</si>
  <si>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</si>
  <si>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</si>
  <si>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</si>
  <si>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</si>
  <si>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</si>
  <si>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</si>
  <si>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</si>
  <si>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</si>
  <si>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</si>
  <si>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</si>
  <si>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</si>
  <si>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</si>
  <si>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</si>
  <si>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</si>
  <si>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</si>
  <si>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</si>
  <si>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</si>
  <si>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</si>
  <si>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</si>
  <si>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</si>
  <si>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</si>
  <si>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</si>
  <si>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</si>
  <si>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</si>
  <si>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</si>
  <si>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</si>
  <si>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</si>
  <si>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</si>
  <si>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</si>
  <si>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</si>
  <si>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</si>
  <si>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</si>
  <si>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</si>
  <si>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</si>
  <si>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</si>
  <si>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</si>
  <si>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</si>
  <si>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</si>
  <si>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</si>
  <si>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</si>
  <si>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</si>
  <si>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</si>
  <si>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</si>
  <si>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</si>
  <si>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</si>
  <si>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</si>
  <si>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</si>
  <si>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</si>
  <si>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</si>
  <si>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</si>
  <si>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</si>
  <si>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</si>
  <si>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</si>
  <si>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</si>
  <si>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</si>
  <si>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</si>
  <si>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</si>
  <si>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</si>
  <si>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</si>
  <si>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</si>
  <si>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</si>
  <si>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</si>
  <si>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</si>
  <si>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</si>
  <si>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</si>
  <si>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</si>
  <si>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</si>
  <si>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</si>
  <si>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</si>
  <si>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</si>
  <si>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</si>
  <si>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</si>
  <si>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</si>
  <si>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</si>
  <si>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</si>
  <si>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</si>
  <si>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</si>
  <si>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</si>
  <si>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</si>
  <si>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</si>
  <si>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</si>
  <si>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</si>
  <si>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</si>
  <si>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</si>
  <si>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</si>
  <si>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</si>
  <si>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</si>
  <si>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</si>
  <si>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</si>
  <si>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</si>
  <si>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</si>
  <si>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</si>
  <si>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</si>
  <si>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</si>
  <si>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</si>
  <si>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</si>
  <si>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</si>
  <si>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</si>
  <si>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</si>
  <si>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</si>
  <si>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</si>
  <si>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</si>
  <si>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</si>
  <si>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</si>
  <si>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</si>
  <si>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</si>
  <si>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</si>
  <si>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</si>
  <si>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</si>
  <si>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</si>
  <si>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</si>
  <si>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</si>
  <si>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</si>
  <si>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</si>
  <si>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</si>
  <si>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</si>
  <si>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</si>
  <si>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</si>
  <si>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</si>
  <si>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</si>
  <si>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</si>
  <si>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</si>
  <si>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</si>
  <si>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</si>
  <si>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</si>
  <si>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</si>
  <si>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</si>
  <si>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</si>
  <si>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</si>
  <si>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</si>
  <si>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</si>
  <si>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</si>
  <si>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</si>
  <si>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</si>
  <si>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</si>
  <si>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</si>
  <si>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</si>
  <si>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</si>
  <si>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</si>
  <si>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</si>
  <si>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</si>
  <si>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</si>
  <si>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</si>
  <si>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</si>
  <si>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</si>
  <si>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</si>
  <si>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</si>
  <si>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</si>
  <si>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</si>
  <si>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</si>
  <si>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</si>
  <si>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</si>
  <si>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</si>
  <si>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</si>
  <si>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</si>
  <si>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</si>
  <si>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</si>
  <si>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</si>
  <si>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</si>
  <si>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</si>
  <si>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</si>
  <si>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</si>
  <si>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</si>
  <si>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</si>
  <si>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</si>
  <si>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</si>
  <si>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</si>
  <si>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</si>
  <si>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</si>
  <si>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</si>
  <si>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</si>
  <si>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</si>
  <si>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</si>
  <si>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</si>
  <si>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</si>
  <si>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</si>
  <si>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</si>
  <si>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</si>
  <si>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</si>
  <si>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</si>
  <si>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</si>
  <si>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</si>
  <si>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</si>
  <si>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</si>
  <si>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</si>
  <si>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</si>
  <si>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</si>
  <si>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</si>
  <si>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</si>
  <si>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</si>
  <si>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</si>
  <si>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</si>
  <si>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</si>
  <si>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</si>
  <si>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</si>
  <si>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</si>
  <si>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</si>
  <si>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</si>
  <si>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</si>
  <si>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</si>
  <si>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</si>
  <si>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</si>
  <si>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</si>
  <si>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</si>
  <si>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</si>
  <si>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</si>
  <si>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</si>
  <si>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</si>
  <si>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</si>
  <si>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</si>
  <si>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</si>
  <si>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</si>
  <si>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</si>
  <si>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</si>
  <si>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</si>
  <si>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</si>
  <si>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</si>
  <si>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</si>
  <si>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</si>
  <si>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</si>
  <si>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</si>
  <si>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</si>
  <si>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</si>
  <si>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</si>
  <si>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</si>
  <si>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</si>
  <si>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</si>
  <si>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</si>
  <si>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</si>
  <si>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</si>
  <si>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</si>
  <si>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</si>
  <si>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</si>
  <si>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</si>
  <si>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</si>
  <si>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</si>
  <si>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</si>
  <si>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</si>
  <si>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</si>
  <si>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</si>
  <si>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</si>
  <si>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</si>
  <si>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</si>
  <si>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</si>
  <si>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</si>
  <si>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</si>
  <si>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</si>
  <si>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</si>
  <si>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</si>
  <si>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</si>
  <si>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</si>
  <si>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</si>
  <si>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</si>
  <si>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</si>
  <si>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</si>
  <si>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</si>
  <si>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</si>
  <si>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</si>
  <si>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</si>
  <si>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</si>
  <si>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</si>
  <si>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</si>
  <si>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</si>
  <si>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</si>
  <si>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</si>
  <si>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</si>
  <si>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</si>
  <si>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</si>
  <si>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</si>
  <si>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</si>
  <si>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</si>
  <si>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</si>
  <si>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</si>
  <si>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</si>
  <si>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</si>
  <si>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</si>
  <si>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</si>
  <si>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</si>
  <si>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</si>
  <si>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</si>
  <si>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</si>
  <si>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</si>
  <si>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</si>
  <si>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</si>
  <si>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</si>
  <si>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</si>
  <si>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</si>
  <si>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</si>
  <si>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</si>
  <si>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</si>
  <si>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</si>
  <si>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</si>
  <si>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</si>
  <si>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</si>
  <si>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</si>
  <si>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</si>
  <si>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</si>
  <si>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</si>
  <si>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</si>
  <si>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</si>
  <si>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</si>
  <si>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</si>
  <si>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</si>
  <si>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</si>
  <si>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</si>
  <si>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</si>
  <si>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</si>
  <si>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</si>
  <si>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</si>
  <si>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</si>
  <si>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</si>
  <si>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</si>
  <si>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</si>
  <si>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</si>
  <si>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</si>
  <si>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</si>
  <si>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</si>
  <si>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</si>
  <si>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</si>
  <si>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</si>
  <si>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</si>
  <si>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</si>
  <si>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</si>
  <si>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</si>
  <si>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</si>
  <si>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</si>
  <si>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</si>
  <si>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</si>
  <si>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</si>
  <si>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</si>
  <si>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</si>
  <si>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</si>
  <si>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</si>
  <si>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</si>
  <si>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</si>
  <si>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</si>
  <si>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</si>
  <si>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</si>
  <si>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</si>
  <si>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</si>
  <si>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</si>
  <si>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</si>
  <si>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</si>
  <si>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</si>
  <si>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</si>
  <si>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</si>
  <si>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</si>
  <si>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</si>
  <si>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</si>
  <si>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</si>
  <si>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</si>
  <si>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</si>
  <si>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</si>
  <si>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</si>
  <si>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</si>
  <si>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</si>
  <si>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</si>
  <si>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</si>
  <si>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</si>
  <si>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</si>
  <si>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</si>
  <si>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</si>
  <si>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</si>
  <si>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</si>
  <si>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</si>
  <si>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</si>
  <si>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</si>
  <si>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</si>
  <si>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</si>
  <si>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</si>
  <si>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</si>
  <si>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</si>
  <si>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</si>
  <si>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</si>
  <si>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</si>
  <si>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</si>
  <si>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</si>
  <si>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</si>
  <si>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</si>
  <si>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</si>
  <si>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</si>
  <si>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</si>
  <si>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</si>
  <si>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</si>
  <si>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</si>
  <si>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</si>
  <si>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</si>
  <si>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</si>
  <si>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</si>
  <si>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</si>
  <si>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</si>
  <si>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</si>
  <si>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</si>
  <si>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</si>
  <si>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</si>
  <si>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</si>
  <si>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</si>
  <si>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</si>
  <si>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</si>
  <si>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</si>
  <si>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</si>
  <si>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</si>
  <si>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</si>
  <si>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</si>
  <si>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</si>
  <si>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</si>
  <si>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</si>
  <si>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</si>
  <si>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</si>
  <si>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</si>
  <si>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</si>
  <si>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</si>
  <si>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</si>
  <si>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</si>
  <si>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</si>
  <si>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</si>
  <si>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</si>
  <si>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</si>
  <si>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</si>
  <si>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</si>
  <si>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</si>
  <si>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</si>
  <si>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</si>
  <si>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</si>
  <si>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</si>
  <si>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</si>
  <si>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</si>
  <si>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</si>
  <si>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</si>
  <si>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</si>
  <si>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</si>
  <si>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</si>
  <si>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</si>
  <si>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</si>
  <si>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</si>
  <si>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</si>
  <si>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</si>
  <si>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</si>
  <si>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</si>
  <si>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</si>
  <si>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</si>
  <si>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</si>
  <si>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</si>
  <si>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</si>
  <si>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</si>
  <si>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</si>
  <si>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</si>
  <si>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</si>
  <si>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</si>
  <si>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</si>
  <si>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</si>
  <si>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</si>
  <si>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</si>
  <si>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</si>
  <si>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</si>
  <si>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</si>
  <si>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</si>
  <si>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</si>
  <si>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</si>
  <si>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</si>
  <si>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</si>
  <si>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</si>
  <si>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</si>
  <si>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</si>
  <si>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</si>
  <si>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</si>
  <si>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</si>
  <si>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</si>
  <si>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</si>
  <si>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</si>
  <si>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</si>
  <si>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</si>
  <si>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</si>
  <si>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</si>
  <si>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</si>
  <si>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</si>
  <si>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</si>
  <si>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</si>
  <si>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</si>
  <si>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</si>
  <si>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</si>
  <si>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</si>
  <si>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</si>
  <si>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</si>
  <si>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</si>
  <si>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</si>
  <si>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</si>
  <si>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</si>
  <si>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</si>
  <si>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</si>
  <si>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</si>
  <si>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</si>
  <si>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</si>
  <si>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</si>
  <si>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</si>
  <si>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</si>
  <si>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</si>
  <si>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</si>
  <si>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</si>
  <si>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</si>
  <si>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</si>
  <si>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</si>
  <si>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</si>
  <si>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</si>
  <si>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</si>
  <si>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</si>
  <si>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</si>
  <si>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</si>
  <si>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</si>
  <si>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</si>
  <si>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</si>
  <si>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</si>
  <si>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</si>
  <si>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</si>
  <si>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</si>
  <si>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</si>
  <si>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</si>
  <si>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</si>
  <si>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</si>
  <si>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</si>
  <si>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</si>
  <si>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</si>
  <si>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</si>
  <si>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</si>
  <si>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</si>
  <si>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</si>
  <si>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</si>
  <si>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</si>
  <si>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</si>
  <si>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</si>
  <si>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</si>
  <si>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</si>
  <si>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</si>
  <si>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</si>
  <si>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</si>
  <si>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</si>
  <si>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</si>
  <si>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</si>
  <si>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</si>
  <si>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</si>
  <si>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</si>
  <si>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</si>
  <si>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</si>
  <si>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</si>
  <si>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</si>
  <si>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</si>
  <si>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</si>
  <si>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</si>
  <si>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</si>
  <si>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</si>
  <si>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</si>
  <si>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</si>
  <si>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</si>
  <si>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</si>
  <si>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</si>
  <si>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</si>
  <si>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</si>
  <si>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</si>
  <si>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</si>
  <si>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</si>
  <si>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</si>
  <si>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</si>
  <si>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</si>
  <si>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</si>
  <si>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</si>
  <si>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</si>
  <si>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</si>
  <si>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</si>
  <si>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</si>
  <si>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</si>
  <si>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</si>
  <si>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</si>
  <si>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</si>
  <si>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</si>
  <si>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</si>
  <si>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</si>
  <si>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</si>
  <si>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</si>
  <si>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</si>
  <si>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</si>
  <si>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</si>
  <si>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</si>
  <si>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</si>
  <si>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</si>
  <si>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</si>
  <si>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</si>
  <si>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</si>
  <si>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</si>
  <si>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</si>
  <si>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</si>
  <si>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</si>
  <si>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</si>
  <si>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</si>
  <si>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</si>
  <si>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</si>
  <si>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</si>
  <si>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</si>
  <si>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</si>
  <si>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</si>
  <si>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</si>
  <si>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</si>
  <si>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</si>
  <si>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</si>
  <si>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</si>
  <si>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</si>
  <si>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</si>
  <si>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</si>
  <si>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</si>
  <si>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</si>
  <si>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</si>
  <si>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</si>
  <si>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</si>
  <si>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</si>
  <si>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</si>
  <si>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</si>
  <si>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</si>
  <si>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</si>
  <si>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</si>
  <si>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</si>
  <si>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</si>
  <si>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</si>
  <si>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</si>
  <si>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</si>
  <si>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</si>
  <si>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</si>
  <si>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</si>
  <si>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</si>
  <si>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</si>
  <si>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</si>
  <si>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</si>
  <si>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</si>
  <si>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</si>
  <si>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</si>
  <si>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</si>
  <si>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</si>
  <si>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</si>
  <si>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</si>
  <si>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</si>
  <si>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</si>
  <si>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</si>
  <si>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</si>
  <si>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</si>
  <si>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</si>
  <si>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</si>
  <si>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</si>
  <si>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</si>
  <si>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</si>
  <si>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</si>
  <si>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</si>
  <si>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</si>
  <si>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</si>
  <si>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</si>
  <si>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</si>
  <si>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</si>
  <si>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</si>
  <si>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</si>
  <si>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</si>
  <si>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</si>
  <si>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</si>
  <si>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</si>
  <si>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</si>
  <si>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</si>
  <si>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</si>
  <si>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</si>
  <si>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</si>
  <si>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</si>
  <si>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</si>
  <si>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</si>
  <si>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</si>
  <si>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</si>
  <si>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</si>
  <si>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</si>
  <si>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</si>
  <si>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</si>
  <si>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</si>
  <si>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</si>
  <si>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</si>
  <si>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</si>
  <si>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</si>
  <si>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</si>
  <si>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</si>
  <si>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</si>
  <si>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</si>
  <si>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</si>
  <si>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</si>
  <si>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</si>
  <si>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</si>
  <si>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</si>
  <si>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</si>
  <si>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</si>
  <si>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</si>
  <si>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</si>
  <si>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</si>
  <si>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</si>
  <si>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</si>
  <si>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</si>
  <si>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</si>
  <si>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</si>
  <si>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</si>
  <si>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</si>
  <si>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</si>
  <si>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</si>
  <si>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</si>
  <si>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</si>
  <si>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</si>
  <si>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</si>
  <si>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</si>
  <si>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</si>
  <si>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</si>
  <si>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</si>
  <si>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</si>
  <si>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</si>
  <si>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</si>
  <si>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</si>
  <si>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</si>
  <si>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</si>
  <si>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</si>
  <si>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</si>
  <si>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</si>
  <si>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</si>
  <si>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</si>
  <si>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</si>
  <si>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</si>
  <si>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</si>
  <si>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</si>
  <si>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</si>
  <si>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</si>
  <si>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</si>
  <si>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</si>
  <si>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</si>
  <si>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</si>
  <si>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</si>
  <si>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</si>
  <si>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</si>
  <si>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</si>
  <si>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</si>
  <si>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</si>
  <si>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</si>
  <si>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</si>
  <si>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</si>
  <si>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</si>
  <si>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</si>
  <si>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</si>
  <si>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</si>
  <si>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</si>
  <si>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</si>
  <si>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</si>
  <si>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</si>
  <si>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</si>
  <si>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</si>
  <si>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</si>
  <si>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</si>
  <si>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</si>
  <si>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</si>
  <si>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</si>
  <si>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</si>
  <si>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</si>
  <si>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</si>
  <si>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</si>
  <si>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</si>
  <si>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</si>
  <si>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</si>
  <si>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</si>
  <si>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</si>
  <si>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</si>
  <si>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</si>
  <si>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</si>
  <si>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</si>
  <si>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</si>
  <si>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</si>
  <si>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</si>
  <si>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</si>
  <si>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</si>
  <si>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</si>
  <si>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</si>
  <si>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</si>
  <si>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</si>
  <si>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</si>
  <si>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</si>
  <si>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</si>
  <si>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</si>
  <si>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</si>
  <si>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</si>
  <si>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</si>
  <si>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</si>
  <si>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</si>
  <si>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</si>
  <si>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</si>
  <si>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</si>
  <si>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</si>
  <si>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</si>
  <si>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</si>
  <si>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</si>
  <si>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</si>
  <si>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</si>
  <si>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</si>
  <si>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</si>
  <si>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</si>
  <si>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</si>
  <si>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</si>
  <si>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</si>
  <si>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</si>
  <si>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</si>
  <si>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</si>
  <si>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</si>
  <si>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</si>
  <si>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</si>
  <si>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</si>
  <si>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</si>
  <si>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</si>
  <si>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</si>
  <si>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</si>
  <si>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</si>
  <si>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</si>
  <si>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</si>
  <si>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</si>
  <si>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</si>
  <si>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</si>
  <si>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</si>
  <si>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</si>
  <si>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</si>
  <si>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</si>
  <si>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</si>
  <si>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</si>
  <si>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</si>
  <si>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</si>
  <si>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</si>
  <si>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</si>
  <si>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</si>
  <si>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</si>
  <si>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</si>
  <si>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</si>
  <si>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</si>
  <si>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</si>
  <si>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</si>
  <si>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</si>
  <si>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</si>
  <si>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</si>
  <si>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</si>
  <si>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</si>
  <si>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</si>
  <si>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</si>
  <si>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</si>
  <si>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</si>
  <si>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</si>
  <si>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</si>
  <si>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</si>
  <si>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</si>
  <si>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</si>
  <si>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</si>
  <si>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</si>
  <si>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</si>
  <si>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</si>
  <si>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</si>
  <si>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</si>
  <si>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</si>
  <si>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</si>
  <si>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</si>
  <si>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</si>
  <si>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</si>
  <si>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</si>
  <si>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</si>
  <si>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</si>
  <si>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</si>
  <si>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</si>
  <si>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</si>
  <si>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</si>
  <si>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</si>
  <si>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</si>
  <si>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</si>
  <si>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</si>
  <si>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</si>
  <si>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</si>
  <si>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</si>
  <si>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</si>
  <si>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</si>
  <si>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</si>
  <si>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</si>
  <si>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</si>
  <si>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</si>
  <si>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</si>
  <si>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</si>
  <si>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</si>
  <si>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</si>
  <si>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</si>
  <si>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</si>
  <si>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</si>
  <si>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</si>
  <si>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</si>
  <si>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</si>
  <si>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</si>
  <si>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</si>
  <si>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</si>
  <si>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</si>
  <si>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</si>
  <si>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</si>
  <si>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</si>
  <si>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</si>
  <si>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</si>
  <si>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</si>
  <si>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</si>
  <si>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</si>
  <si>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</si>
  <si>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</si>
  <si>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</si>
  <si>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</si>
  <si>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</si>
  <si>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</si>
  <si>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</si>
  <si>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</si>
  <si>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</si>
  <si>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</si>
  <si>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</si>
  <si>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</si>
  <si>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</si>
  <si>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</si>
  <si>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</si>
  <si>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</si>
  <si>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</si>
  <si>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</si>
  <si>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</si>
  <si>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</si>
  <si>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</si>
  <si>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</si>
  <si>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</si>
  <si>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</si>
  <si>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</si>
  <si>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</si>
  <si>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</si>
  <si>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</si>
  <si>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</si>
  <si>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</si>
  <si>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</si>
  <si>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</si>
  <si>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</si>
  <si>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</si>
  <si>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</si>
  <si>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</si>
  <si>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</si>
  <si>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</si>
  <si>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</si>
  <si>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</si>
  <si>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</si>
  <si>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</si>
  <si>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</si>
  <si>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</si>
  <si>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</si>
  <si>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</si>
  <si>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</si>
  <si>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</si>
  <si>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</si>
  <si>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</si>
  <si>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</si>
  <si>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</si>
  <si>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</si>
  <si>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</si>
  <si>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</si>
  <si>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</si>
  <si>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</si>
  <si>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</si>
  <si>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</si>
  <si>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</si>
  <si>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</si>
  <si>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</si>
  <si>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</si>
  <si>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</si>
  <si>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</si>
  <si>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</si>
  <si>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</si>
  <si>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</si>
  <si>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</si>
  <si>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</si>
  <si>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</si>
  <si>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</si>
  <si>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</si>
  <si>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</si>
  <si>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</si>
  <si>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</si>
  <si>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</si>
  <si>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</si>
  <si>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</si>
  <si>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</si>
  <si>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</si>
  <si>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</si>
  <si>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</si>
  <si>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</si>
  <si>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</si>
  <si>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</si>
  <si>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</si>
  <si>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</si>
  <si>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</si>
  <si>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</si>
  <si>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</si>
  <si>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</si>
  <si>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</si>
  <si>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</si>
  <si>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</si>
  <si>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</si>
  <si>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</si>
  <si>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</si>
  <si>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</si>
  <si>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</si>
  <si>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</si>
  <si>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</si>
  <si>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</si>
  <si>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</si>
  <si>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</si>
  <si>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</si>
  <si>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</si>
  <si>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</si>
  <si>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</si>
  <si>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</si>
  <si>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</si>
  <si>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</si>
  <si>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</si>
  <si>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</si>
  <si>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</si>
  <si>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</si>
  <si>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</si>
  <si>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</si>
  <si>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</si>
  <si>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</si>
  <si>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</si>
  <si>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</si>
  <si>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</si>
  <si>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</si>
  <si>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</si>
  <si>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</si>
  <si>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</si>
  <si>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</si>
  <si>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</si>
  <si>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</si>
  <si>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</si>
  <si>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</si>
  <si>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</si>
  <si>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</si>
  <si>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</si>
  <si>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</si>
  <si>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</si>
  <si>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</si>
  <si>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</si>
  <si>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</si>
  <si>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</si>
  <si>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</si>
  <si>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</si>
  <si>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</si>
  <si>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</si>
  <si>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</si>
  <si>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</si>
  <si>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</si>
  <si>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</si>
  <si>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</si>
  <si>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</si>
  <si>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</si>
  <si>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</si>
  <si>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</si>
  <si>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</si>
  <si>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</si>
  <si>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</si>
  <si>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</si>
  <si>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</si>
  <si>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</si>
  <si>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</si>
  <si>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</si>
  <si>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</si>
  <si>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</si>
  <si>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</si>
  <si>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</si>
  <si>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</si>
  <si>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</si>
  <si>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</si>
  <si>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</si>
  <si>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</si>
  <si>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</si>
  <si>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</si>
  <si>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</si>
  <si>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</si>
  <si>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</si>
  <si>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</si>
  <si>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</si>
  <si>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</si>
  <si>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</si>
  <si>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</si>
  <si>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</si>
  <si>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</si>
  <si>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</si>
  <si>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</si>
  <si>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</si>
  <si>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</si>
  <si>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</si>
  <si>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</si>
  <si>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</si>
  <si>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</si>
  <si>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</si>
  <si>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</si>
  <si>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</si>
  <si>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</si>
  <si>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</si>
  <si>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</si>
  <si>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</si>
  <si>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</si>
  <si>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</si>
  <si>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</si>
  <si>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</si>
  <si>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</si>
  <si>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</si>
  <si>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</si>
  <si>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</si>
  <si>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</si>
  <si>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</si>
  <si>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</si>
  <si>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</si>
  <si>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</si>
  <si>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</si>
  <si>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</si>
  <si>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</si>
  <si>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</si>
  <si>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</si>
  <si>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</si>
  <si>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</si>
  <si>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</si>
  <si>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</si>
  <si>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</si>
  <si>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</si>
  <si>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</si>
  <si>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</si>
  <si>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</si>
  <si>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</si>
  <si>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</si>
  <si>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</si>
  <si>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</si>
  <si>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</si>
  <si>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</si>
  <si>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</si>
  <si>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</si>
  <si>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</si>
  <si>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</si>
  <si>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</si>
  <si>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</si>
  <si>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</si>
  <si>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</si>
  <si>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</si>
  <si>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</si>
  <si>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</si>
  <si>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</si>
  <si>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</si>
  <si>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</si>
  <si>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</si>
  <si>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</si>
  <si>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</si>
  <si>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</si>
  <si>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</si>
  <si>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</si>
  <si>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</si>
  <si>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</si>
  <si>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</si>
  <si>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</si>
  <si>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</si>
  <si>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</si>
  <si>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</si>
  <si>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</si>
  <si>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</si>
  <si>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</si>
  <si>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</si>
  <si>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</si>
  <si>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</si>
  <si>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</si>
  <si>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</si>
  <si>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</si>
  <si>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</si>
  <si>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</si>
  <si>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</si>
  <si>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</si>
  <si>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</si>
  <si>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</si>
  <si>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</si>
  <si>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</si>
  <si>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</si>
  <si>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</si>
  <si>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</si>
  <si>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</si>
  <si>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</si>
  <si>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</si>
  <si>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</si>
  <si>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</si>
  <si>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</si>
  <si>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</si>
  <si>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</si>
  <si>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</si>
  <si>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</si>
  <si>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</si>
  <si>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</si>
  <si>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</si>
  <si>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</si>
  <si>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</si>
  <si>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</si>
  <si>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</si>
  <si>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</si>
  <si>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</si>
  <si>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</si>
  <si>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</si>
  <si>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</si>
  <si>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</si>
  <si>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</si>
  <si>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</si>
  <si>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</si>
  <si>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</si>
  <si>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</si>
  <si>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</si>
  <si>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</si>
  <si>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</si>
  <si>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</si>
  <si>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</si>
  <si>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</si>
  <si>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</si>
  <si>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</si>
  <si>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</si>
  <si>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</si>
  <si>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</si>
  <si>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</si>
  <si>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</si>
  <si>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</si>
  <si>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</si>
  <si>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</si>
  <si>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</si>
  <si>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</si>
  <si>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</si>
  <si>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</si>
  <si>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</si>
  <si>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</si>
  <si>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</si>
  <si>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</si>
  <si>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</si>
  <si>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</si>
  <si>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</si>
  <si>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</si>
  <si>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</si>
  <si>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</si>
  <si>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</si>
  <si>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</si>
  <si>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</si>
  <si>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</si>
  <si>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</si>
  <si>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</si>
  <si>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</si>
  <si>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</si>
  <si>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</si>
  <si>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</si>
  <si>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</si>
  <si>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</si>
  <si>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</si>
  <si>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</si>
  <si>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</si>
  <si>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</si>
  <si>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</si>
  <si>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</si>
  <si>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</si>
  <si>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</si>
  <si>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</si>
  <si>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</si>
  <si>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</si>
  <si>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</si>
  <si>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</si>
  <si>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</si>
  <si>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</si>
  <si>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</si>
  <si>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</si>
  <si>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</si>
  <si>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</si>
  <si>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</si>
  <si>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</si>
  <si>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</si>
  <si>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</si>
  <si>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</si>
  <si>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</si>
  <si>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</si>
  <si>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</si>
  <si>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</si>
  <si>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</si>
  <si>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</si>
  <si>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</si>
  <si>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</si>
  <si>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</si>
  <si>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</si>
  <si>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</si>
  <si>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</si>
  <si>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</si>
  <si>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</si>
  <si>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</si>
  <si>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</si>
  <si>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</si>
  <si>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</si>
  <si>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</si>
  <si>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</si>
  <si>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</si>
  <si>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</si>
  <si>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</si>
  <si>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</si>
  <si>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</si>
  <si>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</si>
  <si>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</si>
  <si>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</si>
  <si>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</si>
  <si>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</si>
  <si>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</si>
  <si>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</si>
  <si>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</si>
  <si>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</si>
  <si>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</si>
  <si>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</si>
  <si>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</si>
  <si>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</si>
  <si>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</si>
  <si>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</si>
  <si>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</si>
  <si>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</si>
  <si>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</si>
  <si>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</si>
  <si>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</si>
  <si>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</si>
  <si>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</si>
  <si>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</si>
  <si>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</si>
  <si>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</si>
  <si>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</si>
  <si>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</si>
  <si>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</si>
  <si>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</si>
  <si>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</si>
  <si>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</si>
  <si>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</si>
  <si>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</si>
  <si>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</si>
  <si>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</si>
  <si>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</si>
  <si>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</si>
  <si>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</si>
  <si>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</si>
  <si>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</si>
  <si>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</si>
  <si>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</si>
  <si>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</si>
  <si>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</si>
  <si>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</si>
  <si>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</si>
  <si>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</si>
  <si>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</si>
  <si>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</si>
  <si>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</si>
  <si>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</si>
  <si>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</si>
  <si>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</si>
  <si>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</si>
  <si>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</si>
  <si>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</si>
  <si>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</si>
  <si>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</si>
  <si>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</si>
  <si>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</si>
  <si>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</si>
  <si>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</si>
  <si>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</si>
  <si>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</si>
  <si>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</si>
  <si>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</si>
  <si>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</si>
  <si>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</si>
  <si>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</si>
  <si>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</si>
  <si>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</si>
  <si>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</si>
  <si>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</si>
  <si>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</si>
  <si>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</si>
  <si>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</si>
  <si>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</si>
  <si>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</si>
  <si>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</si>
  <si>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</si>
  <si>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</si>
  <si>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</si>
  <si>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</si>
  <si>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</si>
  <si>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</si>
  <si>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</si>
  <si>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</si>
  <si>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</si>
  <si>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</si>
  <si>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</si>
  <si>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</si>
  <si>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</si>
  <si>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</si>
  <si>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</si>
  <si>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</si>
  <si>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</si>
  <si>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</si>
  <si>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</si>
  <si>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</si>
  <si>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</si>
  <si>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</si>
  <si>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</si>
  <si>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</si>
  <si>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</si>
  <si>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</si>
  <si>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</si>
  <si>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</si>
  <si>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</si>
  <si>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</si>
  <si>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</si>
  <si>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</si>
  <si>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</si>
  <si>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</si>
  <si>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</si>
  <si>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</si>
  <si>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</si>
  <si>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</si>
  <si>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</si>
  <si>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</si>
  <si>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</si>
  <si>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</si>
  <si>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</si>
  <si>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</si>
  <si>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</si>
  <si>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</si>
  <si>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</si>
  <si>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</si>
  <si>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</si>
  <si>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</si>
  <si>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</si>
  <si>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</si>
  <si>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</si>
  <si>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</si>
  <si>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</si>
  <si>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</si>
  <si>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</si>
  <si>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</si>
  <si>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</si>
  <si>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</si>
  <si>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</si>
  <si>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</si>
  <si>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</si>
  <si>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</si>
  <si>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</si>
  <si>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</si>
  <si>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</si>
  <si>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</si>
  <si>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</si>
  <si>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</si>
  <si>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</si>
  <si>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</si>
  <si>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</si>
  <si>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</si>
  <si>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</si>
  <si>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</si>
  <si>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</si>
  <si>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</si>
  <si>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</si>
  <si>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</si>
  <si>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</si>
  <si>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</si>
  <si>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</si>
  <si>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</si>
  <si>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</si>
  <si>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</si>
  <si>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</si>
  <si>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</si>
  <si>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</si>
  <si>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</si>
  <si>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</si>
  <si>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</si>
  <si>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</si>
  <si>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</si>
  <si>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</si>
  <si>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</si>
  <si>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</si>
  <si>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</si>
  <si>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</si>
  <si>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</si>
  <si>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</si>
  <si>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</si>
  <si>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</si>
  <si>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</si>
  <si>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</si>
  <si>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</si>
  <si>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</si>
  <si>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</si>
  <si>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</si>
  <si>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</si>
  <si>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</si>
  <si>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</si>
  <si>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</si>
  <si>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</si>
  <si>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</si>
  <si>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</si>
  <si>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</si>
  <si>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</si>
  <si>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</si>
  <si>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</si>
  <si>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</si>
  <si>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</si>
  <si>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</si>
  <si>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</si>
  <si>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</si>
  <si>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</si>
  <si>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</si>
  <si>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</si>
  <si>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</si>
  <si>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</si>
  <si>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</si>
  <si>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</si>
  <si>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</si>
  <si>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</si>
  <si>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</si>
  <si>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</si>
  <si>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</si>
  <si>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</si>
  <si>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</si>
  <si>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</si>
  <si>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</si>
  <si>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</si>
  <si>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</si>
  <si>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</si>
  <si>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</si>
  <si>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</si>
  <si>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</si>
  <si>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</si>
  <si>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</si>
  <si>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</si>
  <si>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</si>
  <si>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</si>
  <si>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</si>
  <si>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</si>
  <si>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</si>
  <si>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</si>
  <si>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</si>
  <si>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</si>
  <si>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</si>
  <si>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</si>
  <si>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</si>
  <si>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</si>
  <si>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</si>
  <si>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</si>
  <si>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</si>
  <si>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</si>
  <si>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</si>
  <si>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</si>
  <si>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</si>
  <si>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</si>
  <si>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</si>
  <si>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</si>
  <si>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</si>
  <si>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</si>
  <si>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</si>
  <si>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</si>
  <si>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</si>
  <si>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</si>
  <si>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</si>
  <si>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</si>
  <si>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</si>
  <si>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</si>
  <si>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</si>
  <si>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</si>
  <si>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</si>
  <si>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</si>
  <si>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</si>
  <si>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</si>
  <si>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</si>
  <si>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</si>
  <si>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</si>
  <si>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</si>
  <si>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</si>
  <si>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</si>
  <si>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</si>
  <si>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</si>
  <si>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</si>
  <si>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</si>
  <si>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</si>
  <si>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</si>
  <si>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</si>
  <si>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</si>
  <si>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</si>
  <si>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</si>
  <si>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</si>
  <si>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</si>
  <si>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</si>
  <si>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</si>
  <si>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</si>
  <si>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</si>
  <si>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</si>
  <si>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</si>
  <si>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</si>
  <si>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</si>
  <si>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</si>
  <si>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</si>
  <si>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</si>
  <si>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</si>
  <si>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</si>
  <si>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</si>
  <si>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</si>
  <si>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</si>
  <si>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</si>
  <si>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</si>
  <si>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</si>
  <si>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</si>
  <si>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</si>
  <si>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</si>
  <si>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</si>
  <si>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</si>
  <si>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</si>
  <si>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</si>
  <si>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</si>
  <si>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</si>
  <si>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</si>
  <si>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</si>
  <si>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</si>
  <si>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</si>
  <si>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</si>
  <si>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</si>
  <si>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</si>
  <si>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</si>
  <si>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</si>
  <si>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</si>
  <si>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</si>
  <si>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</si>
  <si>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</si>
  <si>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</si>
  <si>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</si>
  <si>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</si>
  <si>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</si>
  <si>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</si>
  <si>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</si>
  <si>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</si>
  <si>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</si>
  <si>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</si>
  <si>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</si>
  <si>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</si>
  <si>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</si>
  <si>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</si>
  <si>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</si>
  <si>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</si>
  <si>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</si>
  <si>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</si>
  <si>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</si>
  <si>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</si>
  <si>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</si>
  <si>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</si>
  <si>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</si>
  <si>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</si>
  <si>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</si>
  <si>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</si>
  <si>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</si>
  <si>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</si>
  <si>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</si>
  <si>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</si>
  <si>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</si>
  <si>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</si>
  <si>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</si>
  <si>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</si>
  <si>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</si>
  <si>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</si>
  <si>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</si>
  <si>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</si>
  <si>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</si>
  <si>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</si>
  <si>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</si>
  <si>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</si>
  <si>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</si>
  <si>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</si>
  <si>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</si>
  <si>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</si>
  <si>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</si>
  <si>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</si>
  <si>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</si>
  <si>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</si>
  <si>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</si>
  <si>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</si>
  <si>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</si>
  <si>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</si>
  <si>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</si>
  <si>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</si>
  <si>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</si>
  <si>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</si>
  <si>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</si>
  <si>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</si>
  <si>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</si>
  <si>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</si>
  <si>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</si>
  <si>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</si>
  <si>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</si>
  <si>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</si>
  <si>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</si>
  <si>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</si>
  <si>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</si>
  <si>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</si>
  <si>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</si>
  <si>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</si>
  <si>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</si>
  <si>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</si>
  <si>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</si>
  <si>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</si>
  <si>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</si>
  <si>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</si>
  <si>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</si>
  <si>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</si>
  <si>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</si>
  <si>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</si>
  <si>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</si>
  <si>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</si>
  <si>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</si>
  <si>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</si>
  <si>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</si>
  <si>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</si>
  <si>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</si>
  <si>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</si>
  <si>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</si>
  <si>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</si>
  <si>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</si>
  <si>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</si>
  <si>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</si>
  <si>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</si>
  <si>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</si>
  <si>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</si>
  <si>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</si>
  <si>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</si>
  <si>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</si>
  <si>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</si>
  <si>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</si>
  <si>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</si>
  <si>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</si>
  <si>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</si>
  <si>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</si>
  <si>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</si>
  <si>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</si>
  <si>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</si>
  <si>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</si>
  <si>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</si>
  <si>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</si>
  <si>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</si>
  <si>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</si>
  <si>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</si>
  <si>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</si>
  <si>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</si>
  <si>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</si>
  <si>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</si>
  <si>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</si>
  <si>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</si>
  <si>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</si>
  <si>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</si>
  <si>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</si>
  <si>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</si>
  <si>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</si>
  <si>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</si>
  <si>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</si>
  <si>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</si>
  <si>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</si>
  <si>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</si>
  <si>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</si>
  <si>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</si>
  <si>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</si>
  <si>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</si>
  <si>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</si>
  <si>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</si>
  <si>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</si>
  <si>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</si>
  <si>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</si>
  <si>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</si>
  <si>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</si>
  <si>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</si>
  <si>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</si>
  <si>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</si>
  <si>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</si>
  <si>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</si>
  <si>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</si>
  <si>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</si>
  <si>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</si>
  <si>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</si>
  <si>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</si>
  <si>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</si>
  <si>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</si>
  <si>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</si>
  <si>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</si>
  <si>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</si>
  <si>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</si>
  <si>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</si>
  <si>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</si>
  <si>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</si>
  <si>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</si>
  <si>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</si>
  <si>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</si>
  <si>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</si>
  <si>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</si>
  <si>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</si>
  <si>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</si>
  <si>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</si>
  <si>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</si>
  <si>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</si>
  <si>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</si>
  <si>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</si>
  <si>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</si>
  <si>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</si>
  <si>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</si>
  <si>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</si>
  <si>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</si>
  <si>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</si>
  <si>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</si>
  <si>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</si>
  <si>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</si>
  <si>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</si>
  <si>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</si>
  <si>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</si>
  <si>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</si>
  <si>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</si>
  <si>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</si>
  <si>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</si>
  <si>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</si>
  <si>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</si>
  <si>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</si>
  <si>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</si>
  <si>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</si>
  <si>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</si>
  <si>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</si>
  <si>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</si>
  <si>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</si>
  <si>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</si>
  <si>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</si>
  <si>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</si>
  <si>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</si>
  <si>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</si>
  <si>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</si>
  <si>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</si>
  <si>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</si>
  <si>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</si>
  <si>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</si>
  <si>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</si>
  <si>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</si>
  <si>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</si>
  <si>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</si>
  <si>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</si>
  <si>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</si>
  <si>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</si>
  <si>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</si>
  <si>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</si>
  <si>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</si>
  <si>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</si>
  <si>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</si>
  <si>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</si>
  <si>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</si>
  <si>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</si>
  <si>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</si>
  <si>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</si>
  <si>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</si>
  <si>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</si>
  <si>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</si>
  <si>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</si>
  <si>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</si>
  <si>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</si>
  <si>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</si>
  <si>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</si>
  <si>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</si>
  <si>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</si>
  <si>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</si>
  <si>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</si>
  <si>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</si>
  <si>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</si>
  <si>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</si>
  <si>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</si>
  <si>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</si>
  <si>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</si>
  <si>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</si>
  <si>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</si>
  <si>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</si>
  <si>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</si>
  <si>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</si>
  <si>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</si>
  <si>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</si>
  <si>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</si>
  <si>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</si>
  <si>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</si>
  <si>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</si>
  <si>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</si>
  <si>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</si>
  <si>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</si>
  <si>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</si>
  <si>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</si>
  <si>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</si>
  <si>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</si>
  <si>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</si>
  <si>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</si>
  <si>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</si>
  <si>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</si>
  <si>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</si>
  <si>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</si>
  <si>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</si>
  <si>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</si>
  <si>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</si>
  <si>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</si>
  <si>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</si>
  <si>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</si>
  <si>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</si>
  <si>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</si>
  <si>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</si>
  <si>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</si>
  <si>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</si>
  <si>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</si>
  <si>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</si>
  <si>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</si>
  <si>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</si>
  <si>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</si>
  <si>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</si>
  <si>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</si>
  <si>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</si>
  <si>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</si>
  <si>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</si>
  <si>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</si>
  <si>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</si>
  <si>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</si>
  <si>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</si>
  <si>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</si>
  <si>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</si>
  <si>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</si>
  <si>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</si>
  <si>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</si>
  <si>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</si>
  <si>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</si>
  <si>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</si>
  <si>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</si>
  <si>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</si>
  <si>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</si>
  <si>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</si>
  <si>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</si>
  <si>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</si>
  <si>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</si>
  <si>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</si>
  <si>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</si>
  <si>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</si>
  <si>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</si>
  <si>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</si>
  <si>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</si>
  <si>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</si>
  <si>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</si>
  <si>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</si>
  <si>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</si>
  <si>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</si>
  <si>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</si>
  <si>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</si>
  <si>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</si>
  <si>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</si>
  <si>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</si>
  <si>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</si>
  <si>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</si>
  <si>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</si>
  <si>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</si>
  <si>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</si>
  <si>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</si>
  <si>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</si>
  <si>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</si>
  <si>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</si>
  <si>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</si>
  <si>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</si>
  <si>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</si>
  <si>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</si>
  <si>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</si>
  <si>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</si>
  <si>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</si>
  <si>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</si>
  <si>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</si>
  <si>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</si>
  <si>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</si>
  <si>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</si>
  <si>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</si>
  <si>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</si>
  <si>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</si>
  <si>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</si>
  <si>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</si>
  <si>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</si>
  <si>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</si>
  <si>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</si>
  <si>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</si>
  <si>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</si>
  <si>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</si>
  <si>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</si>
  <si>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</si>
  <si>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</si>
  <si>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</si>
  <si>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</si>
  <si>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</si>
  <si>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</si>
  <si>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</si>
  <si>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</si>
  <si>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</si>
  <si>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</si>
  <si>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</si>
  <si>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</si>
  <si>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</si>
  <si>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</si>
  <si>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</si>
  <si>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</si>
  <si>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</si>
  <si>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</si>
  <si>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</si>
  <si>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</si>
  <si>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</si>
  <si>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</si>
  <si>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</si>
  <si>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</si>
  <si>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</si>
  <si>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</si>
  <si>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</si>
  <si>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</si>
  <si>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</si>
  <si>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</si>
  <si>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</si>
  <si>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</si>
  <si>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</si>
  <si>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</si>
  <si>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</si>
  <si>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</si>
  <si>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</si>
  <si>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</si>
  <si>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</si>
  <si>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</si>
  <si>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</si>
  <si>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</si>
  <si>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</si>
  <si>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</si>
  <si>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</si>
  <si>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</si>
  <si>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</si>
  <si>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</si>
  <si>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</si>
  <si>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</si>
  <si>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</si>
  <si>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</si>
  <si>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</si>
  <si>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</si>
  <si>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</si>
  <si>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</si>
  <si>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</si>
  <si>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</si>
  <si>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</si>
  <si>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</si>
  <si>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</si>
  <si>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</si>
  <si>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</si>
  <si>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</si>
  <si>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</si>
  <si>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</si>
  <si>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</si>
  <si>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</si>
  <si>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</si>
  <si>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</si>
  <si>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</si>
  <si>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</si>
  <si>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</si>
  <si>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</si>
  <si>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</si>
  <si>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</si>
  <si>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</si>
  <si>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</si>
  <si>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</si>
  <si>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</si>
  <si>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</si>
  <si>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</si>
  <si>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</si>
  <si>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</si>
  <si>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</si>
  <si>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</si>
  <si>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</si>
  <si>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</si>
  <si>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</si>
  <si>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</si>
  <si>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</si>
  <si>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</si>
  <si>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</si>
  <si>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</si>
  <si>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</si>
  <si>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</si>
  <si>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</si>
  <si>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</si>
  <si>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</si>
  <si>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</si>
  <si>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</si>
  <si>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</si>
  <si>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</si>
  <si>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</si>
  <si>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</si>
  <si>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</si>
  <si>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</si>
  <si>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</si>
  <si>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</si>
  <si>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</si>
  <si>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</si>
  <si>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</si>
  <si>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</si>
  <si>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</si>
  <si>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</si>
  <si>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</si>
  <si>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</si>
  <si>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</si>
  <si>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</si>
  <si>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</si>
  <si>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</si>
  <si>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</si>
  <si>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</si>
  <si>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</si>
  <si>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</si>
  <si>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</si>
  <si>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</si>
  <si>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</si>
  <si>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</si>
  <si>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</si>
  <si>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</si>
  <si>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</si>
  <si>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</si>
  <si>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</si>
  <si>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</si>
  <si>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</si>
  <si>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</si>
  <si>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</si>
  <si>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</si>
  <si>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</si>
  <si>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</si>
  <si>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</si>
  <si>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</si>
  <si>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</si>
  <si>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</si>
  <si>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</si>
  <si>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</si>
  <si>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</si>
  <si>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</si>
  <si>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</si>
  <si>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</si>
  <si>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</si>
  <si>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</si>
  <si>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</si>
  <si>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</si>
  <si>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</si>
  <si>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</si>
  <si>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</si>
  <si>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</si>
  <si>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</si>
  <si>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</si>
  <si>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</si>
  <si>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</si>
  <si>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</si>
  <si>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</si>
  <si>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</si>
  <si>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</si>
  <si>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</si>
  <si>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</si>
  <si>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</si>
  <si>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</si>
  <si>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</si>
  <si>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</si>
  <si>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</si>
  <si>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</si>
  <si>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</si>
  <si>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</si>
  <si>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</si>
  <si>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</si>
  <si>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</si>
  <si>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</si>
  <si>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</si>
  <si>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</si>
  <si>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</si>
  <si>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</si>
  <si>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</si>
  <si>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</si>
  <si>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</si>
  <si>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</si>
  <si>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</si>
  <si>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</si>
  <si>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</si>
  <si>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</si>
  <si>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</si>
  <si>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</si>
  <si>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</si>
  <si>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</si>
  <si>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</si>
  <si>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</si>
  <si>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</si>
  <si>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</si>
  <si>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</si>
  <si>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</si>
  <si>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</si>
  <si>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</si>
  <si>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</si>
  <si>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</si>
  <si>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</si>
  <si>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</si>
  <si>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</si>
  <si>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</si>
  <si>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</si>
  <si>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</si>
  <si>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</si>
  <si>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</si>
  <si>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</si>
  <si>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</si>
  <si>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</si>
  <si>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</si>
  <si>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</si>
  <si>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</si>
  <si>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</si>
  <si>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</si>
  <si>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</si>
  <si>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</si>
  <si>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</si>
  <si>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</si>
  <si>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</si>
  <si>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</si>
  <si>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</si>
  <si>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</si>
  <si>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</si>
  <si>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</si>
  <si>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</si>
  <si>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</si>
  <si>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</si>
  <si>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</si>
  <si>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</si>
  <si>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</si>
  <si>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</si>
  <si>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</si>
  <si>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</si>
  <si>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</si>
  <si>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</si>
  <si>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</si>
  <si>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</si>
  <si>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</si>
  <si>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</si>
  <si>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</si>
  <si>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</si>
  <si>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</si>
  <si>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</si>
  <si>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</si>
  <si>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</si>
  <si>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</si>
  <si>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</si>
  <si>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</si>
  <si>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</si>
  <si>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</si>
  <si>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</si>
  <si>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</si>
  <si>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</si>
  <si>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</si>
  <si>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</si>
  <si>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</si>
  <si>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</si>
  <si>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</si>
  <si>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</si>
  <si>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</si>
  <si>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</si>
  <si>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</si>
  <si>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</si>
  <si>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</si>
  <si>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</si>
  <si>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</si>
  <si>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</si>
  <si>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</si>
  <si>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</si>
  <si>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</si>
  <si>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</si>
  <si>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</si>
  <si>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</si>
  <si>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</si>
  <si>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</si>
  <si>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</si>
  <si>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</si>
  <si>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</si>
  <si>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</si>
  <si>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</si>
  <si>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</si>
  <si>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</si>
  <si>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</si>
  <si>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</si>
  <si>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</si>
  <si>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</si>
  <si>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</si>
  <si>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</si>
  <si>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</si>
  <si>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</si>
  <si>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</si>
  <si>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</si>
  <si>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</si>
  <si>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</si>
  <si>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</si>
  <si>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</si>
  <si>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</si>
  <si>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</si>
  <si>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</si>
  <si>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</si>
  <si>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</si>
  <si>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</si>
  <si>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</si>
  <si>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</si>
  <si>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</si>
  <si>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</si>
  <si>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</si>
  <si>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</si>
  <si>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</si>
  <si>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</si>
  <si>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</si>
  <si>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</si>
  <si>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</si>
  <si>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</si>
  <si>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</si>
  <si>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</si>
  <si>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</si>
  <si>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</si>
  <si>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</si>
  <si>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</si>
  <si>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</si>
  <si>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</si>
  <si>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</si>
  <si>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</si>
  <si>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</si>
  <si>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</si>
  <si>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</si>
  <si>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</si>
  <si>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</si>
  <si>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</si>
  <si>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</si>
  <si>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</si>
  <si>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</si>
  <si>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</si>
  <si>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</si>
  <si>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</si>
  <si>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</si>
  <si>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</si>
  <si>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</si>
  <si>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</si>
  <si>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</si>
  <si>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</si>
  <si>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</si>
  <si>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</si>
  <si>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</si>
  <si>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</si>
  <si>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</si>
  <si>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</si>
  <si>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</si>
  <si>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</si>
  <si>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</si>
  <si>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</si>
  <si>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</si>
  <si>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</si>
  <si>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</si>
  <si>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</si>
  <si>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</si>
  <si>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</si>
  <si>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</si>
  <si>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</si>
  <si>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</si>
  <si>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</si>
  <si>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</si>
  <si>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</si>
  <si>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</si>
  <si>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</si>
  <si>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</si>
  <si>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</si>
  <si>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</si>
  <si>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</si>
  <si>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</si>
  <si>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</si>
  <si>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</si>
  <si>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</si>
  <si>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</si>
  <si>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</si>
  <si>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</si>
  <si>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</si>
  <si>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</si>
  <si>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</si>
  <si>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</si>
  <si>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</si>
  <si>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</si>
  <si>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</si>
  <si>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</si>
  <si>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</si>
  <si>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</si>
  <si>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</si>
  <si>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</si>
  <si>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</si>
  <si>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</si>
  <si>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</si>
  <si>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</si>
  <si>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</si>
  <si>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</si>
  <si>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</si>
  <si>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</si>
  <si>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</si>
  <si>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</si>
  <si>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</si>
  <si>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</si>
  <si>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</si>
  <si>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</si>
  <si>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</si>
  <si>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</si>
  <si>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</si>
  <si>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</si>
  <si>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</si>
  <si>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</si>
  <si>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</si>
  <si>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</si>
  <si>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</si>
  <si>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</si>
  <si>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</si>
  <si>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</si>
  <si>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</si>
  <si>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</si>
  <si>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</si>
  <si>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</si>
  <si>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</si>
  <si>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</si>
  <si>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</si>
  <si>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</si>
  <si>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</si>
  <si>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</si>
  <si>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</si>
  <si>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</si>
  <si>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</si>
  <si>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</si>
  <si>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</si>
  <si>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</si>
  <si>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</si>
  <si>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</si>
  <si>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</si>
  <si>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</si>
  <si>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</si>
  <si>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</si>
  <si>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</si>
  <si>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</si>
  <si>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</si>
  <si>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</si>
  <si>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</si>
  <si>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</si>
  <si>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</si>
  <si>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</si>
  <si>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</si>
  <si>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</si>
  <si>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</si>
  <si>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</si>
  <si>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</si>
  <si>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</si>
  <si>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</si>
  <si>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</si>
  <si>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</si>
  <si>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</si>
  <si>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</si>
  <si>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</si>
  <si>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</si>
  <si>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</si>
  <si>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</si>
  <si>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</si>
  <si>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</si>
  <si>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</si>
  <si>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</si>
  <si>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</si>
  <si>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</si>
  <si>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</si>
  <si>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</si>
  <si>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</si>
  <si>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</si>
  <si>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</si>
  <si>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</si>
  <si>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</si>
  <si>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</si>
  <si>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</si>
  <si>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</si>
  <si>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</si>
  <si>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</si>
  <si>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</si>
  <si>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</si>
  <si>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</si>
  <si>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</si>
  <si>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</si>
  <si>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</si>
  <si>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</si>
  <si>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</si>
  <si>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</si>
  <si>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</si>
  <si>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</si>
  <si>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</si>
  <si>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</si>
  <si>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</si>
  <si>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</si>
  <si>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</si>
  <si>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</si>
  <si>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</si>
  <si>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</si>
  <si>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</si>
  <si>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</si>
  <si>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</si>
  <si>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</si>
  <si>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</si>
  <si>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</si>
  <si>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</si>
  <si>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</si>
  <si>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</si>
  <si>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</si>
  <si>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</si>
  <si>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</si>
  <si>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</si>
  <si>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</si>
  <si>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</si>
  <si>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</si>
  <si>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</si>
  <si>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</si>
  <si>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</si>
  <si>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</si>
  <si>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</si>
  <si>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</si>
  <si>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</si>
  <si>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</si>
  <si>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</si>
  <si>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</si>
  <si>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</si>
  <si>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</si>
  <si>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</si>
  <si>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</si>
  <si>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</si>
  <si>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</si>
  <si>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</si>
  <si>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</si>
  <si>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</si>
  <si>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</si>
  <si>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</si>
  <si>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</si>
  <si>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</si>
  <si>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</si>
  <si>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</si>
  <si>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</si>
  <si>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</si>
  <si>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</si>
  <si>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</si>
  <si>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</si>
  <si>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</si>
  <si>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</si>
  <si>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</si>
  <si>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</si>
  <si>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</si>
  <si>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</si>
  <si>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</si>
  <si>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</si>
  <si>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</si>
  <si>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</si>
  <si>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</si>
  <si>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</si>
  <si>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</si>
  <si>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</si>
  <si>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</si>
  <si>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</si>
  <si>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</si>
  <si>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</si>
  <si>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</si>
  <si>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</si>
  <si>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</si>
  <si>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</si>
  <si>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</si>
  <si>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</si>
  <si>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</si>
  <si>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</si>
  <si>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</si>
  <si>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</si>
  <si>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</si>
  <si>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</si>
  <si>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</si>
  <si>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</si>
  <si>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</si>
  <si>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</si>
  <si>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</si>
  <si>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</si>
  <si>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</si>
  <si>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</si>
  <si>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</si>
  <si>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</si>
  <si>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</si>
  <si>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</si>
  <si>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</si>
  <si>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</si>
  <si>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</si>
  <si>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</si>
  <si>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</si>
  <si>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</si>
  <si>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</si>
  <si>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</si>
  <si>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</si>
  <si>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</si>
  <si>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</si>
  <si>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</si>
  <si>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</si>
  <si>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</si>
  <si>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</si>
  <si>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</si>
  <si>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</si>
  <si>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</si>
  <si>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</si>
  <si>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</si>
  <si>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</si>
  <si>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</si>
  <si>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</si>
  <si>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</si>
  <si>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</si>
  <si>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</si>
  <si>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</si>
  <si>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</si>
  <si>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</si>
  <si>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</si>
  <si>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</si>
  <si>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</si>
  <si>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</si>
  <si>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</si>
  <si>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</si>
  <si>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</si>
  <si>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</si>
  <si>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</si>
  <si>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</si>
  <si>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</si>
  <si>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</si>
  <si>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</si>
  <si>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</si>
  <si>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</si>
  <si>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</si>
  <si>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</si>
  <si>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</si>
  <si>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</si>
  <si>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</si>
  <si>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</si>
  <si>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</si>
  <si>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</si>
  <si>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</si>
  <si>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</si>
  <si>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</si>
  <si>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</si>
  <si>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</si>
  <si>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</si>
  <si>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</si>
  <si>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</si>
  <si>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</si>
  <si>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</si>
  <si>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</si>
  <si>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</si>
  <si>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</si>
  <si>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</si>
  <si>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</si>
  <si>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</si>
  <si>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</si>
  <si>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</si>
  <si>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</si>
  <si>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</si>
  <si>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</si>
  <si>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</si>
  <si>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</si>
  <si>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</si>
  <si>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</si>
  <si>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</si>
  <si>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</si>
  <si>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</si>
  <si>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</si>
  <si>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</si>
  <si>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</si>
  <si>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</si>
  <si>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</si>
  <si>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</si>
  <si>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</si>
  <si>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</si>
  <si>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</si>
  <si>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</si>
  <si>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</si>
  <si>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</si>
  <si>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</si>
  <si>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</si>
  <si>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</si>
  <si>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</si>
  <si>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</si>
  <si>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</si>
  <si>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</si>
  <si>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</si>
  <si>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</si>
  <si>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</si>
  <si>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</si>
  <si>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</si>
  <si>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</si>
  <si>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</si>
  <si>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</si>
  <si>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</si>
  <si>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</si>
  <si>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</si>
  <si>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</si>
  <si>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</si>
  <si>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</si>
  <si>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</si>
  <si>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</si>
  <si>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</si>
  <si>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</si>
  <si>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</si>
  <si>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</si>
  <si>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</si>
  <si>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</si>
  <si>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</si>
  <si>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</si>
  <si>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</si>
  <si>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</si>
  <si>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</si>
  <si>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</si>
  <si>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</si>
  <si>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</si>
  <si>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</si>
  <si>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</si>
  <si>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</si>
  <si>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</si>
  <si>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</si>
  <si>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</si>
  <si>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</si>
  <si>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</si>
  <si>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</si>
  <si>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</si>
  <si>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</si>
  <si>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</si>
  <si>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</si>
  <si>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</si>
  <si>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</si>
  <si>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</si>
  <si>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</si>
  <si>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</si>
  <si>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</si>
  <si>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</si>
  <si>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</si>
  <si>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</si>
  <si>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</si>
  <si>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</si>
  <si>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</si>
  <si>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</si>
  <si>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</si>
  <si>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</si>
  <si>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</si>
  <si>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</si>
  <si>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</si>
  <si>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</si>
  <si>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</si>
  <si>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</si>
  <si>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</si>
  <si>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</si>
  <si>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</si>
  <si>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</si>
  <si>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</si>
  <si>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</si>
  <si>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</si>
  <si>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</si>
  <si>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</si>
  <si>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</si>
  <si>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</si>
  <si>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</si>
  <si>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</si>
  <si>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</si>
  <si>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</si>
  <si>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</si>
  <si>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</si>
  <si>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</si>
  <si>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</si>
  <si>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</si>
  <si>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</si>
  <si>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</si>
  <si>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</si>
  <si>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</si>
  <si>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</si>
  <si>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</si>
  <si>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</si>
  <si>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</si>
  <si>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</si>
  <si>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</si>
  <si>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</si>
  <si>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</si>
  <si>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</si>
  <si>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</si>
  <si>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</si>
  <si>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</si>
  <si>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</si>
  <si>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</si>
  <si>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</si>
  <si>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</si>
  <si>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</si>
  <si>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</si>
  <si>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</si>
  <si>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</si>
  <si>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</si>
  <si>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</si>
  <si>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</si>
  <si>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</si>
  <si>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</si>
  <si>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</si>
  <si>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</si>
  <si>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</si>
  <si>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</si>
  <si>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</si>
  <si>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</si>
  <si>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</si>
  <si>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</si>
  <si>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</si>
  <si>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</si>
  <si>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</si>
  <si>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</si>
  <si>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</si>
  <si>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</si>
  <si>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</si>
  <si>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</si>
  <si>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</si>
  <si>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</si>
  <si>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</si>
  <si>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</si>
  <si>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</si>
  <si>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</si>
  <si>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</si>
  <si>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</si>
  <si>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</si>
  <si>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</si>
  <si>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</si>
  <si>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</si>
  <si>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</si>
  <si>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</si>
  <si>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</si>
  <si>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</si>
  <si>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</si>
  <si>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</si>
  <si>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</si>
  <si>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</si>
  <si>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</si>
  <si>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</si>
  <si>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</si>
  <si>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</si>
  <si>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</si>
  <si>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</si>
  <si>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</si>
  <si>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</si>
  <si>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</si>
  <si>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</si>
  <si>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</si>
  <si>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</si>
  <si>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</si>
  <si>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</si>
  <si>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</si>
  <si>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</si>
  <si>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</si>
  <si>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</si>
  <si>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</si>
  <si>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</si>
  <si>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</si>
  <si>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</si>
  <si>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</si>
  <si>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</si>
  <si>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</si>
  <si>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</si>
  <si>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</si>
  <si>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</si>
  <si>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</si>
  <si>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</si>
  <si>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</si>
  <si>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</si>
  <si>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</si>
  <si>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</si>
  <si>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</si>
  <si>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</si>
  <si>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</si>
  <si>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</si>
  <si>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</si>
  <si>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</si>
  <si>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</si>
  <si>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</si>
  <si>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</si>
  <si>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</si>
  <si>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</si>
  <si>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</si>
  <si>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</si>
  <si>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</si>
  <si>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</si>
  <si>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</si>
  <si>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</si>
  <si>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</si>
  <si>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</si>
  <si>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</si>
  <si>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</si>
  <si>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</si>
  <si>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</si>
  <si>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</si>
  <si>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</si>
  <si>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</si>
  <si>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</si>
  <si>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</si>
  <si>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</si>
  <si>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</si>
  <si>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</si>
  <si>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</si>
  <si>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</si>
  <si>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</si>
  <si>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</si>
  <si>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</si>
  <si>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序号</t>
    <phoneticPr fontId="144" type="noConversion"/>
  </si>
  <si>
    <t>《国有土地使用权》证号</t>
    <phoneticPr fontId="144" type="noConversion"/>
  </si>
  <si>
    <t>《房屋所有权证》证号</t>
    <phoneticPr fontId="144" type="noConversion"/>
  </si>
  <si>
    <t>坐落</t>
    <phoneticPr fontId="144" type="noConversion"/>
  </si>
  <si>
    <t>建筑面积</t>
    <phoneticPr fontId="144" type="noConversion"/>
  </si>
  <si>
    <t>用途</t>
    <phoneticPr fontId="144" type="noConversion"/>
  </si>
  <si>
    <t>分摊土地面积</t>
    <phoneticPr fontId="144" type="noConversion"/>
  </si>
  <si>
    <t>总土地面积</t>
    <phoneticPr fontId="144" type="noConversion"/>
  </si>
  <si>
    <r>
      <t>京朝国用（2</t>
    </r>
    <r>
      <rPr>
        <sz val="11"/>
        <color theme="1"/>
        <rFont val="宋体"/>
        <family val="3"/>
        <charset val="134"/>
        <scheme val="minor"/>
      </rPr>
      <t>007出</t>
    </r>
    <r>
      <rPr>
        <sz val="11"/>
        <color theme="1"/>
        <rFont val="宋体"/>
        <family val="3"/>
        <charset val="134"/>
        <scheme val="minor"/>
      </rPr>
      <t>）第</t>
    </r>
    <r>
      <rPr>
        <sz val="11"/>
        <color theme="1"/>
        <rFont val="宋体"/>
        <family val="3"/>
        <charset val="134"/>
        <scheme val="minor"/>
      </rPr>
      <t>0032号</t>
    </r>
    <phoneticPr fontId="144" type="noConversion"/>
  </si>
  <si>
    <t>X京房权证朝字第1170286号</t>
    <phoneticPr fontId="4" type="noConversion"/>
  </si>
  <si>
    <t>朝阳区朝阳路71号15层1806号</t>
    <phoneticPr fontId="4" type="noConversion"/>
  </si>
  <si>
    <t>办公</t>
    <phoneticPr fontId="144" type="noConversion"/>
  </si>
  <si>
    <t>总建筑面积</t>
    <phoneticPr fontId="144" type="noConversion"/>
  </si>
  <si>
    <t>X京房权证朝字第1170246号</t>
    <phoneticPr fontId="4" type="noConversion"/>
  </si>
  <si>
    <t>朝阳区朝阳路71号15层1807号</t>
  </si>
  <si>
    <t>X京房权证朝字第1170278号</t>
    <phoneticPr fontId="4" type="noConversion"/>
  </si>
  <si>
    <t>朝阳区朝阳路71号15层1819号</t>
    <phoneticPr fontId="4" type="noConversion"/>
  </si>
  <si>
    <t>X京房权证朝字第1170273号</t>
    <phoneticPr fontId="4" type="noConversion"/>
  </si>
  <si>
    <t>朝阳区朝阳路71号16层1906号</t>
    <phoneticPr fontId="4" type="noConversion"/>
  </si>
  <si>
    <t>办公用房小计</t>
    <phoneticPr fontId="144" type="noConversion"/>
  </si>
  <si>
    <t>X京房权证朝字第1170268号</t>
    <phoneticPr fontId="4" type="noConversion"/>
  </si>
  <si>
    <t>朝阳区朝阳路71号-1层-101号</t>
    <phoneticPr fontId="4" type="noConversion"/>
  </si>
  <si>
    <t>地下商业</t>
    <phoneticPr fontId="144" type="noConversion"/>
  </si>
  <si>
    <t>地下商业用房小计</t>
    <phoneticPr fontId="144" type="noConversion"/>
  </si>
  <si>
    <t>X京房权证朝字第1170311号</t>
    <phoneticPr fontId="4" type="noConversion"/>
  </si>
  <si>
    <t>朝阳区朝阳路71号-2层-202号</t>
    <phoneticPr fontId="4" type="noConversion"/>
  </si>
  <si>
    <t>地下仓储</t>
    <phoneticPr fontId="144" type="noConversion"/>
  </si>
  <si>
    <t>X京房权证朝字第1170016号</t>
    <phoneticPr fontId="4" type="noConversion"/>
  </si>
  <si>
    <t>朝阳区朝阳路71号-3层-301号</t>
    <phoneticPr fontId="4" type="noConversion"/>
  </si>
  <si>
    <t>X京房权证朝字第1170306号</t>
    <phoneticPr fontId="4" type="noConversion"/>
  </si>
  <si>
    <t>朝阳区朝阳路71号-3层-302号</t>
  </si>
  <si>
    <t>X京房权证朝字第1170289号</t>
    <phoneticPr fontId="4" type="noConversion"/>
  </si>
  <si>
    <t>朝阳区朝阳路71号-3层-303号</t>
  </si>
  <si>
    <t>X京房权证朝字第1170274号</t>
    <phoneticPr fontId="4" type="noConversion"/>
  </si>
  <si>
    <t>朝阳区朝阳路71号-3层-304号</t>
  </si>
  <si>
    <t>X京房权证朝字第1170259号</t>
    <phoneticPr fontId="4" type="noConversion"/>
  </si>
  <si>
    <t>朝阳区朝阳路71号-3层-305号</t>
  </si>
  <si>
    <t>X京房权证朝字第1170312号</t>
    <phoneticPr fontId="4" type="noConversion"/>
  </si>
  <si>
    <t>朝阳区朝阳路71号-3层-306号</t>
  </si>
  <si>
    <t>X京房权证朝字第1170244号</t>
    <phoneticPr fontId="4" type="noConversion"/>
  </si>
  <si>
    <t>朝阳区朝阳路71号-3层-307号</t>
  </si>
  <si>
    <t>地下仓储用房小计</t>
    <phoneticPr fontId="144" type="noConversion"/>
  </si>
  <si>
    <t>北京国锐房地产开发有限公司</t>
    <phoneticPr fontId="7" type="noConversion"/>
  </si>
  <si>
    <t>核定资产</t>
  </si>
  <si>
    <t>房地产市场价值</t>
  </si>
  <si>
    <t>北京市</t>
  </si>
  <si>
    <r>
      <rPr>
        <sz val="12"/>
        <color theme="9" tint="-0.249977111117893"/>
        <rFont val="宋体"/>
        <family val="3"/>
        <charset val="134"/>
      </rPr>
      <t>朝阳区朝阳路</t>
    </r>
    <r>
      <rPr>
        <sz val="12"/>
        <color theme="9" tint="-0.249977111117893"/>
        <rFont val="Arial"/>
        <family val="2"/>
      </rPr>
      <t>71</t>
    </r>
    <r>
      <rPr>
        <sz val="12"/>
        <color theme="9" tint="-0.249977111117893"/>
        <rFont val="宋体"/>
        <family val="3"/>
        <charset val="134"/>
      </rPr>
      <t>号</t>
    </r>
    <phoneticPr fontId="7" type="noConversion"/>
  </si>
  <si>
    <t>企业</t>
  </si>
  <si>
    <t>出让</t>
  </si>
  <si>
    <t>办公、地下商业、地下仓储</t>
    <phoneticPr fontId="7" type="noConversion"/>
  </si>
  <si>
    <r>
      <rPr>
        <sz val="12"/>
        <color theme="9" tint="-0.249977111117893"/>
        <rFont val="宋体"/>
        <family val="3"/>
        <charset val="134"/>
      </rPr>
      <t>地下商业</t>
    </r>
    <r>
      <rPr>
        <sz val="12"/>
        <color theme="9" tint="-0.249977111117893"/>
        <rFont val="Arial"/>
        <family val="2"/>
      </rPr>
      <t>28.6</t>
    </r>
    <r>
      <rPr>
        <sz val="12"/>
        <color theme="9" tint="-0.249977111117893"/>
        <rFont val="宋体"/>
        <family val="3"/>
        <charset val="134"/>
      </rPr>
      <t>年、办公及地下仓储</t>
    </r>
    <r>
      <rPr>
        <sz val="12"/>
        <color theme="9" tint="-0.249977111117893"/>
        <rFont val="Arial"/>
        <family val="2"/>
      </rPr>
      <t>38.6</t>
    </r>
    <r>
      <rPr>
        <sz val="12"/>
        <color theme="9" tint="-0.249977111117893"/>
        <rFont val="宋体"/>
        <family val="3"/>
        <charset val="134"/>
      </rPr>
      <t>年</t>
    </r>
    <phoneticPr fontId="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</si>
  <si>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
    </r>
    <phoneticPr fontId="7" type="noConversion"/>
  </si>
  <si>
    <t>收益法 (仓储)</t>
  </si>
  <si>
    <t>收益法（办公）</t>
  </si>
  <si>
    <t>收益法 (地下商业)</t>
  </si>
  <si>
    <t>地下</t>
  </si>
  <si>
    <t>地上</t>
  </si>
  <si>
    <t>仓储</t>
  </si>
  <si>
    <r>
      <t>15</t>
    </r>
    <r>
      <rPr>
        <sz val="10"/>
        <color indexed="8"/>
        <rFont val="宋体"/>
        <family val="3"/>
        <charset val="134"/>
      </rPr>
      <t>层</t>
    </r>
    <r>
      <rPr>
        <sz val="10"/>
        <color indexed="8"/>
        <rFont val="Arial"/>
        <family val="2"/>
      </rPr>
      <t>1806</t>
    </r>
    <phoneticPr fontId="4" type="noConversion"/>
  </si>
  <si>
    <r>
      <t>15</t>
    </r>
    <r>
      <rPr>
        <sz val="10"/>
        <color indexed="8"/>
        <rFont val="宋体"/>
        <family val="3"/>
        <charset val="134"/>
      </rPr>
      <t>层</t>
    </r>
    <r>
      <rPr>
        <sz val="10"/>
        <color indexed="8"/>
        <rFont val="Arial"/>
        <family val="2"/>
      </rPr>
      <t>1807</t>
    </r>
    <phoneticPr fontId="4" type="noConversion"/>
  </si>
  <si>
    <r>
      <t>15</t>
    </r>
    <r>
      <rPr>
        <sz val="10"/>
        <color indexed="8"/>
        <rFont val="宋体"/>
        <family val="3"/>
        <charset val="134"/>
      </rPr>
      <t>层</t>
    </r>
    <r>
      <rPr>
        <sz val="10"/>
        <color indexed="8"/>
        <rFont val="Arial"/>
        <family val="2"/>
      </rPr>
      <t>1819</t>
    </r>
    <phoneticPr fontId="4" type="noConversion"/>
  </si>
  <si>
    <r>
      <t>16</t>
    </r>
    <r>
      <rPr>
        <sz val="10"/>
        <color indexed="8"/>
        <rFont val="宋体"/>
        <family val="3"/>
        <charset val="134"/>
      </rPr>
      <t>层</t>
    </r>
    <r>
      <rPr>
        <sz val="10"/>
        <color indexed="8"/>
        <rFont val="Arial"/>
        <family val="2"/>
      </rPr>
      <t>1906</t>
    </r>
    <phoneticPr fontId="4" type="noConversion"/>
  </si>
  <si>
    <r>
      <rPr>
        <sz val="10"/>
        <color indexed="8"/>
        <rFont val="宋体"/>
        <family val="3"/>
        <charset val="134"/>
      </rPr>
      <t>地下一层</t>
    </r>
    <r>
      <rPr>
        <sz val="10"/>
        <color indexed="8"/>
        <rFont val="Arial"/>
        <family val="2"/>
      </rPr>
      <t>-101</t>
    </r>
    <phoneticPr fontId="4" type="noConversion"/>
  </si>
  <si>
    <r>
      <rPr>
        <sz val="10"/>
        <color indexed="8"/>
        <rFont val="宋体"/>
        <family val="3"/>
        <charset val="134"/>
      </rPr>
      <t>地下二层</t>
    </r>
    <r>
      <rPr>
        <sz val="10"/>
        <color indexed="8"/>
        <rFont val="Arial"/>
        <family val="2"/>
      </rPr>
      <t>-202</t>
    </r>
    <phoneticPr fontId="4" type="noConversion"/>
  </si>
  <si>
    <r>
      <rPr>
        <sz val="10"/>
        <color indexed="8"/>
        <rFont val="宋体"/>
        <family val="3"/>
        <charset val="134"/>
      </rPr>
      <t>地下三层</t>
    </r>
    <r>
      <rPr>
        <sz val="10"/>
        <color indexed="8"/>
        <rFont val="Arial"/>
        <family val="2"/>
      </rPr>
      <t>-301</t>
    </r>
    <phoneticPr fontId="4" type="noConversion"/>
  </si>
  <si>
    <r>
      <rPr>
        <sz val="10"/>
        <color indexed="8"/>
        <rFont val="宋体"/>
        <family val="3"/>
        <charset val="134"/>
      </rPr>
      <t>地下三层</t>
    </r>
    <r>
      <rPr>
        <sz val="10"/>
        <color indexed="8"/>
        <rFont val="Arial"/>
        <family val="2"/>
      </rPr>
      <t>-302</t>
    </r>
    <r>
      <rPr>
        <sz val="11"/>
        <color theme="1"/>
        <rFont val="宋体"/>
        <family val="2"/>
        <charset val="134"/>
        <scheme val="minor"/>
      </rPr>
      <t/>
    </r>
  </si>
  <si>
    <r>
      <rPr>
        <sz val="10"/>
        <color indexed="8"/>
        <rFont val="宋体"/>
        <family val="3"/>
        <charset val="134"/>
      </rPr>
      <t>地下三层</t>
    </r>
    <r>
      <rPr>
        <sz val="10"/>
        <color indexed="8"/>
        <rFont val="Arial"/>
        <family val="2"/>
      </rPr>
      <t>-303</t>
    </r>
    <r>
      <rPr>
        <sz val="11"/>
        <color theme="1"/>
        <rFont val="宋体"/>
        <family val="2"/>
        <charset val="134"/>
        <scheme val="minor"/>
      </rPr>
      <t/>
    </r>
  </si>
  <si>
    <r>
      <rPr>
        <sz val="10"/>
        <color indexed="8"/>
        <rFont val="宋体"/>
        <family val="3"/>
        <charset val="134"/>
      </rPr>
      <t>地下三层</t>
    </r>
    <r>
      <rPr>
        <sz val="10"/>
        <color indexed="8"/>
        <rFont val="Arial"/>
        <family val="2"/>
      </rPr>
      <t>-304</t>
    </r>
    <r>
      <rPr>
        <sz val="11"/>
        <color theme="1"/>
        <rFont val="宋体"/>
        <family val="2"/>
        <charset val="134"/>
        <scheme val="minor"/>
      </rPr>
      <t/>
    </r>
  </si>
  <si>
    <r>
      <rPr>
        <sz val="10"/>
        <color indexed="8"/>
        <rFont val="宋体"/>
        <family val="3"/>
        <charset val="134"/>
      </rPr>
      <t>地下三层</t>
    </r>
    <r>
      <rPr>
        <sz val="10"/>
        <color indexed="8"/>
        <rFont val="Arial"/>
        <family val="2"/>
      </rPr>
      <t>-305</t>
    </r>
    <r>
      <rPr>
        <sz val="11"/>
        <color theme="1"/>
        <rFont val="宋体"/>
        <family val="2"/>
        <charset val="134"/>
        <scheme val="minor"/>
      </rPr>
      <t/>
    </r>
  </si>
  <si>
    <r>
      <rPr>
        <sz val="10"/>
        <color indexed="8"/>
        <rFont val="宋体"/>
        <family val="3"/>
        <charset val="134"/>
      </rPr>
      <t>地下三层</t>
    </r>
    <r>
      <rPr>
        <sz val="10"/>
        <color indexed="8"/>
        <rFont val="Arial"/>
        <family val="2"/>
      </rPr>
      <t>-306</t>
    </r>
    <r>
      <rPr>
        <sz val="11"/>
        <color theme="1"/>
        <rFont val="宋体"/>
        <family val="2"/>
        <charset val="134"/>
        <scheme val="minor"/>
      </rPr>
      <t/>
    </r>
  </si>
  <si>
    <r>
      <rPr>
        <sz val="10"/>
        <color indexed="8"/>
        <rFont val="宋体"/>
        <family val="3"/>
        <charset val="134"/>
      </rPr>
      <t>地下三层</t>
    </r>
    <r>
      <rPr>
        <sz val="10"/>
        <color indexed="8"/>
        <rFont val="Arial"/>
        <family val="2"/>
      </rPr>
      <t>-307</t>
    </r>
    <r>
      <rPr>
        <sz val="11"/>
        <color theme="1"/>
        <rFont val="宋体"/>
        <family val="2"/>
        <charset val="134"/>
        <scheme val="minor"/>
      </rPr>
      <t/>
    </r>
  </si>
  <si>
    <t>是</t>
  </si>
  <si>
    <t>办公</t>
    <phoneticPr fontId="8" type="noConversion"/>
  </si>
  <si>
    <t>仓储</t>
    <phoneticPr fontId="8" type="noConversion"/>
  </si>
  <si>
    <t>成新度</t>
  </si>
  <si>
    <t>钢混</t>
  </si>
  <si>
    <t>非生产用房</t>
  </si>
  <si>
    <t>否</t>
  </si>
  <si>
    <t>地下商业</t>
  </si>
  <si>
    <t>地下商业</t>
    <phoneticPr fontId="8" type="noConversion"/>
  </si>
  <si>
    <t>押一</t>
  </si>
  <si>
    <t>自定义</t>
  </si>
  <si>
    <t>售价</t>
  </si>
  <si>
    <t>瑞城国际（财满街）</t>
    <phoneticPr fontId="4" type="noConversion"/>
  </si>
  <si>
    <t>朝阳区朝阳路71号</t>
    <phoneticPr fontId="4" type="noConversion"/>
  </si>
  <si>
    <t>办公</t>
    <phoneticPr fontId="33" type="noConversion"/>
  </si>
  <si>
    <t>30-40（含）</t>
  </si>
  <si>
    <t>估价对象位于朝青商圈，周边商业氛围一般，有红星美凯龙等购物场所，人流量一般，商业繁华度一般。</t>
    <phoneticPr fontId="26" type="noConversion"/>
  </si>
  <si>
    <t>估价对象位于朝青商圈，周边办公楼项目较多，有世丰国际大厦、财经中心等写字楼项目，入驻率高，办公集聚程度较好。</t>
    <phoneticPr fontId="26" type="noConversion"/>
  </si>
  <si>
    <t>估价对象周边道路较为密集，公共交通通达情况较好，1公里内有350路、411路及地铁1号线等公共交通，停车便捷程度较好，综合评价交通便捷度较好。</t>
    <phoneticPr fontId="42" type="noConversion"/>
  </si>
  <si>
    <t>估价对象所在区域基础设施水平达到“七通”。</t>
    <phoneticPr fontId="26" type="noConversion"/>
  </si>
  <si>
    <t>区域自然环境：兴隆公园；人文环境：中国传媒大学；综合评价环境状况较好。</t>
    <phoneticPr fontId="42" type="noConversion"/>
  </si>
  <si>
    <t>城市主干道——朝阳路</t>
    <phoneticPr fontId="26" type="noConversion"/>
  </si>
  <si>
    <t>单面临街</t>
  </si>
  <si>
    <t>较好</t>
  </si>
  <si>
    <t>七通</t>
  </si>
  <si>
    <t>城市快速路</t>
    <phoneticPr fontId="33" type="noConversion"/>
  </si>
  <si>
    <t>城市主干道</t>
  </si>
  <si>
    <t>城市主干道</t>
    <phoneticPr fontId="33" type="noConversion"/>
  </si>
  <si>
    <t>城市次干道</t>
    <phoneticPr fontId="33" type="noConversion"/>
  </si>
  <si>
    <t>城市支路</t>
    <phoneticPr fontId="33" type="noConversion"/>
  </si>
  <si>
    <t>城市主干道——朝阳路</t>
    <phoneticPr fontId="33" type="noConversion"/>
  </si>
  <si>
    <t>高区</t>
  </si>
  <si>
    <t>高区</t>
    <phoneticPr fontId="33" type="noConversion"/>
  </si>
  <si>
    <t>中区</t>
  </si>
  <si>
    <t>中区</t>
    <phoneticPr fontId="33" type="noConversion"/>
  </si>
  <si>
    <t>办公：</t>
    <phoneticPr fontId="144" type="noConversion"/>
  </si>
  <si>
    <t>售价</t>
    <phoneticPr fontId="144" type="noConversion"/>
  </si>
  <si>
    <t>位于朝青商圈，周边办公楼项目较多，有世丰国际大厦、核建大厦等写字楼项目，入驻率高，办公集聚程度较好。</t>
    <phoneticPr fontId="33" type="noConversion"/>
  </si>
  <si>
    <r>
      <rPr>
        <sz val="11"/>
        <rFont val="宋体"/>
        <family val="3"/>
        <charset val="134"/>
      </rPr>
      <t>周边道路较为密集，公共交通通达情况较好，</t>
    </r>
    <r>
      <rPr>
        <sz val="11"/>
        <rFont val="Arial"/>
        <family val="2"/>
      </rPr>
      <t>1</t>
    </r>
    <r>
      <rPr>
        <sz val="11"/>
        <rFont val="宋体"/>
        <family val="3"/>
        <charset val="134"/>
      </rPr>
      <t>公里内有</t>
    </r>
    <r>
      <rPr>
        <sz val="11"/>
        <rFont val="Arial"/>
        <family val="2"/>
      </rPr>
      <t>75</t>
    </r>
    <r>
      <rPr>
        <sz val="11"/>
        <rFont val="宋体"/>
        <family val="3"/>
        <charset val="134"/>
      </rPr>
      <t>路、</t>
    </r>
    <r>
      <rPr>
        <sz val="11"/>
        <rFont val="Arial"/>
        <family val="2"/>
      </rPr>
      <t>112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3" type="noConversion"/>
  </si>
  <si>
    <t>估价对象所在区域1公里范围内，有银行（中国工商银行、中国银行），购物（卜蜂莲花、物美超市），医院（民航总医院），学校（朝阳区兴隆小学、星河实验学校）等，公共配套设施齐备情况较好。</t>
    <phoneticPr fontId="42" type="noConversion"/>
  </si>
  <si>
    <r>
      <rPr>
        <sz val="11"/>
        <rFont val="宋体"/>
        <family val="3"/>
        <charset val="134"/>
      </rPr>
      <t>所在区域</t>
    </r>
    <r>
      <rPr>
        <sz val="11"/>
        <rFont val="Arial"/>
        <family val="2"/>
      </rPr>
      <t>1</t>
    </r>
    <r>
      <rPr>
        <sz val="11"/>
        <rFont val="宋体"/>
        <family val="3"/>
        <charset val="134"/>
      </rPr>
      <t>公里范围内，有银行（中国邮政储蓄银行、北京农商银行），购物（尚街购物中心、朝阳大悦城），医院（北京至微金诺医院），学校（康乐园小学、星河实验学校）等，公共配套设施齐备情况较好。</t>
    </r>
    <phoneticPr fontId="33"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</si>
  <si>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3"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</si>
  <si>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3" type="noConversion"/>
  </si>
  <si>
    <t>区域自然环境：十北公园；人文环境：中国紫檀博物馆；综合评价环境状况较好。</t>
    <phoneticPr fontId="33" type="noConversion"/>
  </si>
  <si>
    <t>低区</t>
  </si>
  <si>
    <t>低区</t>
    <phoneticPr fontId="33" type="noConversion"/>
  </si>
  <si>
    <t>精装修</t>
  </si>
  <si>
    <t>精装修</t>
    <phoneticPr fontId="33" type="noConversion"/>
  </si>
  <si>
    <t>普通装修</t>
  </si>
  <si>
    <t>普通装修</t>
    <phoneticPr fontId="33" type="noConversion"/>
  </si>
  <si>
    <t>简单装修</t>
  </si>
  <si>
    <t>简单装修</t>
    <phoneticPr fontId="33" type="noConversion"/>
  </si>
  <si>
    <t>毛坯</t>
  </si>
  <si>
    <t>毛坯</t>
    <phoneticPr fontId="33" type="noConversion"/>
  </si>
  <si>
    <t>甲级</t>
  </si>
  <si>
    <t>甲级</t>
    <phoneticPr fontId="33" type="noConversion"/>
  </si>
  <si>
    <t>国际创展中心</t>
    <phoneticPr fontId="4" type="noConversion"/>
  </si>
  <si>
    <t>甘露园南里25号</t>
    <phoneticPr fontId="4" type="noConversion"/>
  </si>
  <si>
    <t>住邦2000商务中心</t>
    <phoneticPr fontId="4" type="noConversion"/>
  </si>
  <si>
    <t>东四环慈云寺桥东南角</t>
    <phoneticPr fontId="4" type="noConversion"/>
  </si>
  <si>
    <t>位于慈云寺桥，周边办公楼项目较多，有远洋国际、嘉泰国际大厦等写字楼项目，入驻率高，办公集聚程度较好。</t>
    <phoneticPr fontId="33" type="noConversion"/>
  </si>
  <si>
    <t>位于慈云寺桥，周边办公楼项目较多，有住邦2000商务中心、嘉泰国际大厦等写字楼项目，入驻率高，办公集聚程度较好。</t>
    <phoneticPr fontId="33" type="noConversion"/>
  </si>
  <si>
    <r>
      <rPr>
        <sz val="11"/>
        <rFont val="宋体"/>
        <family val="3"/>
        <charset val="134"/>
      </rPr>
      <t>周边道路较为密集，公共交通通达情况较好，</t>
    </r>
    <r>
      <rPr>
        <sz val="11"/>
        <rFont val="Arial"/>
        <family val="2"/>
      </rPr>
      <t>1</t>
    </r>
    <r>
      <rPr>
        <sz val="11"/>
        <rFont val="宋体"/>
        <family val="3"/>
        <charset val="134"/>
      </rPr>
      <t>公里内有</t>
    </r>
    <r>
      <rPr>
        <sz val="11"/>
        <rFont val="Arial"/>
        <family val="2"/>
      </rPr>
      <t>95</t>
    </r>
    <r>
      <rPr>
        <sz val="11"/>
        <rFont val="宋体"/>
        <family val="3"/>
        <charset val="134"/>
      </rPr>
      <t>路、</t>
    </r>
    <r>
      <rPr>
        <sz val="11"/>
        <rFont val="Arial"/>
        <family val="2"/>
      </rPr>
      <t>115</t>
    </r>
    <r>
      <rPr>
        <sz val="11"/>
        <rFont val="宋体"/>
        <family val="3"/>
        <charset val="134"/>
      </rPr>
      <t>路及地铁</t>
    </r>
    <r>
      <rPr>
        <sz val="11"/>
        <rFont val="Arial"/>
        <family val="2"/>
      </rPr>
      <t>6</t>
    </r>
    <r>
      <rPr>
        <sz val="11"/>
        <rFont val="宋体"/>
        <family val="3"/>
        <charset val="134"/>
      </rPr>
      <t>号线等公共交通，停车便捷程度较好，综合评价交通便捷度较好。</t>
    </r>
    <phoneticPr fontId="33" type="noConversion"/>
  </si>
  <si>
    <r>
      <rPr>
        <sz val="11"/>
        <rFont val="宋体"/>
        <family val="3"/>
        <charset val="134"/>
      </rPr>
      <t>所在区域</t>
    </r>
    <r>
      <rPr>
        <sz val="11"/>
        <rFont val="Arial"/>
        <family val="2"/>
      </rPr>
      <t>1</t>
    </r>
    <r>
      <rPr>
        <sz val="11"/>
        <rFont val="宋体"/>
        <family val="3"/>
        <charset val="134"/>
      </rPr>
      <t>公里范围内，有银行（交通银行、中国工商银行），购物（远洋未来汇购物中心、物美超市），医院（北京英智康复医院），学校（芳草地国际学校、北京日坛中学实验学校）等，公共配套设施齐备情况较好。</t>
    </r>
    <phoneticPr fontId="33" type="noConversion"/>
  </si>
  <si>
    <r>
      <rPr>
        <sz val="11"/>
        <rFont val="宋体"/>
        <family val="3"/>
        <charset val="134"/>
      </rPr>
      <t>所在区域</t>
    </r>
    <r>
      <rPr>
        <sz val="11"/>
        <rFont val="Arial"/>
        <family val="2"/>
      </rPr>
      <t>1</t>
    </r>
    <r>
      <rPr>
        <sz val="11"/>
        <rFont val="宋体"/>
        <family val="3"/>
        <charset val="134"/>
      </rPr>
      <t>公里范围内，有银行（交通银行、中国农业银行），购物（苏宁生活广场、家乐福），医院（北京济民中医医院），学校（八里庄小学、中国音乐学院附中）等，公共配套设施齐备情况较好。</t>
    </r>
    <phoneticPr fontId="33" type="noConversion"/>
  </si>
  <si>
    <t>区域自然环境：红领巾公园；人文环境：晋商博物馆；综合评价环境状况较好。</t>
    <phoneticPr fontId="33" type="noConversion"/>
  </si>
  <si>
    <t>比较法-办公</t>
  </si>
  <si>
    <t>乙级</t>
  </si>
  <si>
    <t>乙级</t>
    <phoneticPr fontId="33" type="noConversion"/>
  </si>
  <si>
    <t>商业：</t>
    <phoneticPr fontId="144" type="noConversion"/>
  </si>
  <si>
    <t>售价</t>
    <phoneticPr fontId="144" type="noConversion"/>
  </si>
  <si>
    <t>财满街商铺</t>
    <phoneticPr fontId="4" type="noConversion"/>
  </si>
  <si>
    <t>朝阳路69号</t>
    <phoneticPr fontId="4" type="noConversion"/>
  </si>
  <si>
    <t>商业</t>
    <phoneticPr fontId="32" type="noConversion"/>
  </si>
  <si>
    <t>精装修</t>
    <phoneticPr fontId="32" type="noConversion"/>
  </si>
  <si>
    <t>普通装修</t>
    <phoneticPr fontId="32" type="noConversion"/>
  </si>
  <si>
    <t>简单装修</t>
    <phoneticPr fontId="32" type="noConversion"/>
  </si>
  <si>
    <t>毛坯</t>
    <phoneticPr fontId="32" type="noConversion"/>
  </si>
  <si>
    <t>独栋商业</t>
    <phoneticPr fontId="32" type="noConversion"/>
  </si>
  <si>
    <t>商业街商业</t>
  </si>
  <si>
    <t>商业街商业</t>
    <phoneticPr fontId="32" type="noConversion"/>
  </si>
  <si>
    <t>住宅底商</t>
  </si>
  <si>
    <t>住宅底商</t>
    <phoneticPr fontId="32" type="noConversion"/>
  </si>
  <si>
    <t>办公底商</t>
  </si>
  <si>
    <t>办公底商</t>
    <phoneticPr fontId="32" type="noConversion"/>
  </si>
  <si>
    <t>一般</t>
  </si>
  <si>
    <t>多面临街</t>
    <phoneticPr fontId="32" type="noConversion"/>
  </si>
  <si>
    <t>双面临街</t>
    <phoneticPr fontId="32" type="noConversion"/>
  </si>
  <si>
    <t>单面临街</t>
    <phoneticPr fontId="32" type="noConversion"/>
  </si>
  <si>
    <t>不临街</t>
    <phoneticPr fontId="32" type="noConversion"/>
  </si>
  <si>
    <t>较好</t>
    <phoneticPr fontId="32" type="noConversion"/>
  </si>
  <si>
    <t>好</t>
    <phoneticPr fontId="32" type="noConversion"/>
  </si>
  <si>
    <t>好</t>
    <phoneticPr fontId="32" type="noConversion"/>
  </si>
  <si>
    <t>爱这城商铺</t>
    <phoneticPr fontId="4" type="noConversion"/>
  </si>
  <si>
    <t>朝阳路十里堡乙2号院</t>
    <phoneticPr fontId="4" type="noConversion"/>
  </si>
  <si>
    <t>朝阳雅筑商铺</t>
    <phoneticPr fontId="4" type="noConversion"/>
  </si>
  <si>
    <t>现房</t>
  </si>
  <si>
    <t>比较法-商业</t>
  </si>
  <si>
    <r>
      <t>1</t>
    </r>
    <r>
      <rPr>
        <sz val="11"/>
        <color indexed="8"/>
        <rFont val="宋体"/>
        <family val="3"/>
        <charset val="134"/>
      </rPr>
      <t>层</t>
    </r>
    <phoneticPr fontId="32" type="noConversion"/>
  </si>
  <si>
    <t>地下一层</t>
  </si>
  <si>
    <t>地下一层</t>
    <phoneticPr fontId="32" type="noConversion"/>
  </si>
  <si>
    <t>1层</t>
  </si>
  <si>
    <t>地下仓储：</t>
    <phoneticPr fontId="144" type="noConversion"/>
  </si>
  <si>
    <t>地下商业</t>
    <phoneticPr fontId="26" type="noConversion"/>
  </si>
  <si>
    <r>
      <t>1</t>
    </r>
    <r>
      <rPr>
        <sz val="10"/>
        <color indexed="8"/>
        <rFont val="宋体"/>
        <family val="3"/>
        <charset val="134"/>
      </rPr>
      <t>层</t>
    </r>
    <phoneticPr fontId="26" type="noConversion"/>
  </si>
  <si>
    <t>地下一层</t>
    <phoneticPr fontId="26" type="noConversion"/>
  </si>
  <si>
    <t>地下一层修正</t>
    <phoneticPr fontId="144" type="noConversion"/>
  </si>
  <si>
    <t>总价</t>
    <phoneticPr fontId="144" type="noConversion"/>
  </si>
  <si>
    <t>单价</t>
    <phoneticPr fontId="144" type="noConversion"/>
  </si>
  <si>
    <t>租金</t>
  </si>
  <si>
    <t>租金：</t>
    <phoneticPr fontId="144" type="noConversion"/>
  </si>
  <si>
    <t>龙湖长楹天街</t>
    <phoneticPr fontId="4" type="noConversion"/>
  </si>
  <si>
    <t>2层</t>
  </si>
  <si>
    <t>2层</t>
    <phoneticPr fontId="32" type="noConversion"/>
  </si>
  <si>
    <t>临街商业</t>
  </si>
  <si>
    <t>临街商业</t>
    <phoneticPr fontId="144" type="noConversion"/>
  </si>
  <si>
    <t>金都杭城商铺</t>
    <phoneticPr fontId="4" type="noConversion"/>
  </si>
  <si>
    <t>青年汇嘉园底商</t>
    <phoneticPr fontId="4" type="noConversion"/>
  </si>
  <si>
    <t>锐城国际（财满街）</t>
    <phoneticPr fontId="4" type="noConversion"/>
  </si>
  <si>
    <t>好</t>
    <phoneticPr fontId="144" type="noConversion"/>
  </si>
  <si>
    <t>较好</t>
    <phoneticPr fontId="144" type="noConversion"/>
  </si>
  <si>
    <t>七通</t>
    <phoneticPr fontId="144" type="noConversion"/>
  </si>
  <si>
    <t>六通</t>
  </si>
  <si>
    <t>六通</t>
    <phoneticPr fontId="144" type="noConversion"/>
  </si>
  <si>
    <t>五通</t>
  </si>
  <si>
    <t>五通</t>
    <phoneticPr fontId="144" type="noConversion"/>
  </si>
  <si>
    <t>四通</t>
    <phoneticPr fontId="144" type="noConversion"/>
  </si>
  <si>
    <t>三通</t>
    <phoneticPr fontId="144" type="noConversion"/>
  </si>
  <si>
    <t>办公</t>
    <phoneticPr fontId="144" type="noConversion"/>
  </si>
  <si>
    <t>商业</t>
    <phoneticPr fontId="144" type="noConversion"/>
  </si>
  <si>
    <t>仓储</t>
    <phoneticPr fontId="144" type="noConversion"/>
  </si>
  <si>
    <t>比较法</t>
    <phoneticPr fontId="144" type="noConversion"/>
  </si>
  <si>
    <t>收益法</t>
    <phoneticPr fontId="144" type="noConversion"/>
  </si>
  <si>
    <t>方法</t>
    <phoneticPr fontId="144" type="noConversion"/>
  </si>
  <si>
    <t>权重</t>
    <phoneticPr fontId="144" type="noConversion"/>
  </si>
  <si>
    <t>总价</t>
    <phoneticPr fontId="144" type="noConversion"/>
  </si>
  <si>
    <t>单价</t>
    <phoneticPr fontId="144" type="noConversion"/>
  </si>
  <si>
    <t>面积</t>
    <phoneticPr fontId="144" type="noConversion"/>
  </si>
  <si>
    <t>地下一层</t>
    <phoneticPr fontId="33" type="noConversion"/>
  </si>
  <si>
    <r>
      <t>2</t>
    </r>
    <r>
      <rPr>
        <sz val="11"/>
        <color theme="1"/>
        <rFont val="宋体"/>
        <family val="3"/>
        <charset val="134"/>
        <scheme val="minor"/>
      </rPr>
      <t>017评估值</t>
    </r>
    <phoneticPr fontId="144" type="noConversion"/>
  </si>
  <si>
    <t>单价</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</si>
</sst>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5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48" fillId="6" borderId="1"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00" fillId="0" borderId="1" xfId="0" applyFont="1" applyBorder="1" applyAlignment="1">
      <alignment horizontal="center" vertical="center"/>
    </xf>
    <xf numFmtId="0" fontId="100" fillId="0" borderId="1" xfId="0" applyFont="1" applyFill="1" applyBorder="1" applyAlignment="1">
      <alignment horizontal="center" vertical="center"/>
    </xf>
    <xf numFmtId="0" fontId="100" fillId="0" borderId="0"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lignment vertical="center"/>
    </xf>
    <xf numFmtId="179" fontId="0" fillId="0" borderId="1" xfId="0" applyNumberFormat="1" applyBorder="1" applyAlignment="1">
      <alignment horizontal="center" vertical="center"/>
    </xf>
    <xf numFmtId="0" fontId="100" fillId="0" borderId="0" xfId="0" applyFont="1" applyAlignment="1">
      <alignment horizontal="center" vertical="center"/>
    </xf>
    <xf numFmtId="0" fontId="101" fillId="0" borderId="1" xfId="0" applyFont="1" applyBorder="1" applyAlignment="1">
      <alignment horizontal="center" vertical="center"/>
    </xf>
    <xf numFmtId="2" fontId="0" fillId="0" borderId="1" xfId="0" applyNumberFormat="1" applyBorder="1" applyAlignment="1">
      <alignment horizontal="center" vertical="center"/>
    </xf>
    <xf numFmtId="0" fontId="0" fillId="0" borderId="0" xfId="0" applyAlignment="1">
      <alignment horizontal="center" vertical="center"/>
    </xf>
    <xf numFmtId="0" fontId="101" fillId="0" borderId="0" xfId="0" applyFont="1" applyAlignment="1">
      <alignment horizontal="center" vertical="center"/>
    </xf>
    <xf numFmtId="14" fontId="65" fillId="9" borderId="13" xfId="0" applyNumberFormat="1" applyFont="1" applyFill="1" applyBorder="1" applyAlignment="1" applyProtection="1">
      <alignment horizontal="left" vertical="center"/>
      <protection locked="0"/>
    </xf>
    <xf numFmtId="0" fontId="191" fillId="7" borderId="151" xfId="0" applyFont="1" applyFill="1" applyBorder="1" applyAlignment="1" applyProtection="1">
      <alignmen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1" fillId="2" borderId="54" xfId="0" applyFont="1" applyFill="1" applyBorder="1" applyAlignment="1" applyProtection="1">
      <alignment horizontal="center" vertical="center"/>
      <protection locked="0"/>
    </xf>
    <xf numFmtId="0" fontId="51" fillId="0" borderId="2"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38" fillId="0" borderId="5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100" fillId="0" borderId="0" xfId="0" applyFont="1">
      <alignment vertical="center"/>
    </xf>
    <xf numFmtId="49" fontId="99" fillId="0" borderId="40"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0" fontId="81" fillId="10" borderId="9" xfId="0" applyNumberFormat="1" applyFont="1" applyFill="1" applyBorder="1" applyAlignment="1" applyProtection="1">
      <alignment horizontal="center" vertical="center" wrapText="1"/>
      <protection locked="0"/>
    </xf>
    <xf numFmtId="0" fontId="81" fillId="7" borderId="0" xfId="0" applyFont="1" applyFill="1" applyProtection="1">
      <alignment vertical="center"/>
      <protection locked="0"/>
    </xf>
    <xf numFmtId="0" fontId="81" fillId="8" borderId="0" xfId="0" applyFont="1" applyFill="1" applyAlignment="1" applyProtection="1">
      <alignment horizontal="center" vertical="center"/>
      <protection locked="0"/>
    </xf>
    <xf numFmtId="0" fontId="51" fillId="8"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9" fontId="0" fillId="0" borderId="1" xfId="0" applyNumberFormat="1" applyBorder="1" applyAlignment="1">
      <alignment horizontal="center" vertical="center"/>
    </xf>
    <xf numFmtId="0" fontId="100" fillId="0" borderId="15" xfId="0" applyFont="1" applyFill="1" applyBorder="1" applyAlignment="1">
      <alignment horizontal="center" vertical="center"/>
    </xf>
    <xf numFmtId="0" fontId="0" fillId="0" borderId="0" xfId="0" applyFont="1" applyFill="1" applyBorder="1" applyAlignment="1">
      <alignment horizontal="center"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222" fillId="6" borderId="1" xfId="0" applyFont="1" applyFill="1" applyBorder="1" applyAlignment="1">
      <alignment horizontal="center"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179" fontId="101" fillId="0" borderId="36" xfId="0" applyNumberFormat="1" applyFont="1" applyBorder="1" applyAlignment="1">
      <alignment horizontal="center" vertical="center"/>
    </xf>
    <xf numFmtId="0" fontId="101" fillId="0" borderId="36" xfId="0" applyFont="1" applyBorder="1" applyAlignment="1">
      <alignment horizontal="center" vertical="center"/>
    </xf>
    <xf numFmtId="0" fontId="100" fillId="0" borderId="13" xfId="0" applyFont="1" applyBorder="1" applyAlignment="1">
      <alignment horizontal="center" vertical="center" wrapText="1"/>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100" fillId="0" borderId="13" xfId="0" applyFont="1" applyBorder="1" applyAlignment="1">
      <alignment horizontal="center" vertical="center"/>
    </xf>
    <xf numFmtId="0" fontId="100" fillId="0" borderId="15" xfId="0" applyFont="1" applyBorder="1" applyAlignment="1">
      <alignment horizontal="center" vertical="center"/>
    </xf>
    <xf numFmtId="0" fontId="100" fillId="0" borderId="2" xfId="0" applyFont="1" applyBorder="1" applyAlignment="1">
      <alignment horizontal="center" vertical="center"/>
    </xf>
    <xf numFmtId="0" fontId="100" fillId="0" borderId="5" xfId="0" applyFont="1" applyBorder="1" applyAlignment="1">
      <alignment horizontal="center" vertical="center"/>
    </xf>
    <xf numFmtId="0" fontId="0" fillId="0" borderId="3" xfId="0" applyBorder="1" applyAlignment="1">
      <alignment horizontal="center" vertical="center"/>
    </xf>
    <xf numFmtId="179" fontId="101" fillId="0" borderId="5" xfId="0" applyNumberFormat="1" applyFont="1" applyBorder="1" applyAlignment="1">
      <alignment horizontal="center" vertical="center"/>
    </xf>
    <xf numFmtId="179" fontId="101" fillId="0" borderId="3" xfId="0" applyNumberFormat="1" applyFont="1" applyBorder="1" applyAlignment="1">
      <alignment horizontal="center" vertical="center"/>
    </xf>
    <xf numFmtId="2" fontId="101" fillId="0" borderId="5" xfId="0" applyNumberFormat="1" applyFont="1" applyBorder="1" applyAlignment="1">
      <alignment horizontal="center" vertical="center"/>
    </xf>
    <xf numFmtId="2" fontId="101" fillId="0" borderId="3" xfId="0" applyNumberFormat="1" applyFont="1" applyBorder="1" applyAlignment="1">
      <alignment horizontal="center" vertical="center"/>
    </xf>
    <xf numFmtId="0" fontId="0" fillId="0" borderId="15"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7</xdr:col>
      <xdr:colOff>120251</xdr:colOff>
      <xdr:row>17</xdr:row>
      <xdr:rowOff>19050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4920851"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14</xdr:row>
      <xdr:rowOff>123826</xdr:rowOff>
    </xdr:from>
    <xdr:to>
      <xdr:col>7</xdr:col>
      <xdr:colOff>85725</xdr:colOff>
      <xdr:row>30</xdr:row>
      <xdr:rowOff>90876</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524126"/>
          <a:ext cx="4886324" cy="271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xdr:row>
      <xdr:rowOff>9526</xdr:rowOff>
    </xdr:from>
    <xdr:to>
      <xdr:col>7</xdr:col>
      <xdr:colOff>76200</xdr:colOff>
      <xdr:row>43</xdr:row>
      <xdr:rowOff>162716</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810126"/>
          <a:ext cx="4876800" cy="272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104776</xdr:colOff>
      <xdr:row>1</xdr:row>
      <xdr:rowOff>9525</xdr:rowOff>
    </xdr:from>
    <xdr:to>
      <xdr:col>15</xdr:col>
      <xdr:colOff>494582</xdr:colOff>
      <xdr:row>22</xdr:row>
      <xdr:rowOff>9525</xdr:rowOff>
    </xdr:to>
    <xdr:pic>
      <xdr:nvPicPr>
        <xdr:cNvPr id="6" name="图片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05376" y="180975"/>
          <a:ext cx="5876206" cy="360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285750</xdr:colOff>
      <xdr:row>47</xdr:row>
      <xdr:rowOff>19051</xdr:rowOff>
    </xdr:from>
    <xdr:to>
      <xdr:col>15</xdr:col>
      <xdr:colOff>628650</xdr:colOff>
      <xdr:row>71</xdr:row>
      <xdr:rowOff>141407</xdr:rowOff>
    </xdr:to>
    <xdr:pic>
      <xdr:nvPicPr>
        <xdr:cNvPr id="7" name="图片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86350" y="8077201"/>
          <a:ext cx="5829300" cy="4237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28575</xdr:rowOff>
    </xdr:from>
    <xdr:to>
      <xdr:col>7</xdr:col>
      <xdr:colOff>247650</xdr:colOff>
      <xdr:row>63</xdr:row>
      <xdr:rowOff>133106</xdr:rowOff>
    </xdr:to>
    <xdr:pic>
      <xdr:nvPicPr>
        <xdr:cNvPr id="8" name="图片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8086725"/>
          <a:ext cx="5048250" cy="2847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28575</xdr:rowOff>
    </xdr:from>
    <xdr:to>
      <xdr:col>7</xdr:col>
      <xdr:colOff>314325</xdr:colOff>
      <xdr:row>77</xdr:row>
      <xdr:rowOff>146872</xdr:rowOff>
    </xdr:to>
    <xdr:pic>
      <xdr:nvPicPr>
        <xdr:cNvPr id="9" name="图片 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0487025"/>
          <a:ext cx="5114925" cy="2861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38101</xdr:rowOff>
    </xdr:from>
    <xdr:to>
      <xdr:col>7</xdr:col>
      <xdr:colOff>333375</xdr:colOff>
      <xdr:row>92</xdr:row>
      <xdr:rowOff>8313</xdr:rowOff>
    </xdr:to>
    <xdr:pic>
      <xdr:nvPicPr>
        <xdr:cNvPr id="10" name="图片 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2896851"/>
          <a:ext cx="5133975" cy="2884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28575</xdr:rowOff>
    </xdr:from>
    <xdr:to>
      <xdr:col>24</xdr:col>
      <xdr:colOff>185063</xdr:colOff>
      <xdr:row>63</xdr:row>
      <xdr:rowOff>76200</xdr:rowOff>
    </xdr:to>
    <xdr:pic>
      <xdr:nvPicPr>
        <xdr:cNvPr id="12" name="图片 1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658600" y="8086725"/>
          <a:ext cx="4985663"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9525</xdr:colOff>
      <xdr:row>60</xdr:row>
      <xdr:rowOff>133350</xdr:rowOff>
    </xdr:from>
    <xdr:to>
      <xdr:col>24</xdr:col>
      <xdr:colOff>285750</xdr:colOff>
      <xdr:row>77</xdr:row>
      <xdr:rowOff>55575</xdr:rowOff>
    </xdr:to>
    <xdr:pic>
      <xdr:nvPicPr>
        <xdr:cNvPr id="13" name="图片 1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668125" y="10420350"/>
          <a:ext cx="5076825" cy="283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xdr:colOff>
      <xdr:row>74</xdr:row>
      <xdr:rowOff>142875</xdr:rowOff>
    </xdr:from>
    <xdr:to>
      <xdr:col>24</xdr:col>
      <xdr:colOff>381001</xdr:colOff>
      <xdr:row>91</xdr:row>
      <xdr:rowOff>120142</xdr:rowOff>
    </xdr:to>
    <xdr:pic>
      <xdr:nvPicPr>
        <xdr:cNvPr id="14" name="图片 1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658601" y="12830175"/>
          <a:ext cx="5181600" cy="2891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57150</xdr:rowOff>
    </xdr:from>
    <xdr:to>
      <xdr:col>10</xdr:col>
      <xdr:colOff>85725</xdr:colOff>
      <xdr:row>106</xdr:row>
      <xdr:rowOff>23329</xdr:rowOff>
    </xdr:to>
    <xdr:pic>
      <xdr:nvPicPr>
        <xdr:cNvPr id="15" name="图片 1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6344900"/>
          <a:ext cx="6943725" cy="1852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38100</xdr:rowOff>
    </xdr:from>
    <xdr:to>
      <xdr:col>9</xdr:col>
      <xdr:colOff>619125</xdr:colOff>
      <xdr:row>110</xdr:row>
      <xdr:rowOff>73542</xdr:rowOff>
    </xdr:to>
    <xdr:pic>
      <xdr:nvPicPr>
        <xdr:cNvPr id="17" name="图片 16"/>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18040350"/>
          <a:ext cx="6791325" cy="892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133350</xdr:rowOff>
    </xdr:from>
    <xdr:to>
      <xdr:col>9</xdr:col>
      <xdr:colOff>657225</xdr:colOff>
      <xdr:row>125</xdr:row>
      <xdr:rowOff>32041</xdr:rowOff>
    </xdr:to>
    <xdr:pic>
      <xdr:nvPicPr>
        <xdr:cNvPr id="18" name="图片 1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8821400"/>
          <a:ext cx="6829425" cy="2641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北京市朝阳区朝阳路71号房地产市场价值预评估</v>
      </c>
    </row>
    <row r="3" spans="1:2" s="1595" customFormat="1">
      <c r="A3" s="1593" t="s">
        <v>1221</v>
      </c>
      <c r="B3" s="1594" t="str">
        <f>'预评函-封皮'!B40</f>
        <v>北京国锐房地产开发有限公司</v>
      </c>
    </row>
    <row r="4" spans="1:2" s="1595" customFormat="1">
      <c r="A4" s="1593" t="s">
        <v>1222</v>
      </c>
      <c r="B4" s="1594" t="str">
        <f>'预评函-封皮'!B46</f>
        <v>（注册号：0)、（注册号：0)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受贵公司委托，我公司对北京市朝阳区朝阳路71号房地产市场价值进行了预评估。</v>
      </c>
    </row>
    <row r="7" spans="1:2" s="1595" customFormat="1">
      <c r="A7" s="1593" t="s">
        <v>1264</v>
      </c>
      <c r="B7" s="1594" t="str">
        <f>'预评函-1'!A7</f>
        <v>估价对象为北京市朝阳区朝阳路71号房地产，为北京国锐房地产开发有限公司所有。根据《国有土地使用证》[]，估价对象（分摊）出让国有建设用地使用权面积为1042.42平方米，建筑面积为3647.3平方米。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朝阳区朝阳路71号房地产,属北京国锐房地产开发有限公司开发建设的，该项目尚在开发建设中。根据《国有土地使用证》[]，估价对象（分摊）出让国有建设用地使用权面积为1042.42平方米，规划建筑面积为3647.3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为估价委托人了解估价对象房地产市场价值提供参考依据。</v>
      </c>
    </row>
    <row r="12" spans="1:2" s="1595" customFormat="1">
      <c r="A12" s="1593" t="s">
        <v>1226</v>
      </c>
      <c r="B12" s="1594" t="str">
        <f>'预评函-1'!A15</f>
        <v>2017年12月31日</v>
      </c>
    </row>
    <row r="13" spans="1:2" s="1595" customFormat="1">
      <c r="A13" s="1593" t="s">
        <v>1227</v>
      </c>
      <c r="B13" s="1594" t="str">
        <f>'预评函-1'!A18</f>
        <v>本次估价的“房地产价值”是指在正常市场情况下，在价值时点2017年12月31日，估价对象规划用途为办公、地下商业、地下仓储，土地取得方式为出让，出让国有建设用地使用权剩余土地使用年限为地下商业28.6年、办公及地下仓储38.6年，假定未设立法定优先受偿款下的房地产市场价值。</v>
      </c>
    </row>
    <row r="14" spans="1:2" s="1595" customFormat="1">
      <c r="A14" s="1593" t="s">
        <v>1228</v>
      </c>
      <c r="B14" s="1594" t="str">
        <f>'预评函-1'!A19</f>
        <v>其中，“出让国有建设用地使用权价值”是指估价对象用途为办公、地下商业、地下仓储，实际开发程度为宗地红线外“七通”（即、、、、、、）、红线内场地平整条件下，剩余土地使用年限为地下商业28.6年、办公及地下仓储38.6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v>
      </c>
    </row>
    <row r="16" spans="1:2" s="1595" customFormat="1">
      <c r="A16" s="1593" t="s">
        <v>1230</v>
      </c>
      <c r="B16" s="1594" t="str">
        <f>'预评函-1'!A21</f>
        <v>——</v>
      </c>
    </row>
    <row r="17" spans="1:2" s="1595" customFormat="1">
      <c r="A17" s="1593" t="s">
        <v>1231</v>
      </c>
      <c r="B17" s="1594" t="str">
        <f>'预评函-1'!A22</f>
        <v>——</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1234</v>
      </c>
      <c r="B20" s="1594">
        <f ca="1">'预评函-2'!D5</f>
        <v>827</v>
      </c>
    </row>
    <row r="21" spans="1:2" s="1595" customFormat="1">
      <c r="A21" s="1593" t="s">
        <v>1235</v>
      </c>
      <c r="B21" s="1594">
        <f ca="1">'预评函-2'!D7</f>
        <v>2267</v>
      </c>
    </row>
    <row r="22" spans="1:2" s="1595" customFormat="1">
      <c r="A22" s="1593" t="s">
        <v>1236</v>
      </c>
      <c r="B22" s="1594" t="str">
        <f ca="1">'预评函-2'!D6</f>
        <v>捌佰贰拾柒万元整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827</v>
      </c>
    </row>
    <row r="31" spans="1:2" s="1595" customFormat="1">
      <c r="A31" s="1593" t="s">
        <v>1274</v>
      </c>
      <c r="B31" s="1594">
        <f ca="1">'预评函-2'!D15</f>
        <v>2267</v>
      </c>
    </row>
    <row r="32" spans="1:2" s="1595" customFormat="1">
      <c r="A32" s="1593" t="s">
        <v>1241</v>
      </c>
      <c r="B32" s="1594" t="str">
        <f ca="1">'预评函-2'!D14</f>
        <v>捌佰贰拾柒万元整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北京市朝阳区朝阳路71号房地产</v>
      </c>
    </row>
    <row r="42" spans="1:2" s="1595" customFormat="1">
      <c r="A42" s="1593" t="s">
        <v>1288</v>
      </c>
      <c r="B42" s="1594" t="str">
        <f>'预评函-3'!B2</f>
        <v>建筑面积</v>
      </c>
    </row>
    <row r="43" spans="1:2" s="1595" customFormat="1">
      <c r="A43" s="1593" t="s">
        <v>1289</v>
      </c>
      <c r="B43" s="1594">
        <f>'预评函-3'!B4</f>
        <v>3647.3</v>
      </c>
    </row>
    <row r="44" spans="1:2" s="1595" customFormat="1">
      <c r="A44" s="1593" t="s">
        <v>1273</v>
      </c>
      <c r="B44" s="1594" t="str">
        <f>'预评函-3'!C2</f>
        <v>(分摊)土地面积</v>
      </c>
    </row>
    <row r="45" spans="1:2" s="1595" customFormat="1">
      <c r="A45" s="1593" t="s">
        <v>1245</v>
      </c>
      <c r="B45" s="1594">
        <f>'预评函-3'!C4</f>
        <v>1042.42</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
      </c>
    </row>
    <row r="58" spans="1:2" s="1592" customFormat="1" ht="15" thickTop="1">
      <c r="A58" s="1590" t="s">
        <v>1251</v>
      </c>
      <c r="B58" s="1591" t="str">
        <f>'预评函-4'!A12</f>
        <v>2.本次评估设定估价对象房地产权属无争议，未被查封或者以其他形式限制其房地产权利，未设定抵押权等他项权利，不涉及第三方权利义务。</v>
      </c>
    </row>
    <row r="59" spans="1:2" s="1595" customFormat="1">
      <c r="A59" s="1593" t="s">
        <v>1252</v>
      </c>
      <c r="B59" s="1594" t="str">
        <f>'预评函-4'!A13</f>
        <v>——</v>
      </c>
    </row>
    <row r="60" spans="1:2" s="1595" customFormat="1">
      <c r="A60" s="1593" t="s">
        <v>1253</v>
      </c>
      <c r="B60" s="1594" t="str">
        <f>'预评函-4'!A14</f>
        <v>——</v>
      </c>
    </row>
    <row r="61" spans="1:2" s="1595" customFormat="1">
      <c r="A61" s="1593" t="s">
        <v>1254</v>
      </c>
      <c r="B61" s="1594" t="str">
        <f>'预评函-4'!A15</f>
        <v>——</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v>
      </c>
    </row>
    <row r="65" spans="1:2" s="1595" customFormat="1">
      <c r="A65" s="1593" t="s">
        <v>1257</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f>'预评函-4'!A4</f>
        <v>0</v>
      </c>
    </row>
    <row r="71" spans="1:2">
      <c r="A71" s="1593" t="s">
        <v>1261</v>
      </c>
      <c r="B71" s="1594">
        <f>'预评函-4'!B4</f>
        <v>0</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F28" sqref="AF28"/>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3099</v>
      </c>
      <c r="C17" s="2017"/>
    </row>
    <row r="18" spans="1:3">
      <c r="A18" s="2016" t="s">
        <v>1768</v>
      </c>
      <c r="B18" s="2016" t="s">
        <v>3100</v>
      </c>
      <c r="C18" s="2017"/>
    </row>
    <row r="19" spans="1:3">
      <c r="A19" s="2016" t="s">
        <v>1769</v>
      </c>
      <c r="B19" s="2016" t="s">
        <v>3098</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路71号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51"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31日，估价对象规划用途为办公、地下商业、地下仓储土地取得方式为出让，出让国有建设用地使用权剩余土地使用年限为XX年(多用途剩余年限尾数不同时，可只体现小数点后一位)，假定未设立法定优先受偿款下的房地产市场价值。</v>
      </c>
    </row>
    <row r="54" spans="1:4">
      <c r="A54" s="3051"/>
      <c r="B54" s="2024" t="s">
        <v>864</v>
      </c>
      <c r="C54" s="2021" t="s">
        <v>1281</v>
      </c>
    </row>
    <row r="55" spans="1:4">
      <c r="A55" s="3051"/>
      <c r="B55" s="2024" t="s">
        <v>865</v>
      </c>
      <c r="C55" s="2021" t="s">
        <v>1282</v>
      </c>
    </row>
    <row r="56" spans="1:4">
      <c r="A56" s="3051"/>
      <c r="B56" s="2024" t="s">
        <v>866</v>
      </c>
      <c r="C56" s="2021" t="s">
        <v>1286</v>
      </c>
    </row>
    <row r="57" spans="1:4">
      <c r="A57" s="3051"/>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4" customWidth="1"/>
    <col min="2" max="2" width="10" style="2034" customWidth="1"/>
    <col min="3" max="4" width="11.5" style="2034" customWidth="1"/>
    <col min="5"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1777</v>
      </c>
      <c r="B1" s="3052" t="str">
        <f>IF(B10="北京市","北京市",C10)&amp;F10&amp;IF('结果表-办公'!G1="在建","出让国有建设用地使用权及在建建筑物",IF('结果表-办公'!G1="土地","出让国有建设用地使用权",))&amp;B9&amp;"预评估"</f>
        <v>北京市朝阳区朝阳路71号房地产市场价值预评估</v>
      </c>
      <c r="C1" s="3053"/>
      <c r="D1" s="3053"/>
      <c r="E1" s="3053"/>
      <c r="F1" s="3053"/>
      <c r="G1" s="3053"/>
      <c r="H1" s="3053"/>
      <c r="I1" s="3054"/>
      <c r="J1" s="2028"/>
      <c r="K1" s="2029"/>
      <c r="L1" s="2030"/>
      <c r="M1" s="2030"/>
      <c r="N1" s="2031"/>
      <c r="O1" s="2032"/>
      <c r="P1" s="2031"/>
      <c r="Q1" s="2031"/>
      <c r="R1" s="2031"/>
      <c r="S1" s="2033" t="str">
        <f>IF(B10="北京市","北京市",C10)&amp;F10&amp;IF('结果表-办公'!G1="在建","出让国有建设用地使用权及在建建筑物房地产抵押价值",IF('结果表-办公'!G1="土地","出让国有建设用地使用权抵押价值",B9))</f>
        <v>北京市朝阳区朝阳路71号房地产市场价值</v>
      </c>
    </row>
    <row r="2" spans="1:19" ht="18" customHeight="1">
      <c r="A2" s="2028" t="s">
        <v>1778</v>
      </c>
      <c r="B2" s="1041"/>
      <c r="C2" s="2035"/>
      <c r="D2" s="2028"/>
      <c r="E2" s="2036"/>
      <c r="F2" s="2036"/>
      <c r="G2" s="2028"/>
      <c r="H2" s="2028"/>
      <c r="I2" s="2028"/>
      <c r="J2" s="2028"/>
      <c r="K2" s="2029"/>
      <c r="L2" s="2030"/>
      <c r="M2" s="2030"/>
      <c r="N2" s="2031"/>
      <c r="O2" s="2032"/>
      <c r="P2" s="2031"/>
      <c r="Q2" s="2031"/>
      <c r="R2" s="2031"/>
      <c r="S2" s="2033" t="str">
        <f>IF(B10="北京市","北京市",C10)&amp;F10&amp;IF('结果表-办公'!G1="在建","出让国有建设用地使用权及在建建筑物房地产",IF('结果表-办公'!G1="土地","出让国有建设用地使用权","房地产"))</f>
        <v>北京市朝阳区朝阳路71号房地产</v>
      </c>
    </row>
    <row r="3" spans="1:19" ht="18" customHeight="1">
      <c r="A3" s="2037" t="s">
        <v>1779</v>
      </c>
      <c r="B3" s="2038"/>
      <c r="C3" s="2039" t="s">
        <v>1780</v>
      </c>
      <c r="D3" s="2974">
        <v>43100</v>
      </c>
      <c r="E3" s="2028"/>
      <c r="F3" s="2028"/>
      <c r="G3" s="2028"/>
      <c r="H3" s="2028"/>
      <c r="I3" s="2028"/>
      <c r="J3" s="2028"/>
      <c r="K3" s="2029"/>
      <c r="L3" s="2030"/>
      <c r="M3" s="2030"/>
      <c r="N3" s="2031"/>
      <c r="O3" s="2032"/>
      <c r="P3" s="2031"/>
      <c r="Q3" s="2031"/>
      <c r="R3" s="2031"/>
      <c r="S3" s="2033"/>
    </row>
    <row r="4" spans="1:19" ht="18" customHeight="1" thickBot="1">
      <c r="A4" s="2040" t="s">
        <v>1781</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1782</v>
      </c>
      <c r="B5" s="2975" t="s">
        <v>3088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1783</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1784</v>
      </c>
      <c r="B7" s="2054"/>
      <c r="C7" s="2051"/>
      <c r="D7" s="2052"/>
      <c r="E7" s="2036"/>
      <c r="F7" s="2044"/>
      <c r="G7" s="2044"/>
      <c r="H7" s="2044"/>
      <c r="I7" s="2044"/>
      <c r="J7" s="2044"/>
      <c r="K7" s="2055"/>
      <c r="L7" s="2030"/>
      <c r="M7" s="2030"/>
      <c r="N7" s="2031"/>
      <c r="O7" s="2032"/>
      <c r="P7" s="2031"/>
      <c r="Q7" s="2031"/>
      <c r="R7" s="2031"/>
    </row>
    <row r="8" spans="1:19" ht="18" customHeight="1">
      <c r="A8" s="2049" t="s">
        <v>1785</v>
      </c>
      <c r="B8" s="2056" t="s">
        <v>3089</v>
      </c>
      <c r="C8" s="2057"/>
      <c r="D8" s="3055" t="s">
        <v>1786</v>
      </c>
      <c r="E8" s="2058"/>
      <c r="F8" s="2059"/>
      <c r="G8" s="2028"/>
      <c r="H8" s="2028"/>
      <c r="I8" s="2028"/>
      <c r="J8" s="2044"/>
      <c r="K8" s="2045"/>
      <c r="L8" s="2030"/>
      <c r="M8" s="2030"/>
      <c r="N8" s="2031"/>
      <c r="O8" s="2032"/>
      <c r="P8" s="2031"/>
      <c r="Q8" s="2031"/>
      <c r="R8" s="2031"/>
    </row>
    <row r="9" spans="1:19" ht="18" customHeight="1" thickBot="1">
      <c r="A9" s="2042" t="s">
        <v>1787</v>
      </c>
      <c r="B9" s="2060" t="s">
        <v>3090</v>
      </c>
      <c r="C9" s="2061"/>
      <c r="D9" s="3056"/>
      <c r="E9" s="2060"/>
      <c r="F9" s="2062"/>
      <c r="G9" s="2063"/>
      <c r="H9" s="2063"/>
      <c r="I9" s="2063"/>
      <c r="J9" s="2044"/>
      <c r="K9" s="2055"/>
      <c r="L9" s="2030"/>
      <c r="M9" s="2030"/>
      <c r="N9" s="2031"/>
      <c r="O9" s="2032"/>
      <c r="P9" s="2031"/>
      <c r="Q9" s="2031"/>
      <c r="R9" s="2031"/>
    </row>
    <row r="10" spans="1:19" ht="18" customHeight="1" thickTop="1" thickBot="1">
      <c r="A10" s="2064" t="s">
        <v>1788</v>
      </c>
      <c r="B10" s="2065" t="s">
        <v>3091</v>
      </c>
      <c r="C10" s="2066"/>
      <c r="D10" s="2048"/>
      <c r="E10" s="2067" t="s">
        <v>1789</v>
      </c>
      <c r="F10" s="2068" t="s">
        <v>3092</v>
      </c>
      <c r="G10" s="2069"/>
      <c r="H10" s="2070"/>
      <c r="I10" s="2048"/>
      <c r="J10" s="2044"/>
      <c r="K10" s="2055"/>
      <c r="L10" s="2030"/>
      <c r="M10" s="2030"/>
      <c r="N10" s="2031"/>
      <c r="O10" s="2032"/>
      <c r="P10" s="2031"/>
      <c r="Q10" s="2031"/>
      <c r="R10" s="2031"/>
    </row>
    <row r="11" spans="1:19" ht="18" customHeight="1" thickTop="1">
      <c r="A11" s="2071" t="s">
        <v>1790</v>
      </c>
      <c r="B11" s="2072" t="s">
        <v>3093</v>
      </c>
      <c r="C11" s="2975" t="s">
        <v>3088</v>
      </c>
      <c r="D11" s="2073"/>
      <c r="E11" s="2044"/>
      <c r="F11" s="2044"/>
      <c r="G11" s="2044"/>
      <c r="H11" s="2044"/>
      <c r="I11" s="2044"/>
      <c r="J11" s="2044"/>
      <c r="K11" s="2055"/>
      <c r="L11" s="2030"/>
      <c r="M11" s="2030"/>
      <c r="N11" s="2031"/>
      <c r="O11" s="2032"/>
      <c r="P11" s="2031"/>
      <c r="Q11" s="2031"/>
      <c r="R11" s="2031"/>
    </row>
    <row r="12" spans="1:19" ht="18" customHeight="1">
      <c r="A12" s="2074" t="s">
        <v>1791</v>
      </c>
      <c r="B12" s="2072" t="s">
        <v>3094</v>
      </c>
      <c r="C12" s="2075" t="s">
        <v>1792</v>
      </c>
      <c r="D12" s="2076" t="s">
        <v>1793</v>
      </c>
      <c r="E12" s="2076" t="s">
        <v>1794</v>
      </c>
      <c r="F12" s="2076" t="s">
        <v>1795</v>
      </c>
      <c r="G12" s="2076" t="s">
        <v>1796</v>
      </c>
      <c r="H12" s="2076" t="s">
        <v>1797</v>
      </c>
      <c r="I12" s="2076" t="s">
        <v>1798</v>
      </c>
      <c r="J12" s="2044"/>
      <c r="K12" s="2055"/>
      <c r="L12" s="2030"/>
      <c r="M12" s="2030"/>
      <c r="N12" s="2031"/>
      <c r="O12" s="2032"/>
      <c r="P12" s="2031"/>
      <c r="Q12" s="2031"/>
      <c r="R12" s="2031"/>
    </row>
    <row r="13" spans="1:19" ht="18" customHeight="1">
      <c r="A13" s="2077"/>
      <c r="B13" s="2078"/>
      <c r="C13" s="2079" t="s">
        <v>1799</v>
      </c>
      <c r="D13" s="2080"/>
      <c r="E13" s="2080">
        <v>53543</v>
      </c>
      <c r="F13" s="2080">
        <v>57196</v>
      </c>
      <c r="G13" s="2080"/>
      <c r="H13" s="2080">
        <v>57196</v>
      </c>
      <c r="I13" s="1049"/>
      <c r="J13" s="2044"/>
      <c r="K13" s="2055"/>
      <c r="L13" s="2030"/>
      <c r="M13" s="2030"/>
      <c r="N13" s="2031"/>
      <c r="O13" s="2032"/>
      <c r="P13" s="2031"/>
      <c r="Q13" s="2031"/>
      <c r="R13" s="2031"/>
    </row>
    <row r="14" spans="1:19" ht="18" customHeight="1">
      <c r="A14" s="2077"/>
      <c r="B14" s="2078"/>
      <c r="C14" s="2079" t="s">
        <v>1800</v>
      </c>
      <c r="D14" s="1052"/>
      <c r="E14" s="1052"/>
      <c r="F14" s="1052"/>
      <c r="G14" s="1052"/>
      <c r="H14" s="1052"/>
      <c r="I14" s="1052"/>
      <c r="J14" s="2044"/>
      <c r="K14" s="2081"/>
      <c r="L14" s="2030"/>
      <c r="M14" s="2030"/>
      <c r="N14" s="2031"/>
      <c r="O14" s="2032"/>
      <c r="P14" s="2031"/>
      <c r="Q14" s="2031"/>
      <c r="R14" s="2031"/>
    </row>
    <row r="15" spans="1:19" ht="18" customHeight="1">
      <c r="A15" s="2064"/>
      <c r="B15" s="2082"/>
      <c r="C15" s="2079" t="s">
        <v>1801</v>
      </c>
      <c r="D15" s="1051" t="str">
        <f>IF(B12="出让",IF(D13="","",ROUNDDOWN(MIN((D13-$D$3)/365,D14),2)),D14)</f>
        <v/>
      </c>
      <c r="E15" s="1051">
        <f>IF(B12="出让",IF(E13="","",ROUNDDOWN(MIN((E13-$D$3)/365,E14),2)),E14)</f>
        <v>28.61</v>
      </c>
      <c r="F15" s="1051">
        <f>IF(B12="出让",IF(F13="","",ROUNDDOWN(MIN((F13-$D$3)/365,F14),2)),F14)</f>
        <v>38.61</v>
      </c>
      <c r="G15" s="1051" t="str">
        <f>IF(B12="出让",IF(G13="","",ROUNDDOWN(MIN((G13-$D$3)/365,G14),2)),G14)</f>
        <v/>
      </c>
      <c r="H15" s="1051">
        <f>IF(B12="出让",IF(H13="","",ROUNDDOWN(MIN((H13-$D$3)/365,H14),2)),H14)</f>
        <v>38.61</v>
      </c>
      <c r="I15" s="1051" t="str">
        <f>IF(B12="出让",IF(I13="","",ROUNDDOWN(MIN((I13-$D$3)/365,I14),2)),I14)</f>
        <v/>
      </c>
      <c r="J15" s="2044"/>
      <c r="K15" s="2083"/>
      <c r="L15" s="2084"/>
      <c r="M15" s="2084"/>
      <c r="N15" s="2085"/>
      <c r="O15" s="2084"/>
      <c r="P15" s="2085"/>
      <c r="Q15" s="2031"/>
      <c r="R15" s="2031"/>
    </row>
    <row r="16" spans="1:19" ht="30.75" customHeight="1">
      <c r="A16" s="2067" t="s">
        <v>1802</v>
      </c>
      <c r="B16" s="3062" t="s">
        <v>3095</v>
      </c>
      <c r="C16" s="3063"/>
      <c r="D16" s="3064"/>
      <c r="E16" s="2086" t="s">
        <v>1803</v>
      </c>
      <c r="F16" s="3065" t="s">
        <v>3096</v>
      </c>
      <c r="G16" s="3066"/>
      <c r="H16" s="3066"/>
      <c r="I16" s="3067"/>
      <c r="J16" s="2031"/>
      <c r="K16" s="2083"/>
      <c r="L16" s="2084"/>
      <c r="M16" s="2084"/>
      <c r="N16" s="2085"/>
      <c r="O16" s="2084"/>
      <c r="P16" s="2085"/>
      <c r="Q16" s="2031"/>
      <c r="R16" s="2031"/>
    </row>
    <row r="17" spans="1:22" ht="18" customHeight="1">
      <c r="A17" s="2087" t="s">
        <v>1804</v>
      </c>
      <c r="B17" s="2037" t="s">
        <v>1805</v>
      </c>
      <c r="C17" s="1056">
        <f>'数据-汇总表'!E3</f>
        <v>3647.3</v>
      </c>
      <c r="D17" s="2088" t="s">
        <v>1806</v>
      </c>
      <c r="E17" s="3068" t="s">
        <v>3097</v>
      </c>
      <c r="F17" s="3069"/>
      <c r="G17" s="3069"/>
      <c r="H17" s="3069"/>
      <c r="I17" s="3070"/>
      <c r="J17" s="2031"/>
      <c r="K17" s="2089"/>
      <c r="L17" s="2084"/>
      <c r="M17" s="2084"/>
      <c r="N17" s="2085"/>
      <c r="O17" s="2084"/>
      <c r="P17" s="2085"/>
      <c r="Q17" s="2031"/>
      <c r="R17" s="2031"/>
      <c r="S17" s="2031"/>
      <c r="T17" s="2031"/>
      <c r="U17" s="2031"/>
      <c r="V17" s="2031"/>
    </row>
    <row r="18" spans="1:22" ht="36" customHeight="1" thickBot="1">
      <c r="A18" s="2090" t="s">
        <v>1807</v>
      </c>
      <c r="B18" s="2040" t="s">
        <v>1808</v>
      </c>
      <c r="C18" s="1446">
        <f>'数据-汇总表'!D3</f>
        <v>1042.42</v>
      </c>
      <c r="D18" s="2091" t="s">
        <v>1806</v>
      </c>
      <c r="E18" s="3071" t="s">
        <v>1809</v>
      </c>
      <c r="F18" s="3072"/>
      <c r="G18" s="3072"/>
      <c r="H18" s="3072"/>
      <c r="I18" s="3073"/>
      <c r="J18" s="2031"/>
      <c r="K18" s="2089"/>
      <c r="L18" s="2084"/>
      <c r="M18" s="2084"/>
      <c r="N18" s="2085"/>
      <c r="O18" s="2084"/>
      <c r="P18" s="2085"/>
      <c r="Q18" s="2031"/>
      <c r="R18" s="2031"/>
      <c r="S18" s="2031"/>
      <c r="T18" s="2031"/>
      <c r="U18" s="2031"/>
      <c r="V18" s="2031"/>
    </row>
    <row r="19" spans="1:22" ht="37.5" customHeight="1" thickTop="1" thickBot="1">
      <c r="A19" s="373" t="s">
        <v>1810</v>
      </c>
      <c r="B19" s="352" t="s">
        <v>1811</v>
      </c>
      <c r="C19" s="2092"/>
      <c r="D19" s="2093" t="s">
        <v>1812</v>
      </c>
      <c r="E19" s="2094"/>
      <c r="F19" s="2095" t="str">
        <f>IF(AND(C19="是",E19="否"),"是否提供他项权证或相关说明","")</f>
        <v/>
      </c>
      <c r="G19" s="2096"/>
      <c r="H19" s="2044"/>
      <c r="I19" s="2044"/>
      <c r="J19" s="2044"/>
      <c r="K19" s="2055"/>
      <c r="L19" s="2030"/>
      <c r="M19" s="2030"/>
      <c r="N19" s="2085"/>
      <c r="O19" s="2084"/>
      <c r="P19" s="2085"/>
      <c r="Q19" s="2031"/>
      <c r="R19" s="2031"/>
      <c r="S19" s="2031"/>
      <c r="T19" s="2031"/>
      <c r="U19" s="2031"/>
      <c r="V19" s="2031"/>
    </row>
    <row r="20" spans="1:22" ht="18" customHeight="1">
      <c r="A20" s="2097" t="s">
        <v>1813</v>
      </c>
      <c r="B20" s="3058" t="s">
        <v>1814</v>
      </c>
      <c r="C20" s="3059"/>
      <c r="D20" s="3060" t="s">
        <v>1815</v>
      </c>
      <c r="E20" s="3061"/>
      <c r="F20" s="2098" t="s">
        <v>1816</v>
      </c>
      <c r="G20" s="2044"/>
      <c r="H20" s="2044"/>
      <c r="I20" s="2044"/>
      <c r="J20" s="2044"/>
      <c r="K20" s="3057"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5"/>
      <c r="O20" s="2084"/>
      <c r="P20" s="2085"/>
      <c r="Q20" s="2031"/>
      <c r="R20" s="2031"/>
      <c r="S20" s="2031"/>
      <c r="T20" s="2031"/>
      <c r="U20" s="2031"/>
      <c r="V20" s="2031"/>
    </row>
    <row r="21" spans="1:22" ht="24.75" customHeight="1">
      <c r="A21" s="2097"/>
      <c r="B21" s="2099" t="s">
        <v>1818</v>
      </c>
      <c r="C21" s="2100" t="s">
        <v>1819</v>
      </c>
      <c r="D21" s="2101" t="s">
        <v>1820</v>
      </c>
      <c r="E21" s="2102" t="s">
        <v>1819</v>
      </c>
      <c r="F21" s="2103"/>
      <c r="G21" s="2044"/>
      <c r="H21" s="2044"/>
      <c r="I21" s="2044"/>
      <c r="J21" s="2044"/>
      <c r="K21" s="305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1821</v>
      </c>
      <c r="C22" s="2100" t="s">
        <v>1822</v>
      </c>
      <c r="D22" s="2028"/>
      <c r="E22" s="2028"/>
      <c r="F22" s="2105"/>
      <c r="G22" s="2044"/>
      <c r="H22" s="2044"/>
      <c r="I22" s="2044"/>
      <c r="J22" s="2044"/>
      <c r="K22" s="3057"/>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1823</v>
      </c>
      <c r="B23" s="183" t="s">
        <v>1824</v>
      </c>
      <c r="C23" s="2107"/>
      <c r="D23" s="2108" t="s">
        <v>1824</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1825</v>
      </c>
      <c r="C24" s="2112"/>
      <c r="D24" s="2106" t="s">
        <v>1825</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1826</v>
      </c>
      <c r="C25" s="2112"/>
      <c r="D25" s="2106" t="s">
        <v>1826</v>
      </c>
      <c r="E25" s="2113"/>
      <c r="F25" s="2105"/>
      <c r="G25" s="2044"/>
      <c r="H25" s="2044"/>
      <c r="I25" s="2044"/>
      <c r="J25" s="2044"/>
      <c r="K25" s="2055"/>
      <c r="L25" s="2030"/>
      <c r="M25" s="2030"/>
      <c r="N25" s="2085"/>
      <c r="O25" s="2084"/>
      <c r="P25" s="2085"/>
      <c r="Q25" s="2031"/>
      <c r="R25" s="2031"/>
      <c r="S25" s="2031"/>
      <c r="T25" s="2031"/>
      <c r="U25" s="2031"/>
      <c r="V25" s="2031"/>
    </row>
    <row r="26" spans="1:22" ht="18" customHeight="1" thickBot="1">
      <c r="A26" s="2114"/>
      <c r="B26" s="2115" t="s">
        <v>1827</v>
      </c>
      <c r="C26" s="2116"/>
      <c r="D26" s="2117" t="s">
        <v>1828</v>
      </c>
      <c r="E26" s="2118"/>
      <c r="F26" s="2119"/>
      <c r="G26" s="2063"/>
      <c r="H26" s="2063"/>
      <c r="I26" s="2063"/>
      <c r="J26" s="2044"/>
      <c r="K26" s="2055"/>
      <c r="L26" s="2030"/>
      <c r="M26" s="2030"/>
      <c r="N26" s="2085"/>
      <c r="O26" s="2084"/>
      <c r="P26" s="2085"/>
      <c r="Q26" s="2031"/>
      <c r="R26" s="2031"/>
      <c r="S26" s="2031"/>
      <c r="T26" s="2031"/>
      <c r="U26" s="2031"/>
      <c r="V26" s="2031"/>
    </row>
    <row r="27" spans="1:22" ht="18" customHeight="1" thickTop="1">
      <c r="A27" s="3075" t="s">
        <v>1829</v>
      </c>
      <c r="B27" s="2064" t="s">
        <v>1830</v>
      </c>
      <c r="C27" s="2120"/>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75"/>
      <c r="B28" s="2037" t="s">
        <v>1831</v>
      </c>
      <c r="C28" s="2122"/>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75"/>
      <c r="B29" s="2037" t="s">
        <v>1832</v>
      </c>
      <c r="C29" s="2125"/>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76"/>
      <c r="B30" s="2037" t="s">
        <v>1833</v>
      </c>
      <c r="C30" s="3077"/>
      <c r="D30" s="3078"/>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79" t="s">
        <v>1834</v>
      </c>
      <c r="B31" s="2127"/>
      <c r="C31" s="2128" t="str">
        <f>IF(B31="现房","成新及维护状况正常否",IF(B31="在建","工程状态是否正常",IF(B31="土地","是否闲置","-")))</f>
        <v>-</v>
      </c>
      <c r="D31" s="2129"/>
      <c r="E31" s="2130"/>
      <c r="F31" s="2044"/>
      <c r="G31" s="2044"/>
      <c r="H31" s="2044"/>
      <c r="I31" s="2044"/>
      <c r="J31" s="2044"/>
      <c r="K31" s="2053"/>
      <c r="L31" s="2030"/>
      <c r="M31" s="2030"/>
      <c r="N31" s="2031"/>
      <c r="O31" s="2032"/>
      <c r="P31" s="2031"/>
      <c r="Q31" s="2031"/>
      <c r="R31" s="2031"/>
      <c r="S31" s="2031"/>
      <c r="T31" s="2031"/>
      <c r="U31" s="2031"/>
      <c r="V31" s="2031"/>
    </row>
    <row r="32" spans="1:22" ht="18" customHeight="1">
      <c r="A32" s="3080"/>
      <c r="B32" s="2127"/>
      <c r="C32" s="2128" t="str">
        <f>IF(B32="现房","成新及维护状况是否正常",IF(B32="在建","工程状态是否正常",IF(B32="土地","是否闲置","-")))</f>
        <v>-</v>
      </c>
      <c r="D32" s="2129"/>
      <c r="E32" s="2130"/>
      <c r="F32" s="2044"/>
      <c r="G32" s="2044"/>
      <c r="H32" s="2044"/>
      <c r="I32" s="2044"/>
      <c r="J32" s="2044"/>
      <c r="K32" s="2055"/>
      <c r="L32" s="2030"/>
      <c r="M32" s="2030"/>
      <c r="N32" s="2031"/>
      <c r="O32" s="2032"/>
      <c r="P32" s="2031"/>
      <c r="Q32" s="2031"/>
      <c r="R32" s="2031"/>
      <c r="S32" s="2031"/>
      <c r="T32" s="2031"/>
      <c r="U32" s="2031"/>
      <c r="V32" s="2031"/>
    </row>
    <row r="33" spans="1:22" ht="18" customHeight="1">
      <c r="A33" s="3080"/>
      <c r="B33" s="2131"/>
      <c r="C33" s="2071" t="str">
        <f>IF(B33="现房","成新及维护状况是否正常",IF(B33="在建","工程状态是否正常",IF(B33="土地","是否闲置","-")))</f>
        <v>-</v>
      </c>
      <c r="D33" s="2132"/>
      <c r="E33" s="2133"/>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1835</v>
      </c>
      <c r="B34" s="2134"/>
      <c r="C34" s="2134"/>
      <c r="D34" s="2134"/>
      <c r="E34" s="2134"/>
      <c r="F34" s="2134"/>
      <c r="G34" s="2134"/>
      <c r="H34" s="2134"/>
      <c r="I34" s="2044"/>
      <c r="J34" s="2044"/>
      <c r="K34" s="1797">
        <f>COUNTIF(B34:H34,"——")</f>
        <v>0</v>
      </c>
      <c r="L34" s="2075" t="s">
        <v>1836</v>
      </c>
      <c r="M34" s="2075" t="s">
        <v>1837</v>
      </c>
      <c r="N34" s="2075" t="s">
        <v>1838</v>
      </c>
      <c r="O34" s="2075" t="s">
        <v>1839</v>
      </c>
      <c r="P34" s="2075" t="s">
        <v>1840</v>
      </c>
      <c r="Q34" s="2075" t="s">
        <v>1841</v>
      </c>
      <c r="R34" s="2075" t="s">
        <v>1842</v>
      </c>
      <c r="S34" s="3074" t="s">
        <v>1843</v>
      </c>
      <c r="T34" s="2135" t="str">
        <f>NUMBERSTRING(7-K34,1)&amp;"通"</f>
        <v>七通</v>
      </c>
      <c r="U34" s="2031"/>
      <c r="V34" s="2031"/>
    </row>
    <row r="35" spans="1:22" ht="18" customHeight="1">
      <c r="A35" s="2136"/>
      <c r="B35" s="3081" t="s">
        <v>1844</v>
      </c>
      <c r="C35" s="3081"/>
      <c r="D35" s="3081"/>
      <c r="E35" s="3081"/>
      <c r="F35" s="2137">
        <f>C10</f>
        <v>0</v>
      </c>
      <c r="G35" s="2044"/>
      <c r="H35" s="2044"/>
      <c r="I35" s="2044"/>
      <c r="J35" s="2044"/>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4"/>
      <c r="T35" s="48" t="str">
        <f>IF(T34="一通",L35,IF(T34="二通",M35,IF(T34="三通",N35,IF(T34="四通",O35,IF(T34="五通",P35,IF(T34="六通",Q35,R35))))))</f>
        <v>、、、、、、</v>
      </c>
      <c r="U35" s="2031"/>
      <c r="V35" s="2031"/>
    </row>
    <row r="36" spans="1:22" ht="18" customHeight="1">
      <c r="A36" s="2138"/>
      <c r="B36" s="2137" t="s">
        <v>1845</v>
      </c>
      <c r="C36" s="2137" t="s">
        <v>1846</v>
      </c>
      <c r="D36" s="2137" t="s">
        <v>1847</v>
      </c>
      <c r="E36" s="2137" t="s">
        <v>1848</v>
      </c>
      <c r="F36" s="2139"/>
      <c r="G36" s="2044"/>
      <c r="H36" s="2044"/>
      <c r="I36" s="2044"/>
      <c r="J36" s="2044"/>
      <c r="K36" s="2055"/>
      <c r="L36" s="2030"/>
      <c r="M36" s="2030"/>
      <c r="N36" s="2031"/>
      <c r="O36" s="2032"/>
      <c r="P36" s="2031"/>
      <c r="Q36" s="2031"/>
      <c r="R36" s="2031"/>
      <c r="S36" s="2031"/>
      <c r="T36" s="2031"/>
      <c r="U36" s="2031"/>
      <c r="V36" s="2031"/>
    </row>
    <row r="37" spans="1:22" ht="18" customHeight="1">
      <c r="A37" s="2140" t="s">
        <v>1849</v>
      </c>
      <c r="B37" s="2141"/>
      <c r="C37" s="2141"/>
      <c r="D37" s="2141"/>
      <c r="E37" s="2141"/>
      <c r="F37" s="2139"/>
      <c r="G37" s="2044"/>
      <c r="H37" s="2044"/>
      <c r="I37" s="2044"/>
      <c r="J37" s="2044"/>
      <c r="K37" s="2055"/>
      <c r="L37" s="2030"/>
      <c r="M37" s="2030"/>
      <c r="N37" s="2031"/>
      <c r="O37" s="2032"/>
      <c r="P37" s="2031"/>
      <c r="Q37" s="2031"/>
      <c r="R37" s="2031"/>
      <c r="S37" s="2031"/>
      <c r="T37" s="2031"/>
      <c r="U37" s="2031"/>
      <c r="V37" s="2031"/>
    </row>
    <row r="38" spans="1:22" ht="18" customHeight="1" thickBot="1">
      <c r="A38" s="2142" t="s">
        <v>1850</v>
      </c>
      <c r="B38" s="2143"/>
      <c r="C38" s="2143"/>
      <c r="D38" s="2143"/>
      <c r="E38" s="2143"/>
      <c r="F38" s="2144"/>
      <c r="G38" s="2063"/>
      <c r="H38" s="2063"/>
      <c r="I38" s="2063"/>
      <c r="J38" s="2044"/>
      <c r="K38" s="2055"/>
      <c r="L38" s="2030"/>
      <c r="M38" s="2030"/>
      <c r="N38" s="2031"/>
      <c r="O38" s="2032"/>
      <c r="P38" s="2031"/>
      <c r="Q38" s="2031"/>
      <c r="R38" s="2031"/>
      <c r="S38" s="2031"/>
      <c r="T38" s="2031"/>
      <c r="U38" s="2031"/>
      <c r="V38" s="2031"/>
    </row>
    <row r="39" spans="1:22" s="2149" customFormat="1" ht="18" customHeight="1" thickTop="1" thickBot="1">
      <c r="A39" s="2145" t="s">
        <v>1851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1852</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1853</v>
      </c>
      <c r="B42" s="1797" t="s">
        <v>1854</v>
      </c>
      <c r="C42" s="1797" t="s">
        <v>1855</v>
      </c>
      <c r="D42" s="1797" t="s">
        <v>1856</v>
      </c>
      <c r="E42" s="1797" t="s">
        <v>1857</v>
      </c>
      <c r="F42" s="1797" t="s">
        <v>1858</v>
      </c>
      <c r="G42" s="1797" t="s">
        <v>1859</v>
      </c>
      <c r="H42" s="1797" t="s">
        <v>1860</v>
      </c>
      <c r="I42" s="1797" t="s">
        <v>1861</v>
      </c>
      <c r="J42" s="2153" t="s">
        <v>1862</v>
      </c>
      <c r="K42" s="2076" t="s">
        <v>1863</v>
      </c>
      <c r="L42" s="2076" t="s">
        <v>1864</v>
      </c>
      <c r="M42" s="2076" t="s">
        <v>1865</v>
      </c>
      <c r="N42" s="1797" t="s">
        <v>1866</v>
      </c>
      <c r="O42" s="1797" t="s">
        <v>1867</v>
      </c>
      <c r="P42" s="1797" t="s">
        <v>1868</v>
      </c>
      <c r="Q42" s="2075" t="s">
        <v>1869</v>
      </c>
      <c r="R42" s="2075" t="s">
        <v>1870</v>
      </c>
      <c r="S42" s="2031"/>
      <c r="T42" s="2031"/>
      <c r="U42" s="2031"/>
      <c r="V42" s="2031"/>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8" sqref="M28"/>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1873</v>
      </c>
      <c r="B2" s="11" t="s">
        <v>1874</v>
      </c>
      <c r="C2" s="11" t="s">
        <v>1875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1876</v>
      </c>
      <c r="AZ2" s="1272" t="s">
        <v>1877</v>
      </c>
      <c r="BA2" s="11" t="s">
        <v>1878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面积清单!G19</f>
        <v>1042.42</v>
      </c>
      <c r="B3" s="14">
        <f>IF(C3="否",G5-AT5,G5)</f>
        <v>3647.3</v>
      </c>
      <c r="C3" s="2169" t="s">
        <v>1879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1880</v>
      </c>
      <c r="B5" s="1805"/>
      <c r="C5" s="2950"/>
      <c r="D5" s="1808"/>
      <c r="E5" s="16" t="s">
        <v>1</v>
      </c>
      <c r="F5" s="16">
        <f>SUM(F13:F587)</f>
        <v>0</v>
      </c>
      <c r="G5" s="16">
        <f>SUM(G13:G587)</f>
        <v>3647.3</v>
      </c>
      <c r="H5" s="16">
        <f t="shared" ref="H5:AT5" si="0">SUM(H13:H656)</f>
        <v>3647.3</v>
      </c>
      <c r="I5" s="16">
        <f t="shared" si="0"/>
        <v>271.14</v>
      </c>
      <c r="J5" s="16">
        <f t="shared" si="0"/>
        <v>0</v>
      </c>
      <c r="K5" s="16">
        <f t="shared" si="0"/>
        <v>3052.4</v>
      </c>
      <c r="L5" s="16">
        <f t="shared" si="0"/>
        <v>0</v>
      </c>
      <c r="M5" s="16">
        <f t="shared" si="0"/>
        <v>323.76000000000005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3647.3</v>
      </c>
      <c r="BA5" s="18">
        <f t="shared" si="1"/>
        <v>3647.3</v>
      </c>
      <c r="BB5" s="18">
        <f t="shared" si="1"/>
        <v>271.14</v>
      </c>
      <c r="BC5" s="18">
        <f t="shared" si="1"/>
        <v>3052.4</v>
      </c>
      <c r="BD5" s="18">
        <f t="shared" si="1"/>
        <v>323.76000000000005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1881</v>
      </c>
      <c r="B6" s="2175"/>
      <c r="C6" s="2175"/>
      <c r="D6" s="2176"/>
      <c r="E6" s="16">
        <f>H6+AC6+AT6</f>
        <v>1042.4100000000001</v>
      </c>
      <c r="F6" s="16" t="s">
        <v>1</v>
      </c>
      <c r="G6" s="16" t="s">
        <v>2</v>
      </c>
      <c r="H6" s="20">
        <f>SUMIF(I$12:AB$12,"总值",I6:AB6)</f>
        <v>1042.4100000000001</v>
      </c>
      <c r="I6" s="16">
        <f t="shared" ref="I6:AB6" si="2">ROUND($A$3*I5/$B$3,2)</f>
        <v>77.489999999999995</v>
      </c>
      <c r="J6" s="16">
        <f t="shared" si="2"/>
        <v>0</v>
      </c>
      <c r="K6" s="16">
        <f t="shared" si="2"/>
        <v>872.39</v>
      </c>
      <c r="L6" s="16">
        <f t="shared" si="2"/>
        <v>0</v>
      </c>
      <c r="M6" s="16">
        <f t="shared" si="2"/>
        <v>92.53</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1881</v>
      </c>
      <c r="AW6" s="2175"/>
      <c r="AX6" s="2175"/>
      <c r="AY6" s="21">
        <f>IF(AY3&gt;0,AY3,ROUND($A$3*AZ5/$B$3,2))</f>
        <v>1042.42</v>
      </c>
      <c r="AZ6" s="16" t="s">
        <v>3</v>
      </c>
      <c r="BA6" s="16">
        <f>ROUND($AY$6*BA5/$AZ$5,2)</f>
        <v>1042.42</v>
      </c>
      <c r="BB6" s="16">
        <f>ROUND($AY$6*BB5/$AZ$5,2)</f>
        <v>77.489999999999995</v>
      </c>
      <c r="BC6" s="16">
        <f t="shared" ref="BC6:BH6" si="4">ROUND($AY$6*BC5/$AZ$5,2)</f>
        <v>872.39</v>
      </c>
      <c r="BD6" s="16">
        <f t="shared" si="4"/>
        <v>92.53</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1882</v>
      </c>
      <c r="B7" s="2110" t="s">
        <v>1883</v>
      </c>
      <c r="C7" s="2941" t="s">
        <v>1884</v>
      </c>
      <c r="D7" s="2110" t="s">
        <v>1885</v>
      </c>
      <c r="E7" s="2110" t="s">
        <v>1886</v>
      </c>
      <c r="F7" s="2110" t="s">
        <v>1887</v>
      </c>
      <c r="G7" s="2179" t="s">
        <v>1888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1889</v>
      </c>
      <c r="AV7" s="23" t="s">
        <v>1890</v>
      </c>
      <c r="AW7" s="2167" t="s">
        <v>1891</v>
      </c>
      <c r="AX7" s="23" t="s">
        <v>1884</v>
      </c>
      <c r="AY7" s="1805" t="s">
        <v>1892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1893</v>
      </c>
      <c r="H8" s="2185" t="s">
        <v>1894</v>
      </c>
      <c r="I8" s="2186"/>
      <c r="J8" s="1820"/>
      <c r="K8" s="2959"/>
      <c r="L8" s="1820"/>
      <c r="M8" s="2959"/>
      <c r="N8" s="1820"/>
      <c r="O8" s="1820"/>
      <c r="P8" s="1820"/>
      <c r="Q8" s="1820"/>
      <c r="R8" s="1820"/>
      <c r="S8" s="1820"/>
      <c r="T8" s="1820"/>
      <c r="U8" s="1820"/>
      <c r="V8" s="2187"/>
      <c r="W8" s="1820"/>
      <c r="X8" s="1820"/>
      <c r="Y8" s="1820"/>
      <c r="Z8" s="1820"/>
      <c r="AA8" s="2187"/>
      <c r="AB8" s="2188"/>
      <c r="AC8" s="983" t="s">
        <v>1895</v>
      </c>
      <c r="AD8" s="2189"/>
      <c r="AE8" s="2181"/>
      <c r="AF8" s="1820"/>
      <c r="AG8" s="1820"/>
      <c r="AH8" s="1820"/>
      <c r="AI8" s="1820"/>
      <c r="AJ8" s="1820"/>
      <c r="AK8" s="1820"/>
      <c r="AL8" s="1820"/>
      <c r="AM8" s="1820"/>
      <c r="AN8" s="1820"/>
      <c r="AO8" s="1820"/>
      <c r="AP8" s="1820"/>
      <c r="AQ8" s="1820"/>
      <c r="AR8" s="1820"/>
      <c r="AS8" s="1820"/>
      <c r="AT8" s="1294" t="s">
        <v>1896</v>
      </c>
      <c r="AU8" s="2183" t="s">
        <v>1897</v>
      </c>
      <c r="AV8" s="1294"/>
      <c r="AW8" s="2166"/>
      <c r="AX8" s="1294"/>
      <c r="AY8" s="2167"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1900</v>
      </c>
      <c r="I9" s="2192" t="s">
        <v>3102</v>
      </c>
      <c r="J9" s="983"/>
      <c r="K9" s="2192" t="s">
        <v>3101</v>
      </c>
      <c r="L9" s="983"/>
      <c r="M9" s="2192" t="s">
        <v>3101</v>
      </c>
      <c r="N9" s="983"/>
      <c r="O9" s="2192"/>
      <c r="P9" s="983"/>
      <c r="Q9" s="2192"/>
      <c r="R9" s="983"/>
      <c r="S9" s="2192"/>
      <c r="T9" s="983"/>
      <c r="U9" s="2192"/>
      <c r="V9" s="983"/>
      <c r="W9" s="2192"/>
      <c r="X9" s="2193"/>
      <c r="Y9" s="2192"/>
      <c r="Z9" s="983"/>
      <c r="AA9" s="2192"/>
      <c r="AB9" s="983"/>
      <c r="AC9" s="2184"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4"/>
      <c r="AT9" s="2183"/>
      <c r="AU9" s="2183" t="s">
        <v>1903</v>
      </c>
      <c r="AV9" s="1294"/>
      <c r="AW9" s="2166"/>
      <c r="AX9" s="1294"/>
      <c r="AY9" s="28"/>
      <c r="AZ9" s="28" t="s">
        <v>1893</v>
      </c>
      <c r="BA9" s="2195" t="s">
        <v>1904</v>
      </c>
      <c r="BB9" s="2196"/>
      <c r="BC9" s="1340"/>
      <c r="BD9" s="1340"/>
      <c r="BE9" s="1340"/>
      <c r="BF9" s="1340"/>
      <c r="BG9" s="1340"/>
      <c r="BH9" s="1340"/>
      <c r="BI9" s="1340"/>
      <c r="BJ9" s="1340"/>
      <c r="BK9" s="2197"/>
      <c r="BL9" s="15" t="s">
        <v>1905</v>
      </c>
      <c r="BM9" s="1820"/>
      <c r="BN9" s="2186"/>
      <c r="BO9" s="1820"/>
      <c r="BP9" s="1820"/>
      <c r="BQ9" s="1820"/>
      <c r="BR9" s="1820"/>
      <c r="BS9" s="1820"/>
      <c r="BT9" s="26"/>
    </row>
    <row r="10" spans="1:72" s="2190" customFormat="1" ht="12.75">
      <c r="A10" s="2183"/>
      <c r="B10" s="2183"/>
      <c r="C10" s="2183"/>
      <c r="D10" s="2183"/>
      <c r="E10" s="2183"/>
      <c r="F10" s="2183"/>
      <c r="G10" s="1294"/>
      <c r="H10" s="28"/>
      <c r="I10" s="2192" t="s">
        <v>27</v>
      </c>
      <c r="J10" s="983"/>
      <c r="K10" s="2198" t="s">
        <v>1377</v>
      </c>
      <c r="L10" s="983"/>
      <c r="M10" s="2198" t="s">
        <v>3103</v>
      </c>
      <c r="N10" s="983"/>
      <c r="O10" s="2198"/>
      <c r="P10" s="983"/>
      <c r="Q10" s="2198"/>
      <c r="R10" s="983"/>
      <c r="S10" s="2198"/>
      <c r="T10" s="983"/>
      <c r="U10" s="2198"/>
      <c r="V10" s="983"/>
      <c r="W10" s="2198"/>
      <c r="X10" s="983"/>
      <c r="Y10" s="2198"/>
      <c r="Z10" s="983"/>
      <c r="AA10" s="2198"/>
      <c r="AB10" s="983"/>
      <c r="AC10" s="1294"/>
      <c r="AD10" s="15" t="s">
        <v>1906</v>
      </c>
      <c r="AE10" s="2199"/>
      <c r="AF10" s="15" t="s">
        <v>1906</v>
      </c>
      <c r="AG10" s="2199"/>
      <c r="AH10" s="15" t="s">
        <v>1907</v>
      </c>
      <c r="AI10" s="2199"/>
      <c r="AJ10" s="15" t="s">
        <v>1907</v>
      </c>
      <c r="AK10" s="2199"/>
      <c r="AL10" s="15" t="s">
        <v>1908</v>
      </c>
      <c r="AM10" s="1300"/>
      <c r="AN10" s="15" t="s">
        <v>1908</v>
      </c>
      <c r="AO10" s="1300"/>
      <c r="AP10" s="15" t="s">
        <v>1909</v>
      </c>
      <c r="AQ10" s="1300"/>
      <c r="AR10" s="15" t="s">
        <v>1909</v>
      </c>
      <c r="AS10" s="1300"/>
      <c r="AT10" s="2183"/>
      <c r="AU10" s="2183"/>
      <c r="AV10" s="1294"/>
      <c r="AW10" s="2166"/>
      <c r="AX10" s="1294"/>
      <c r="AY10" s="28"/>
      <c r="AZ10" s="28"/>
      <c r="BA10" s="2200" t="s">
        <v>1900</v>
      </c>
      <c r="BB10" s="2201" t="str">
        <f>I9</f>
        <v>地上</v>
      </c>
      <c r="BC10" s="29" t="str">
        <f>K9</f>
        <v>地下</v>
      </c>
      <c r="BD10" s="29" t="str">
        <f>M9</f>
        <v>地下</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984"/>
      <c r="J11" s="2204"/>
      <c r="K11" s="2984"/>
      <c r="L11" s="2204"/>
      <c r="M11" s="2984"/>
      <c r="N11" s="2204"/>
      <c r="O11" s="2203"/>
      <c r="P11" s="2204"/>
      <c r="Q11" s="2203"/>
      <c r="R11" s="2204"/>
      <c r="S11" s="2203"/>
      <c r="T11" s="2204"/>
      <c r="U11" s="2203"/>
      <c r="V11" s="2204"/>
      <c r="W11" s="2203"/>
      <c r="X11" s="2204"/>
      <c r="Y11" s="2203"/>
      <c r="Z11" s="2204"/>
      <c r="AA11" s="2203"/>
      <c r="AB11" s="2204"/>
      <c r="AC11" s="1294"/>
      <c r="AD11" s="2205" t="s">
        <v>1910</v>
      </c>
      <c r="AE11" s="1821"/>
      <c r="AF11" s="2205" t="s">
        <v>1910</v>
      </c>
      <c r="AG11" s="1821"/>
      <c r="AH11" s="2205" t="s">
        <v>1911</v>
      </c>
      <c r="AI11" s="2206"/>
      <c r="AJ11" s="2205" t="s">
        <v>1911</v>
      </c>
      <c r="AK11" s="1821"/>
      <c r="AL11" s="1819"/>
      <c r="AM11" s="1821"/>
      <c r="AN11" s="1819"/>
      <c r="AO11" s="1821"/>
      <c r="AP11" s="1819"/>
      <c r="AQ11" s="1821"/>
      <c r="AR11" s="1819"/>
      <c r="AS11" s="1821"/>
      <c r="AT11" s="2166"/>
      <c r="AU11" s="2183"/>
      <c r="AV11" s="1294"/>
      <c r="AW11" s="2166"/>
      <c r="AX11" s="1294"/>
      <c r="AY11" s="28"/>
      <c r="AZ11" s="28"/>
      <c r="BA11" s="28"/>
      <c r="BB11" s="2188" t="str">
        <f>I10</f>
        <v>办公</v>
      </c>
      <c r="BC11" s="2188" t="str">
        <f>K10</f>
        <v>商业</v>
      </c>
      <c r="BD11" s="2188" t="str">
        <f>M10</f>
        <v>仓储</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2952"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0"/>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8" t="s">
        <v>1913</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4"/>
      <c r="B13" s="1274"/>
      <c r="C13" s="1274" t="s">
        <v>3104</v>
      </c>
      <c r="D13" s="2214" t="s">
        <v>3117</v>
      </c>
      <c r="E13" s="16">
        <f>IF($C$3="是",ROUND($A$3*G13/$B$3,2),ROUND($A$3*(G13-AT13)/$B$3,2))</f>
        <v>13.57</v>
      </c>
      <c r="F13" s="32"/>
      <c r="G13" s="33">
        <f>H13+AC13+AT13</f>
        <v>47.48</v>
      </c>
      <c r="H13" s="20">
        <f>SUMIF(I$12:AB$12,"总值",I13:AB13)</f>
        <v>47.48</v>
      </c>
      <c r="I13" s="2216">
        <v>47.48</v>
      </c>
      <c r="J13" s="2215"/>
      <c r="K13" s="2216"/>
      <c r="L13" s="2215"/>
      <c r="M13" s="2216"/>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15层1806</v>
      </c>
      <c r="AY13" s="1808">
        <f>ROUND($AY$6*AZ13/$AZ$5,2)</f>
        <v>13.57</v>
      </c>
      <c r="AZ13" s="16">
        <f>BA13+BL13</f>
        <v>47.48</v>
      </c>
      <c r="BA13" s="16">
        <f>SUM(BB13:BK13)</f>
        <v>47.48</v>
      </c>
      <c r="BB13" s="16">
        <f>IF($D13="是",I13-J13,0)</f>
        <v>47.48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4"/>
      <c r="B14" s="1274"/>
      <c r="C14" s="1274" t="s">
        <v>3105</v>
      </c>
      <c r="D14" s="2214" t="s">
        <v>3117</v>
      </c>
      <c r="E14" s="16">
        <f>IF($C$3="是",ROUND($A$3*G14/$B$3,2),ROUND($A$3*(G14-AT14)/$B$3,2))</f>
        <v>31.53</v>
      </c>
      <c r="F14" s="32"/>
      <c r="G14" s="33">
        <f>H14+AC14+AT14</f>
        <v>110.32</v>
      </c>
      <c r="H14" s="20">
        <f>SUMIF(I$12:AB$12,"总值",I14:AB14)</f>
        <v>110.32</v>
      </c>
      <c r="I14" s="2216">
        <v>110.32</v>
      </c>
      <c r="J14" s="2215"/>
      <c r="K14" s="2216"/>
      <c r="L14" s="2215"/>
      <c r="M14" s="2216"/>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15层1807</v>
      </c>
      <c r="AY14" s="1808">
        <f>ROUND($AY$6*AZ14/$AZ$5,2)</f>
        <v>31.53</v>
      </c>
      <c r="AZ14" s="16">
        <f>BA14+BL14</f>
        <v>110.32</v>
      </c>
      <c r="BA14" s="16">
        <f>SUM(BB14:BK14)</f>
        <v>110.32</v>
      </c>
      <c r="BB14" s="16">
        <f>IF($D14="是",I14-J14,0)</f>
        <v>110.32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4"/>
      <c r="B15" s="1274"/>
      <c r="C15" s="1274" t="s">
        <v>3106</v>
      </c>
      <c r="D15" s="2214" t="s">
        <v>3117</v>
      </c>
      <c r="E15" s="16">
        <f>IF($C$3="是",ROUND($A$3*G15/$B$3,2),ROUND($A$3*(G15-AT15)/$B$3,2))</f>
        <v>16.559999999999999</v>
      </c>
      <c r="F15" s="32"/>
      <c r="G15" s="33">
        <f>H15+AC15+AT15</f>
        <v>57.94</v>
      </c>
      <c r="H15" s="20">
        <f>SUMIF(I$12:AB$12,"总值",I15:AB15)</f>
        <v>57.94</v>
      </c>
      <c r="I15" s="2216">
        <v>57.94</v>
      </c>
      <c r="J15" s="2215"/>
      <c r="K15" s="2216"/>
      <c r="L15" s="2215"/>
      <c r="M15" s="2216"/>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15层1819</v>
      </c>
      <c r="AY15" s="1808">
        <f>ROUND($AY$6*AZ15/$AZ$5,2)</f>
        <v>16.559999999999999</v>
      </c>
      <c r="AZ15" s="16">
        <f>BA15+BL15</f>
        <v>57.94</v>
      </c>
      <c r="BA15" s="16">
        <f>SUM(BB15:BK15)</f>
        <v>57.94</v>
      </c>
      <c r="BB15" s="16">
        <f>IF($D15="是",I15-J15,0)</f>
        <v>57.94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4"/>
      <c r="B16" s="1274"/>
      <c r="C16" s="1274" t="s">
        <v>3107</v>
      </c>
      <c r="D16" s="2214" t="s">
        <v>3117</v>
      </c>
      <c r="E16" s="16">
        <f>IF($C$3="是",ROUND($A$3*G16/$B$3,2),ROUND($A$3*(G16-AT16)/$B$3,2))</f>
        <v>15.83</v>
      </c>
      <c r="F16" s="32"/>
      <c r="G16" s="33">
        <f>H16+AC16+AT16</f>
        <v>55.4</v>
      </c>
      <c r="H16" s="20">
        <f>SUMIF(I$12:AB$12,"总值",I16:AB16)</f>
        <v>55.4</v>
      </c>
      <c r="I16" s="2216">
        <v>55.4</v>
      </c>
      <c r="J16" s="2215"/>
      <c r="K16" s="2216"/>
      <c r="L16" s="2215"/>
      <c r="M16" s="2216"/>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16层1906</v>
      </c>
      <c r="AY16" s="1808">
        <f>ROUND($AY$6*AZ16/$AZ$5,2)</f>
        <v>15.83</v>
      </c>
      <c r="AZ16" s="16">
        <f>BA16+BL16</f>
        <v>55.4</v>
      </c>
      <c r="BA16" s="16">
        <f>SUM(BB16:BK16)</f>
        <v>55.4</v>
      </c>
      <c r="BB16" s="16">
        <f>IF($D16="是",I16-J16,0)</f>
        <v>55.4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ustomHeight="1">
      <c r="A17" s="1274"/>
      <c r="B17" s="1274"/>
      <c r="C17" s="1274" t="s">
        <v>3108</v>
      </c>
      <c r="D17" s="2214" t="s">
        <v>3117</v>
      </c>
      <c r="E17" s="16">
        <f>IF($C$3="是",ROUND($A$3*G17/$B$3,2),ROUND($A$3*(G17-AT17)/$B$3,2))</f>
        <v>872.39</v>
      </c>
      <c r="F17" s="32"/>
      <c r="G17" s="33">
        <f>H17+AC17+AT17</f>
        <v>3052.4</v>
      </c>
      <c r="H17" s="20">
        <f>SUMIF(I$12:AB$12,"总值",I17:AB17)</f>
        <v>3052.4</v>
      </c>
      <c r="I17" s="2216"/>
      <c r="J17" s="2215"/>
      <c r="K17" s="2216">
        <v>3052.4</v>
      </c>
      <c r="L17" s="2215"/>
      <c r="M17" s="2216"/>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地下一层-101</v>
      </c>
      <c r="AY17" s="1808">
        <f>ROUND($AY$6*AZ17/$AZ$5,2)</f>
        <v>872.39</v>
      </c>
      <c r="AZ17" s="16">
        <f>BA17+BL17</f>
        <v>3052.4</v>
      </c>
      <c r="BA17" s="16">
        <f>SUM(BB17:BK17)</f>
        <v>3052.4</v>
      </c>
      <c r="BB17" s="16">
        <f>IF($D17="是",I17-J17,0)</f>
        <v>0</v>
      </c>
      <c r="BC17" s="16">
        <f>IF($D17="是",K17-L17,0)</f>
        <v>3052.4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2985" t="s">
        <v>3109</v>
      </c>
      <c r="D18" s="2214" t="s">
        <v>3117</v>
      </c>
      <c r="E18" s="35">
        <f t="shared" ref="E18:E112" si="7">IF($C$3="是",ROUND($A$3*G18/$B$3,2),ROUND($A$3*(G18-AT18)/$B$3,2))</f>
        <v>7.24</v>
      </c>
      <c r="F18" s="36"/>
      <c r="G18" s="37">
        <f t="shared" ref="G18:G109" si="8">H18+AC18+AT18</f>
        <v>25.33</v>
      </c>
      <c r="H18" s="38">
        <f t="shared" ref="H18:H109" si="9">SUMIF(I$12:AB$12,"总值",I18:AB18)</f>
        <v>25.33</v>
      </c>
      <c r="I18" s="40"/>
      <c r="J18" s="39"/>
      <c r="K18" s="40"/>
      <c r="L18" s="39"/>
      <c r="M18" s="2216">
        <v>25.33</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t="str">
        <f t="shared" ref="AX18:AX112" si="13">C18</f>
        <v>地下二层-202</v>
      </c>
      <c r="AY18" s="42">
        <f t="shared" ref="AY18:AY109" si="14">ROUND($AY$6*AZ18/$AZ$5,2)</f>
        <v>7.24</v>
      </c>
      <c r="AZ18" s="35">
        <f t="shared" ref="AZ18:AZ109" si="15">BA18+BL18</f>
        <v>25.33</v>
      </c>
      <c r="BA18" s="35">
        <f t="shared" ref="BA18:BA109" si="16">SUM(BB18:BK18)</f>
        <v>25.33</v>
      </c>
      <c r="BB18" s="35">
        <f t="shared" ref="BB18:BB109" si="17">IF($D18="是",I18-J18,0)</f>
        <v>0</v>
      </c>
      <c r="BC18" s="35">
        <f t="shared" ref="BC18:BC109" si="18">IF($D18="是",K18-L18,0)</f>
        <v>0</v>
      </c>
      <c r="BD18" s="35">
        <f t="shared" ref="BD18:BD109" si="19">IF($D18="是",M18-N18,0)</f>
        <v>25.33</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2.75" customHeight="1">
      <c r="A19" s="9"/>
      <c r="B19" s="34"/>
      <c r="C19" s="2985" t="s">
        <v>3110</v>
      </c>
      <c r="D19" s="2214" t="s">
        <v>3117</v>
      </c>
      <c r="E19" s="35">
        <f t="shared" si="7"/>
        <v>19.53</v>
      </c>
      <c r="F19" s="36"/>
      <c r="G19" s="37">
        <f t="shared" si="8"/>
        <v>68.33</v>
      </c>
      <c r="H19" s="38">
        <f t="shared" si="9"/>
        <v>68.33</v>
      </c>
      <c r="I19" s="40"/>
      <c r="J19" s="39"/>
      <c r="K19" s="40"/>
      <c r="L19" s="39"/>
      <c r="M19" s="2216">
        <v>68.33</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t="str">
        <f t="shared" si="13"/>
        <v>地下三层-301</v>
      </c>
      <c r="AY19" s="42">
        <f t="shared" si="14"/>
        <v>19.53</v>
      </c>
      <c r="AZ19" s="35">
        <f t="shared" si="15"/>
        <v>68.33</v>
      </c>
      <c r="BA19" s="35">
        <f t="shared" si="16"/>
        <v>68.33</v>
      </c>
      <c r="BB19" s="35">
        <f t="shared" si="17"/>
        <v>0</v>
      </c>
      <c r="BC19" s="35">
        <f t="shared" si="18"/>
        <v>0</v>
      </c>
      <c r="BD19" s="35">
        <f t="shared" si="19"/>
        <v>68.33</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2.75" customHeight="1">
      <c r="A20" s="9"/>
      <c r="B20" s="34"/>
      <c r="C20" s="2985" t="s">
        <v>3111</v>
      </c>
      <c r="D20" s="2214" t="s">
        <v>3117</v>
      </c>
      <c r="E20" s="35">
        <f t="shared" si="7"/>
        <v>12.15</v>
      </c>
      <c r="F20" s="36"/>
      <c r="G20" s="37">
        <f t="shared" si="8"/>
        <v>42.5</v>
      </c>
      <c r="H20" s="38">
        <f t="shared" si="9"/>
        <v>42.5</v>
      </c>
      <c r="I20" s="40"/>
      <c r="J20" s="39"/>
      <c r="K20" s="40"/>
      <c r="L20" s="39"/>
      <c r="M20" s="2216">
        <v>42.5</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t="str">
        <f t="shared" si="13"/>
        <v>地下三层-302</v>
      </c>
      <c r="AY20" s="42">
        <f t="shared" si="14"/>
        <v>12.15</v>
      </c>
      <c r="AZ20" s="35">
        <f t="shared" si="15"/>
        <v>42.5</v>
      </c>
      <c r="BA20" s="35">
        <f t="shared" si="16"/>
        <v>42.5</v>
      </c>
      <c r="BB20" s="35">
        <f t="shared" si="17"/>
        <v>0</v>
      </c>
      <c r="BC20" s="35">
        <f t="shared" si="18"/>
        <v>0</v>
      </c>
      <c r="BD20" s="35">
        <f t="shared" si="19"/>
        <v>42.5</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2.75" customHeight="1">
      <c r="A21" s="9"/>
      <c r="B21" s="34"/>
      <c r="C21" s="2985" t="s">
        <v>3112</v>
      </c>
      <c r="D21" s="2214" t="s">
        <v>3117</v>
      </c>
      <c r="E21" s="35">
        <f t="shared" si="7"/>
        <v>7.49</v>
      </c>
      <c r="F21" s="36"/>
      <c r="G21" s="37">
        <f t="shared" si="8"/>
        <v>26.21</v>
      </c>
      <c r="H21" s="38">
        <f t="shared" si="9"/>
        <v>26.21</v>
      </c>
      <c r="I21" s="40"/>
      <c r="J21" s="39"/>
      <c r="K21" s="40"/>
      <c r="L21" s="39"/>
      <c r="M21" s="2216">
        <v>26.21</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t="str">
        <f t="shared" si="13"/>
        <v>地下三层-303</v>
      </c>
      <c r="AY21" s="42">
        <f t="shared" si="14"/>
        <v>7.49</v>
      </c>
      <c r="AZ21" s="35">
        <f t="shared" si="15"/>
        <v>26.21</v>
      </c>
      <c r="BA21" s="35">
        <f t="shared" si="16"/>
        <v>26.21</v>
      </c>
      <c r="BB21" s="35">
        <f t="shared" si="17"/>
        <v>0</v>
      </c>
      <c r="BC21" s="35">
        <f t="shared" si="18"/>
        <v>0</v>
      </c>
      <c r="BD21" s="35">
        <f t="shared" si="19"/>
        <v>26.21</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2.75" customHeight="1">
      <c r="A22" s="9"/>
      <c r="B22" s="34"/>
      <c r="C22" s="2985" t="s">
        <v>3113</v>
      </c>
      <c r="D22" s="2214" t="s">
        <v>3117</v>
      </c>
      <c r="E22" s="35">
        <f t="shared" si="7"/>
        <v>10.75</v>
      </c>
      <c r="F22" s="36"/>
      <c r="G22" s="37">
        <f t="shared" si="8"/>
        <v>37.619999999999997</v>
      </c>
      <c r="H22" s="38">
        <f t="shared" si="9"/>
        <v>37.619999999999997</v>
      </c>
      <c r="I22" s="40"/>
      <c r="J22" s="39"/>
      <c r="K22" s="40"/>
      <c r="L22" s="39"/>
      <c r="M22" s="2216">
        <v>37.619999999999997</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t="str">
        <f t="shared" si="13"/>
        <v>地下三层-304</v>
      </c>
      <c r="AY22" s="42">
        <f t="shared" si="14"/>
        <v>10.75</v>
      </c>
      <c r="AZ22" s="35">
        <f t="shared" si="15"/>
        <v>37.619999999999997</v>
      </c>
      <c r="BA22" s="35">
        <f t="shared" si="16"/>
        <v>37.619999999999997</v>
      </c>
      <c r="BB22" s="35">
        <f t="shared" si="17"/>
        <v>0</v>
      </c>
      <c r="BC22" s="35">
        <f t="shared" si="18"/>
        <v>0</v>
      </c>
      <c r="BD22" s="35">
        <f t="shared" si="19"/>
        <v>37.619999999999997</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2.75" customHeight="1">
      <c r="A23" s="9"/>
      <c r="B23" s="34"/>
      <c r="C23" s="2985" t="s">
        <v>3114</v>
      </c>
      <c r="D23" s="2214" t="s">
        <v>3117</v>
      </c>
      <c r="E23" s="35">
        <f t="shared" si="7"/>
        <v>17.47</v>
      </c>
      <c r="F23" s="36"/>
      <c r="G23" s="37">
        <f t="shared" si="8"/>
        <v>61.13</v>
      </c>
      <c r="H23" s="38">
        <f t="shared" si="9"/>
        <v>61.13</v>
      </c>
      <c r="I23" s="40"/>
      <c r="J23" s="39"/>
      <c r="K23" s="40"/>
      <c r="L23" s="39"/>
      <c r="M23" s="2216">
        <v>61.13</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t="str">
        <f t="shared" si="13"/>
        <v>地下三层-305</v>
      </c>
      <c r="AY23" s="42">
        <f t="shared" si="14"/>
        <v>17.47</v>
      </c>
      <c r="AZ23" s="35">
        <f t="shared" si="15"/>
        <v>61.13</v>
      </c>
      <c r="BA23" s="35">
        <f t="shared" si="16"/>
        <v>61.13</v>
      </c>
      <c r="BB23" s="35">
        <f t="shared" si="17"/>
        <v>0</v>
      </c>
      <c r="BC23" s="35">
        <f t="shared" si="18"/>
        <v>0</v>
      </c>
      <c r="BD23" s="35">
        <f t="shared" si="19"/>
        <v>61.13</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2.75" customHeight="1">
      <c r="A24" s="9"/>
      <c r="B24" s="34"/>
      <c r="C24" s="2985" t="s">
        <v>3115</v>
      </c>
      <c r="D24" s="2214" t="s">
        <v>3117</v>
      </c>
      <c r="E24" s="35">
        <f t="shared" si="7"/>
        <v>11.96</v>
      </c>
      <c r="F24" s="36"/>
      <c r="G24" s="37">
        <f t="shared" si="8"/>
        <v>41.84</v>
      </c>
      <c r="H24" s="38">
        <f t="shared" si="9"/>
        <v>41.84</v>
      </c>
      <c r="I24" s="40"/>
      <c r="J24" s="39"/>
      <c r="K24" s="40"/>
      <c r="L24" s="39"/>
      <c r="M24" s="2216">
        <v>41.84</v>
      </c>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t="str">
        <f t="shared" si="13"/>
        <v>地下三层-306</v>
      </c>
      <c r="AY24" s="42">
        <f t="shared" si="14"/>
        <v>11.96</v>
      </c>
      <c r="AZ24" s="35">
        <f t="shared" si="15"/>
        <v>41.84</v>
      </c>
      <c r="BA24" s="35">
        <f t="shared" si="16"/>
        <v>41.84</v>
      </c>
      <c r="BB24" s="35">
        <f t="shared" si="17"/>
        <v>0</v>
      </c>
      <c r="BC24" s="35">
        <f t="shared" si="18"/>
        <v>0</v>
      </c>
      <c r="BD24" s="35">
        <f t="shared" si="19"/>
        <v>41.84</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2.75" customHeight="1">
      <c r="A25" s="9"/>
      <c r="B25" s="34"/>
      <c r="C25" s="2985" t="s">
        <v>3116</v>
      </c>
      <c r="D25" s="2214" t="s">
        <v>3117</v>
      </c>
      <c r="E25" s="35">
        <f t="shared" si="7"/>
        <v>5.94</v>
      </c>
      <c r="F25" s="36"/>
      <c r="G25" s="37">
        <f t="shared" si="8"/>
        <v>20.8</v>
      </c>
      <c r="H25" s="38">
        <f t="shared" si="9"/>
        <v>20.8</v>
      </c>
      <c r="I25" s="40"/>
      <c r="J25" s="39"/>
      <c r="K25" s="40"/>
      <c r="L25" s="39"/>
      <c r="M25" s="2216">
        <v>20.8</v>
      </c>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t="str">
        <f t="shared" si="13"/>
        <v>地下三层-307</v>
      </c>
      <c r="AY25" s="42">
        <f t="shared" si="14"/>
        <v>5.94</v>
      </c>
      <c r="AZ25" s="35">
        <f t="shared" si="15"/>
        <v>20.8</v>
      </c>
      <c r="BA25" s="35">
        <f t="shared" si="16"/>
        <v>20.8</v>
      </c>
      <c r="BB25" s="35">
        <f t="shared" si="17"/>
        <v>0</v>
      </c>
      <c r="BC25" s="35">
        <f t="shared" si="18"/>
        <v>0</v>
      </c>
      <c r="BD25" s="35">
        <f t="shared" si="19"/>
        <v>20.8</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40"/>
      <c r="J26" s="39"/>
      <c r="K26" s="40"/>
      <c r="L26" s="39"/>
      <c r="M26" s="40"/>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40"/>
      <c r="J27" s="39"/>
      <c r="K27" s="40"/>
      <c r="L27" s="39"/>
      <c r="M27" s="40"/>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40"/>
      <c r="J28" s="39"/>
      <c r="K28" s="40"/>
      <c r="L28" s="39"/>
      <c r="M28" s="40"/>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40"/>
      <c r="J29" s="39"/>
      <c r="K29" s="40"/>
      <c r="L29" s="39"/>
      <c r="M29" s="40"/>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40"/>
      <c r="J30" s="39"/>
      <c r="K30" s="40"/>
      <c r="L30" s="39"/>
      <c r="M30" s="40"/>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40"/>
      <c r="J31" s="39"/>
      <c r="K31" s="40"/>
      <c r="L31" s="39"/>
      <c r="M31" s="40"/>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40"/>
      <c r="J32" s="39"/>
      <c r="K32" s="40"/>
      <c r="L32" s="39"/>
      <c r="M32" s="40"/>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40"/>
      <c r="J33" s="39"/>
      <c r="K33" s="40"/>
      <c r="L33" s="39"/>
      <c r="M33" s="40"/>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40"/>
      <c r="J34" s="39"/>
      <c r="K34" s="40"/>
      <c r="L34" s="39"/>
      <c r="M34" s="40"/>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40"/>
      <c r="J35" s="39"/>
      <c r="K35" s="40"/>
      <c r="L35" s="39"/>
      <c r="M35" s="40"/>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40"/>
      <c r="J36" s="39"/>
      <c r="K36" s="40"/>
      <c r="L36" s="39"/>
      <c r="M36" s="40"/>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40"/>
      <c r="J37" s="39"/>
      <c r="K37" s="40"/>
      <c r="L37" s="39"/>
      <c r="M37" s="40"/>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40"/>
      <c r="J38" s="39"/>
      <c r="K38" s="40"/>
      <c r="L38" s="39"/>
      <c r="M38" s="40"/>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40"/>
      <c r="J39" s="39"/>
      <c r="K39" s="40"/>
      <c r="L39" s="39"/>
      <c r="M39" s="40"/>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40"/>
      <c r="J40" s="39"/>
      <c r="K40" s="40"/>
      <c r="L40" s="39"/>
      <c r="M40" s="40"/>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40"/>
      <c r="J41" s="39"/>
      <c r="K41" s="40"/>
      <c r="L41" s="39"/>
      <c r="M41" s="40"/>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40"/>
      <c r="J42" s="39"/>
      <c r="K42" s="40"/>
      <c r="L42" s="39"/>
      <c r="M42" s="40"/>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40"/>
      <c r="J43" s="39"/>
      <c r="K43" s="40"/>
      <c r="L43" s="39"/>
      <c r="M43" s="40"/>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40"/>
      <c r="J44" s="39"/>
      <c r="K44" s="40"/>
      <c r="L44" s="39"/>
      <c r="M44" s="40"/>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40"/>
      <c r="J45" s="39"/>
      <c r="K45" s="40"/>
      <c r="L45" s="39"/>
      <c r="M45" s="40"/>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40"/>
      <c r="J46" s="39"/>
      <c r="K46" s="40"/>
      <c r="L46" s="39"/>
      <c r="M46" s="40"/>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40"/>
      <c r="J47" s="39"/>
      <c r="K47" s="40"/>
      <c r="L47" s="39"/>
      <c r="M47" s="40"/>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40"/>
      <c r="J48" s="39"/>
      <c r="K48" s="40"/>
      <c r="L48" s="39"/>
      <c r="M48" s="40"/>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40"/>
      <c r="J49" s="39"/>
      <c r="K49" s="40"/>
      <c r="L49" s="39"/>
      <c r="M49" s="40"/>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40"/>
      <c r="J50" s="39"/>
      <c r="K50" s="40"/>
      <c r="L50" s="39"/>
      <c r="M50" s="40"/>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40"/>
      <c r="J51" s="39"/>
      <c r="K51" s="40"/>
      <c r="L51" s="39"/>
      <c r="M51" s="40"/>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40"/>
      <c r="J52" s="39"/>
      <c r="K52" s="40"/>
      <c r="L52" s="39"/>
      <c r="M52" s="40"/>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40"/>
      <c r="J53" s="39"/>
      <c r="K53" s="40"/>
      <c r="L53" s="39"/>
      <c r="M53" s="40"/>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40"/>
      <c r="J54" s="39"/>
      <c r="K54" s="40"/>
      <c r="L54" s="39"/>
      <c r="M54" s="40"/>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40"/>
      <c r="J55" s="39"/>
      <c r="K55" s="40"/>
      <c r="L55" s="39"/>
      <c r="M55" s="40"/>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40"/>
      <c r="J56" s="39"/>
      <c r="K56" s="40"/>
      <c r="L56" s="39"/>
      <c r="M56" s="40"/>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40"/>
      <c r="J57" s="39"/>
      <c r="K57" s="40"/>
      <c r="L57" s="39"/>
      <c r="M57" s="40"/>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40"/>
      <c r="J58" s="39"/>
      <c r="K58" s="40"/>
      <c r="L58" s="39"/>
      <c r="M58" s="40"/>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40"/>
      <c r="J59" s="39"/>
      <c r="K59" s="40"/>
      <c r="L59" s="39"/>
      <c r="M59" s="40"/>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40"/>
      <c r="J60" s="39"/>
      <c r="K60" s="40"/>
      <c r="L60" s="39"/>
      <c r="M60" s="40"/>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40"/>
      <c r="J61" s="39"/>
      <c r="K61" s="40"/>
      <c r="L61" s="39"/>
      <c r="M61" s="40"/>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40"/>
      <c r="J62" s="39"/>
      <c r="K62" s="40"/>
      <c r="L62" s="39"/>
      <c r="M62" s="40"/>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40"/>
      <c r="J63" s="39"/>
      <c r="K63" s="40"/>
      <c r="L63" s="39"/>
      <c r="M63" s="40"/>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40"/>
      <c r="J64" s="39"/>
      <c r="K64" s="40"/>
      <c r="L64" s="39"/>
      <c r="M64" s="40"/>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40"/>
      <c r="J65" s="39"/>
      <c r="K65" s="40"/>
      <c r="L65" s="39"/>
      <c r="M65" s="40"/>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40"/>
      <c r="J66" s="39"/>
      <c r="K66" s="40"/>
      <c r="L66" s="39"/>
      <c r="M66" s="40"/>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40"/>
      <c r="J67" s="39"/>
      <c r="K67" s="40"/>
      <c r="L67" s="39"/>
      <c r="M67" s="40"/>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40"/>
      <c r="J68" s="39"/>
      <c r="K68" s="40"/>
      <c r="L68" s="39"/>
      <c r="M68" s="40"/>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40"/>
      <c r="J69" s="39"/>
      <c r="K69" s="40"/>
      <c r="L69" s="39"/>
      <c r="M69" s="40"/>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40"/>
      <c r="J70" s="39"/>
      <c r="K70" s="40"/>
      <c r="L70" s="39"/>
      <c r="M70" s="40"/>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40"/>
      <c r="J71" s="39"/>
      <c r="K71" s="40"/>
      <c r="L71" s="39"/>
      <c r="M71" s="40"/>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40"/>
      <c r="J72" s="39"/>
      <c r="K72" s="40"/>
      <c r="L72" s="39"/>
      <c r="M72" s="40"/>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40"/>
      <c r="J73" s="39"/>
      <c r="K73" s="40"/>
      <c r="L73" s="39"/>
      <c r="M73" s="40"/>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40"/>
      <c r="J74" s="39"/>
      <c r="K74" s="40"/>
      <c r="L74" s="39"/>
      <c r="M74" s="40"/>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40"/>
      <c r="J75" s="39"/>
      <c r="K75" s="40"/>
      <c r="L75" s="39"/>
      <c r="M75" s="40"/>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40"/>
      <c r="J76" s="39"/>
      <c r="K76" s="40"/>
      <c r="L76" s="39"/>
      <c r="M76" s="40"/>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40"/>
      <c r="J77" s="39"/>
      <c r="K77" s="40"/>
      <c r="L77" s="39"/>
      <c r="M77" s="40"/>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40"/>
      <c r="J78" s="39"/>
      <c r="K78" s="40"/>
      <c r="L78" s="39"/>
      <c r="M78" s="40"/>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40"/>
      <c r="J79" s="39"/>
      <c r="K79" s="40"/>
      <c r="L79" s="39"/>
      <c r="M79" s="40"/>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40"/>
      <c r="J80" s="39"/>
      <c r="K80" s="40"/>
      <c r="L80" s="39"/>
      <c r="M80" s="40"/>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40"/>
      <c r="J81" s="39"/>
      <c r="K81" s="40"/>
      <c r="L81" s="39"/>
      <c r="M81" s="40"/>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40"/>
      <c r="J82" s="39"/>
      <c r="K82" s="40"/>
      <c r="L82" s="39"/>
      <c r="M82" s="40"/>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40"/>
      <c r="J83" s="39"/>
      <c r="K83" s="40"/>
      <c r="L83" s="39"/>
      <c r="M83" s="40"/>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40"/>
      <c r="J84" s="39"/>
      <c r="K84" s="40"/>
      <c r="L84" s="39"/>
      <c r="M84" s="40"/>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40"/>
      <c r="J85" s="39"/>
      <c r="K85" s="40"/>
      <c r="L85" s="39"/>
      <c r="M85" s="40"/>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40"/>
      <c r="J86" s="39"/>
      <c r="K86" s="40"/>
      <c r="L86" s="39"/>
      <c r="M86" s="40"/>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40"/>
      <c r="J87" s="39"/>
      <c r="K87" s="40"/>
      <c r="L87" s="39"/>
      <c r="M87" s="40"/>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40"/>
      <c r="J88" s="39"/>
      <c r="K88" s="40"/>
      <c r="L88" s="39"/>
      <c r="M88" s="40"/>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40"/>
      <c r="J89" s="39"/>
      <c r="K89" s="40"/>
      <c r="L89" s="39"/>
      <c r="M89" s="40"/>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40"/>
      <c r="J90" s="39"/>
      <c r="K90" s="40"/>
      <c r="L90" s="39"/>
      <c r="M90" s="40"/>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40"/>
      <c r="J91" s="39"/>
      <c r="K91" s="40"/>
      <c r="L91" s="39"/>
      <c r="M91" s="40"/>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40"/>
      <c r="J92" s="39"/>
      <c r="K92" s="40"/>
      <c r="L92" s="39"/>
      <c r="M92" s="40"/>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40"/>
      <c r="J93" s="39"/>
      <c r="K93" s="40"/>
      <c r="L93" s="39"/>
      <c r="M93" s="40"/>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40"/>
      <c r="J94" s="39"/>
      <c r="K94" s="40"/>
      <c r="L94" s="39"/>
      <c r="M94" s="40"/>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40"/>
      <c r="J95" s="39"/>
      <c r="K95" s="40"/>
      <c r="L95" s="39"/>
      <c r="M95" s="40"/>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40"/>
      <c r="J96" s="39"/>
      <c r="K96" s="40"/>
      <c r="L96" s="39"/>
      <c r="M96" s="40"/>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40"/>
      <c r="J97" s="39"/>
      <c r="K97" s="40"/>
      <c r="L97" s="39"/>
      <c r="M97" s="40"/>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40"/>
      <c r="J98" s="39"/>
      <c r="K98" s="40"/>
      <c r="L98" s="39"/>
      <c r="M98" s="40"/>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40"/>
      <c r="J99" s="39"/>
      <c r="K99" s="40"/>
      <c r="L99" s="39"/>
      <c r="M99" s="40"/>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40"/>
      <c r="J100" s="39"/>
      <c r="K100" s="40"/>
      <c r="L100" s="39"/>
      <c r="M100" s="40"/>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40"/>
      <c r="J101" s="39"/>
      <c r="K101" s="40"/>
      <c r="L101" s="39"/>
      <c r="M101" s="40"/>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40"/>
      <c r="J102" s="39"/>
      <c r="K102" s="40"/>
      <c r="L102" s="39"/>
      <c r="M102" s="40"/>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40"/>
      <c r="J103" s="39"/>
      <c r="K103" s="40"/>
      <c r="L103" s="39"/>
      <c r="M103" s="40"/>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40"/>
      <c r="J104" s="39"/>
      <c r="K104" s="40"/>
      <c r="L104" s="39"/>
      <c r="M104" s="40"/>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40"/>
      <c r="J105" s="39"/>
      <c r="K105" s="40"/>
      <c r="L105" s="39"/>
      <c r="M105" s="40"/>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40"/>
      <c r="J106" s="39"/>
      <c r="K106" s="40"/>
      <c r="L106" s="39"/>
      <c r="M106" s="40"/>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40"/>
      <c r="J107" s="39"/>
      <c r="K107" s="40"/>
      <c r="L107" s="39"/>
      <c r="M107" s="40"/>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40"/>
      <c r="J108" s="39"/>
      <c r="K108" s="40"/>
      <c r="L108" s="39"/>
      <c r="M108" s="40"/>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40"/>
      <c r="J109" s="39"/>
      <c r="K109" s="40"/>
      <c r="L109" s="39"/>
      <c r="M109" s="40"/>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9"/>
      <c r="J110" s="10"/>
      <c r="K110" s="40"/>
      <c r="L110" s="39"/>
      <c r="M110" s="40"/>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40"/>
      <c r="J111" s="39"/>
      <c r="K111" s="40"/>
      <c r="L111" s="39"/>
      <c r="M111" s="40"/>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40"/>
      <c r="J112" s="39"/>
      <c r="K112" s="40"/>
      <c r="L112" s="39"/>
      <c r="M112" s="40"/>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40"/>
      <c r="J113" s="39"/>
      <c r="K113" s="40"/>
      <c r="L113" s="39"/>
      <c r="M113" s="40"/>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40"/>
      <c r="J114" s="39"/>
      <c r="K114" s="40"/>
      <c r="L114" s="39"/>
      <c r="M114" s="40"/>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40"/>
      <c r="J115" s="39"/>
      <c r="K115" s="40"/>
      <c r="L115" s="39"/>
      <c r="M115" s="40"/>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40"/>
      <c r="J116" s="39"/>
      <c r="K116" s="40"/>
      <c r="L116" s="39"/>
      <c r="M116" s="40"/>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40"/>
      <c r="J117" s="39"/>
      <c r="K117" s="40"/>
      <c r="L117" s="39"/>
      <c r="M117" s="40"/>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40"/>
      <c r="J118" s="39"/>
      <c r="K118" s="40"/>
      <c r="L118" s="39"/>
      <c r="M118" s="40"/>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40"/>
      <c r="J119" s="39"/>
      <c r="K119" s="40"/>
      <c r="L119" s="39"/>
      <c r="M119" s="40"/>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40"/>
      <c r="J120" s="39"/>
      <c r="K120" s="40"/>
      <c r="L120" s="39"/>
      <c r="M120" s="40"/>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40"/>
      <c r="J121" s="39"/>
      <c r="K121" s="40"/>
      <c r="L121" s="39"/>
      <c r="M121" s="40"/>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40"/>
      <c r="J122" s="39"/>
      <c r="K122" s="40"/>
      <c r="L122" s="39"/>
      <c r="M122" s="40"/>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40"/>
      <c r="J123" s="39"/>
      <c r="K123" s="40"/>
      <c r="L123" s="39"/>
      <c r="M123" s="40"/>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40"/>
      <c r="J124" s="39"/>
      <c r="K124" s="40"/>
      <c r="L124" s="39"/>
      <c r="M124" s="40"/>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40"/>
      <c r="J125" s="39"/>
      <c r="K125" s="40"/>
      <c r="L125" s="39"/>
      <c r="M125" s="40"/>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40"/>
      <c r="J126" s="39"/>
      <c r="K126" s="40"/>
      <c r="L126" s="39"/>
      <c r="M126" s="40"/>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40"/>
      <c r="J127" s="39"/>
      <c r="K127" s="40"/>
      <c r="L127" s="39"/>
      <c r="M127" s="40"/>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40"/>
      <c r="J128" s="39"/>
      <c r="K128" s="40"/>
      <c r="L128" s="39"/>
      <c r="M128" s="40"/>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40"/>
      <c r="J129" s="39"/>
      <c r="K129" s="40"/>
      <c r="L129" s="39"/>
      <c r="M129" s="40"/>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40"/>
      <c r="J130" s="39"/>
      <c r="K130" s="40"/>
      <c r="L130" s="39"/>
      <c r="M130" s="40"/>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40"/>
      <c r="J131" s="39"/>
      <c r="K131" s="40"/>
      <c r="L131" s="39"/>
      <c r="M131" s="40"/>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40"/>
      <c r="J132" s="39"/>
      <c r="K132" s="40"/>
      <c r="L132" s="39"/>
      <c r="M132" s="40"/>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40"/>
      <c r="J133" s="39"/>
      <c r="K133" s="40"/>
      <c r="L133" s="39"/>
      <c r="M133" s="40"/>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40"/>
      <c r="J134" s="39"/>
      <c r="K134" s="40"/>
      <c r="L134" s="39"/>
      <c r="M134" s="40"/>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40"/>
      <c r="J135" s="39"/>
      <c r="K135" s="40"/>
      <c r="L135" s="39"/>
      <c r="M135" s="40"/>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40"/>
      <c r="J136" s="39"/>
      <c r="K136" s="40"/>
      <c r="L136" s="39"/>
      <c r="M136" s="40"/>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40"/>
      <c r="J137" s="39"/>
      <c r="K137" s="40"/>
      <c r="L137" s="39"/>
      <c r="M137" s="40"/>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40"/>
      <c r="J138" s="39"/>
      <c r="K138" s="40"/>
      <c r="L138" s="39"/>
      <c r="M138" s="40"/>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40"/>
      <c r="J139" s="39"/>
      <c r="K139" s="40"/>
      <c r="L139" s="39"/>
      <c r="M139" s="40"/>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40"/>
      <c r="J140" s="39"/>
      <c r="K140" s="40"/>
      <c r="L140" s="39"/>
      <c r="M140" s="40"/>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40"/>
      <c r="J141" s="39"/>
      <c r="K141" s="40"/>
      <c r="L141" s="39"/>
      <c r="M141" s="40"/>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40"/>
      <c r="J142" s="39"/>
      <c r="K142" s="40"/>
      <c r="L142" s="39"/>
      <c r="M142" s="40"/>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40"/>
      <c r="J143" s="39"/>
      <c r="K143" s="40"/>
      <c r="L143" s="39"/>
      <c r="M143" s="40"/>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40"/>
      <c r="J144" s="39"/>
      <c r="K144" s="40"/>
      <c r="L144" s="39"/>
      <c r="M144" s="40"/>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40"/>
      <c r="J145" s="39"/>
      <c r="K145" s="40"/>
      <c r="L145" s="39"/>
      <c r="M145" s="40"/>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40"/>
      <c r="J146" s="39"/>
      <c r="K146" s="40"/>
      <c r="L146" s="39"/>
      <c r="M146" s="40"/>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40"/>
      <c r="J147" s="39"/>
      <c r="K147" s="40"/>
      <c r="L147" s="39"/>
      <c r="M147" s="40"/>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40"/>
      <c r="J148" s="39"/>
      <c r="K148" s="40"/>
      <c r="L148" s="39"/>
      <c r="M148" s="40"/>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40"/>
      <c r="J149" s="39"/>
      <c r="K149" s="40"/>
      <c r="L149" s="39"/>
      <c r="M149" s="40"/>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40"/>
      <c r="J150" s="39"/>
      <c r="K150" s="40"/>
      <c r="L150" s="39"/>
      <c r="M150" s="40"/>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40"/>
      <c r="J151" s="39"/>
      <c r="K151" s="40"/>
      <c r="L151" s="39"/>
      <c r="M151" s="40"/>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40"/>
      <c r="J152" s="39"/>
      <c r="K152" s="40"/>
      <c r="L152" s="39"/>
      <c r="M152" s="40"/>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40"/>
      <c r="J153" s="39"/>
      <c r="K153" s="40"/>
      <c r="L153" s="39"/>
      <c r="M153" s="40"/>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40"/>
      <c r="J154" s="39"/>
      <c r="K154" s="40"/>
      <c r="L154" s="39"/>
      <c r="M154" s="40"/>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40"/>
      <c r="J155" s="39"/>
      <c r="K155" s="40"/>
      <c r="L155" s="39"/>
      <c r="M155" s="40"/>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40"/>
      <c r="J156" s="39"/>
      <c r="K156" s="40"/>
      <c r="L156" s="39"/>
      <c r="M156" s="40"/>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40"/>
      <c r="J157" s="39"/>
      <c r="K157" s="40"/>
      <c r="L157" s="39"/>
      <c r="M157" s="40"/>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40"/>
      <c r="J158" s="39"/>
      <c r="K158" s="40"/>
      <c r="L158" s="39"/>
      <c r="M158" s="40"/>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40"/>
      <c r="J159" s="39"/>
      <c r="K159" s="40"/>
      <c r="L159" s="39"/>
      <c r="M159" s="40"/>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40"/>
      <c r="J160" s="39"/>
      <c r="K160" s="40"/>
      <c r="L160" s="39"/>
      <c r="M160" s="40"/>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40"/>
      <c r="J161" s="39"/>
      <c r="K161" s="40"/>
      <c r="L161" s="39"/>
      <c r="M161" s="40"/>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40"/>
      <c r="J162" s="39"/>
      <c r="K162" s="40"/>
      <c r="L162" s="39"/>
      <c r="M162" s="40"/>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40"/>
      <c r="J163" s="39"/>
      <c r="K163" s="40"/>
      <c r="L163" s="39"/>
      <c r="M163" s="40"/>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40"/>
      <c r="J164" s="39"/>
      <c r="K164" s="40"/>
      <c r="L164" s="39"/>
      <c r="M164" s="40"/>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40"/>
      <c r="J165" s="39"/>
      <c r="K165" s="40"/>
      <c r="L165" s="39"/>
      <c r="M165" s="40"/>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40"/>
      <c r="J166" s="39"/>
      <c r="K166" s="40"/>
      <c r="L166" s="39"/>
      <c r="M166" s="40"/>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40"/>
      <c r="J167" s="39"/>
      <c r="K167" s="40"/>
      <c r="L167" s="39"/>
      <c r="M167" s="40"/>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40"/>
      <c r="J168" s="39"/>
      <c r="K168" s="40"/>
      <c r="L168" s="39"/>
      <c r="M168" s="40"/>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40"/>
      <c r="J169" s="39"/>
      <c r="K169" s="40"/>
      <c r="L169" s="39"/>
      <c r="M169" s="40"/>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40"/>
      <c r="J170" s="39"/>
      <c r="K170" s="40"/>
      <c r="L170" s="39"/>
      <c r="M170" s="40"/>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40"/>
      <c r="J171" s="39"/>
      <c r="K171" s="40"/>
      <c r="L171" s="39"/>
      <c r="M171" s="40"/>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40"/>
      <c r="J172" s="39"/>
      <c r="K172" s="40"/>
      <c r="L172" s="39"/>
      <c r="M172" s="40"/>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40"/>
      <c r="J173" s="39"/>
      <c r="K173" s="40"/>
      <c r="L173" s="39"/>
      <c r="M173" s="40"/>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40"/>
      <c r="J174" s="39"/>
      <c r="K174" s="40"/>
      <c r="L174" s="39"/>
      <c r="M174" s="40"/>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40"/>
      <c r="J175" s="39"/>
      <c r="K175" s="40"/>
      <c r="L175" s="39"/>
      <c r="M175" s="40"/>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40"/>
      <c r="J176" s="39"/>
      <c r="K176" s="40"/>
      <c r="L176" s="39"/>
      <c r="M176" s="40"/>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40"/>
      <c r="J177" s="39"/>
      <c r="K177" s="40"/>
      <c r="L177" s="39"/>
      <c r="M177" s="40"/>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40"/>
      <c r="J178" s="39"/>
      <c r="K178" s="40"/>
      <c r="L178" s="39"/>
      <c r="M178" s="40"/>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40"/>
      <c r="J179" s="39"/>
      <c r="K179" s="40"/>
      <c r="L179" s="39"/>
      <c r="M179" s="40"/>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40"/>
      <c r="J180" s="39"/>
      <c r="K180" s="40"/>
      <c r="L180" s="39"/>
      <c r="M180" s="40"/>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40"/>
      <c r="J181" s="39"/>
      <c r="K181" s="40"/>
      <c r="L181" s="39"/>
      <c r="M181" s="40"/>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40"/>
      <c r="J182" s="39"/>
      <c r="K182" s="40"/>
      <c r="L182" s="39"/>
      <c r="M182" s="40"/>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40"/>
      <c r="J183" s="39"/>
      <c r="K183" s="40"/>
      <c r="L183" s="39"/>
      <c r="M183" s="40"/>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40"/>
      <c r="J184" s="39"/>
      <c r="K184" s="40"/>
      <c r="L184" s="39"/>
      <c r="M184" s="40"/>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40"/>
      <c r="J185" s="39"/>
      <c r="K185" s="40"/>
      <c r="L185" s="39"/>
      <c r="M185" s="40"/>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40"/>
      <c r="J186" s="39"/>
      <c r="K186" s="40"/>
      <c r="L186" s="39"/>
      <c r="M186" s="40"/>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40"/>
      <c r="J187" s="39"/>
      <c r="K187" s="40"/>
      <c r="L187" s="39"/>
      <c r="M187" s="40"/>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40"/>
      <c r="J188" s="39"/>
      <c r="K188" s="40"/>
      <c r="L188" s="39"/>
      <c r="M188" s="40"/>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40"/>
      <c r="J189" s="39"/>
      <c r="K189" s="40"/>
      <c r="L189" s="39"/>
      <c r="M189" s="40"/>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40"/>
      <c r="J190" s="39"/>
      <c r="K190" s="40"/>
      <c r="L190" s="39"/>
      <c r="M190" s="40"/>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40"/>
      <c r="J191" s="39"/>
      <c r="K191" s="40"/>
      <c r="L191" s="39"/>
      <c r="M191" s="40"/>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40"/>
      <c r="J192" s="39"/>
      <c r="K192" s="40"/>
      <c r="L192" s="39"/>
      <c r="M192" s="40"/>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40"/>
      <c r="J193" s="39"/>
      <c r="K193" s="40"/>
      <c r="L193" s="39"/>
      <c r="M193" s="40"/>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40"/>
      <c r="J194" s="39"/>
      <c r="K194" s="40"/>
      <c r="L194" s="39"/>
      <c r="M194" s="40"/>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40"/>
      <c r="J195" s="39"/>
      <c r="K195" s="40"/>
      <c r="L195" s="39"/>
      <c r="M195" s="40"/>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40"/>
      <c r="J196" s="39"/>
      <c r="K196" s="40"/>
      <c r="L196" s="39"/>
      <c r="M196" s="40"/>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40"/>
      <c r="J197" s="39"/>
      <c r="K197" s="40"/>
      <c r="L197" s="39"/>
      <c r="M197" s="40"/>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40"/>
      <c r="J198" s="39"/>
      <c r="K198" s="40"/>
      <c r="L198" s="39"/>
      <c r="M198" s="40"/>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40"/>
      <c r="J199" s="39"/>
      <c r="K199" s="40"/>
      <c r="L199" s="39"/>
      <c r="M199" s="40"/>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40"/>
      <c r="J200" s="39"/>
      <c r="K200" s="40"/>
      <c r="L200" s="39"/>
      <c r="M200" s="40"/>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40"/>
      <c r="J201" s="39"/>
      <c r="K201" s="40"/>
      <c r="L201" s="39"/>
      <c r="M201" s="40"/>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40"/>
      <c r="J202" s="39"/>
      <c r="K202" s="40"/>
      <c r="L202" s="39"/>
      <c r="M202" s="40"/>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40"/>
      <c r="J203" s="39"/>
      <c r="K203" s="40"/>
      <c r="L203" s="39"/>
      <c r="M203" s="40"/>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40"/>
      <c r="J204" s="39"/>
      <c r="K204" s="40"/>
      <c r="L204" s="39"/>
      <c r="M204" s="40"/>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9"/>
      <c r="J205" s="10"/>
      <c r="K205" s="40"/>
      <c r="L205" s="39"/>
      <c r="M205" s="40"/>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40"/>
      <c r="J206" s="39"/>
      <c r="K206" s="40"/>
      <c r="L206" s="39"/>
      <c r="M206" s="40"/>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40"/>
      <c r="J207" s="39"/>
      <c r="K207" s="40"/>
      <c r="L207" s="39"/>
      <c r="M207" s="40"/>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40"/>
      <c r="J208" s="39"/>
      <c r="K208" s="40"/>
      <c r="L208" s="39"/>
      <c r="M208" s="40"/>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40"/>
      <c r="J209" s="39"/>
      <c r="K209" s="40"/>
      <c r="L209" s="39"/>
      <c r="M209" s="40"/>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40"/>
      <c r="J210" s="39"/>
      <c r="K210" s="40"/>
      <c r="L210" s="39"/>
      <c r="M210" s="40"/>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40"/>
      <c r="J211" s="39"/>
      <c r="K211" s="40"/>
      <c r="L211" s="39"/>
      <c r="M211" s="40"/>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40"/>
      <c r="J212" s="39"/>
      <c r="K212" s="40"/>
      <c r="L212" s="39"/>
      <c r="M212" s="40"/>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40"/>
      <c r="J213" s="39"/>
      <c r="K213" s="40"/>
      <c r="L213" s="39"/>
      <c r="M213" s="40"/>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40"/>
      <c r="J214" s="39"/>
      <c r="K214" s="40"/>
      <c r="L214" s="39"/>
      <c r="M214" s="40"/>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40"/>
      <c r="J215" s="39"/>
      <c r="K215" s="40"/>
      <c r="L215" s="39"/>
      <c r="M215" s="40"/>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40"/>
      <c r="J216" s="39"/>
      <c r="K216" s="40"/>
      <c r="L216" s="39"/>
      <c r="M216" s="40"/>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40"/>
      <c r="J217" s="39"/>
      <c r="K217" s="40"/>
      <c r="L217" s="39"/>
      <c r="M217" s="40"/>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40"/>
      <c r="J218" s="39"/>
      <c r="K218" s="40"/>
      <c r="L218" s="39"/>
      <c r="M218" s="40"/>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40"/>
      <c r="J219" s="39"/>
      <c r="K219" s="40"/>
      <c r="L219" s="39"/>
      <c r="M219" s="40"/>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40"/>
      <c r="J220" s="39"/>
      <c r="K220" s="40"/>
      <c r="L220" s="39"/>
      <c r="M220" s="40"/>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40"/>
      <c r="J221" s="39"/>
      <c r="K221" s="40"/>
      <c r="L221" s="39"/>
      <c r="M221" s="40"/>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40"/>
      <c r="J222" s="39"/>
      <c r="K222" s="40"/>
      <c r="L222" s="39"/>
      <c r="M222" s="40"/>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40"/>
      <c r="J223" s="39"/>
      <c r="K223" s="40"/>
      <c r="L223" s="39"/>
      <c r="M223" s="40"/>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40"/>
      <c r="J224" s="39"/>
      <c r="K224" s="40"/>
      <c r="L224" s="39"/>
      <c r="M224" s="40"/>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40"/>
      <c r="J225" s="39"/>
      <c r="K225" s="40"/>
      <c r="L225" s="39"/>
      <c r="M225" s="40"/>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40"/>
      <c r="J226" s="39"/>
      <c r="K226" s="40"/>
      <c r="L226" s="39"/>
      <c r="M226" s="40"/>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40"/>
      <c r="J227" s="39"/>
      <c r="K227" s="40"/>
      <c r="L227" s="39"/>
      <c r="M227" s="40"/>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40"/>
      <c r="J228" s="39"/>
      <c r="K228" s="40"/>
      <c r="L228" s="39"/>
      <c r="M228" s="40"/>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40"/>
      <c r="J229" s="39"/>
      <c r="K229" s="40"/>
      <c r="L229" s="39"/>
      <c r="M229" s="40"/>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40"/>
      <c r="J230" s="39"/>
      <c r="K230" s="40"/>
      <c r="L230" s="39"/>
      <c r="M230" s="40"/>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40"/>
      <c r="J231" s="39"/>
      <c r="K231" s="40"/>
      <c r="L231" s="39"/>
      <c r="M231" s="40"/>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40"/>
      <c r="J232" s="39"/>
      <c r="K232" s="40"/>
      <c r="L232" s="39"/>
      <c r="M232" s="40"/>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40"/>
      <c r="J233" s="39"/>
      <c r="K233" s="40"/>
      <c r="L233" s="39"/>
      <c r="M233" s="40"/>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40"/>
      <c r="J234" s="39"/>
      <c r="K234" s="40"/>
      <c r="L234" s="39"/>
      <c r="M234" s="40"/>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40"/>
      <c r="J235" s="39"/>
      <c r="K235" s="40"/>
      <c r="L235" s="39"/>
      <c r="M235" s="40"/>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40"/>
      <c r="J236" s="39"/>
      <c r="K236" s="40"/>
      <c r="L236" s="39"/>
      <c r="M236" s="40"/>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40"/>
      <c r="J237" s="39"/>
      <c r="K237" s="40"/>
      <c r="L237" s="39"/>
      <c r="M237" s="40"/>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40"/>
      <c r="J238" s="39"/>
      <c r="K238" s="40"/>
      <c r="L238" s="39"/>
      <c r="M238" s="40"/>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40"/>
      <c r="J239" s="39"/>
      <c r="K239" s="40"/>
      <c r="L239" s="39"/>
      <c r="M239" s="40"/>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40"/>
      <c r="J240" s="39"/>
      <c r="K240" s="40"/>
      <c r="L240" s="39"/>
      <c r="M240" s="40"/>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40"/>
      <c r="J241" s="39"/>
      <c r="K241" s="40"/>
      <c r="L241" s="39"/>
      <c r="M241" s="40"/>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40"/>
      <c r="J242" s="39"/>
      <c r="K242" s="40"/>
      <c r="L242" s="39"/>
      <c r="M242" s="40"/>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40"/>
      <c r="J243" s="39"/>
      <c r="K243" s="40"/>
      <c r="L243" s="39"/>
      <c r="M243" s="40"/>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40"/>
      <c r="J244" s="39"/>
      <c r="K244" s="40"/>
      <c r="L244" s="39"/>
      <c r="M244" s="40"/>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40"/>
      <c r="J245" s="39"/>
      <c r="K245" s="40"/>
      <c r="L245" s="39"/>
      <c r="M245" s="40"/>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40"/>
      <c r="J246" s="39"/>
      <c r="K246" s="40"/>
      <c r="L246" s="39"/>
      <c r="M246" s="40"/>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40"/>
      <c r="J247" s="39"/>
      <c r="K247" s="40"/>
      <c r="L247" s="39"/>
      <c r="M247" s="40"/>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40"/>
      <c r="J248" s="39"/>
      <c r="K248" s="40"/>
      <c r="L248" s="39"/>
      <c r="M248" s="40"/>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40"/>
      <c r="J249" s="39"/>
      <c r="K249" s="40"/>
      <c r="L249" s="39"/>
      <c r="M249" s="40"/>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40"/>
      <c r="J250" s="39"/>
      <c r="K250" s="40"/>
      <c r="L250" s="39"/>
      <c r="M250" s="40"/>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40"/>
      <c r="J251" s="39"/>
      <c r="K251" s="40"/>
      <c r="L251" s="39"/>
      <c r="M251" s="40"/>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40"/>
      <c r="J252" s="39"/>
      <c r="K252" s="40"/>
      <c r="L252" s="39"/>
      <c r="M252" s="40"/>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40"/>
      <c r="J253" s="39"/>
      <c r="K253" s="40"/>
      <c r="L253" s="39"/>
      <c r="M253" s="40"/>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40"/>
      <c r="J254" s="39"/>
      <c r="K254" s="40"/>
      <c r="L254" s="39"/>
      <c r="M254" s="40"/>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40"/>
      <c r="J255" s="39"/>
      <c r="K255" s="40"/>
      <c r="L255" s="39"/>
      <c r="M255" s="40"/>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40"/>
      <c r="J256" s="39"/>
      <c r="K256" s="40"/>
      <c r="L256" s="39"/>
      <c r="M256" s="40"/>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40"/>
      <c r="J257" s="39"/>
      <c r="K257" s="40"/>
      <c r="L257" s="39"/>
      <c r="M257" s="40"/>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40"/>
      <c r="J258" s="39"/>
      <c r="K258" s="40"/>
      <c r="L258" s="39"/>
      <c r="M258" s="40"/>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40"/>
      <c r="J259" s="39"/>
      <c r="K259" s="40"/>
      <c r="L259" s="39"/>
      <c r="M259" s="40"/>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40"/>
      <c r="J260" s="39"/>
      <c r="K260" s="40"/>
      <c r="L260" s="39"/>
      <c r="M260" s="40"/>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40"/>
      <c r="J261" s="39"/>
      <c r="K261" s="40"/>
      <c r="L261" s="39"/>
      <c r="M261" s="40"/>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40"/>
      <c r="J262" s="39"/>
      <c r="K262" s="40"/>
      <c r="L262" s="39"/>
      <c r="M262" s="40"/>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40"/>
      <c r="J263" s="39"/>
      <c r="K263" s="40"/>
      <c r="L263" s="39"/>
      <c r="M263" s="40"/>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40"/>
      <c r="J264" s="39"/>
      <c r="K264" s="40"/>
      <c r="L264" s="39"/>
      <c r="M264" s="40"/>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40"/>
      <c r="J265" s="39"/>
      <c r="K265" s="40"/>
      <c r="L265" s="39"/>
      <c r="M265" s="40"/>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40"/>
      <c r="J266" s="39"/>
      <c r="K266" s="40"/>
      <c r="L266" s="39"/>
      <c r="M266" s="40"/>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40"/>
      <c r="J267" s="39"/>
      <c r="K267" s="40"/>
      <c r="L267" s="39"/>
      <c r="M267" s="40"/>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40"/>
      <c r="J268" s="39"/>
      <c r="K268" s="40"/>
      <c r="L268" s="39"/>
      <c r="M268" s="40"/>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40"/>
      <c r="J269" s="39"/>
      <c r="K269" s="40"/>
      <c r="L269" s="39"/>
      <c r="M269" s="40"/>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40"/>
      <c r="J270" s="39"/>
      <c r="K270" s="40"/>
      <c r="L270" s="39"/>
      <c r="M270" s="40"/>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40"/>
      <c r="J271" s="39"/>
      <c r="K271" s="40"/>
      <c r="L271" s="39"/>
      <c r="M271" s="40"/>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40"/>
      <c r="J272" s="39"/>
      <c r="K272" s="40"/>
      <c r="L272" s="39"/>
      <c r="M272" s="40"/>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40"/>
      <c r="J273" s="39"/>
      <c r="K273" s="40"/>
      <c r="L273" s="39"/>
      <c r="M273" s="40"/>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40"/>
      <c r="J274" s="39"/>
      <c r="K274" s="40"/>
      <c r="L274" s="39"/>
      <c r="M274" s="40"/>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40"/>
      <c r="J275" s="39"/>
      <c r="K275" s="40"/>
      <c r="L275" s="39"/>
      <c r="M275" s="40"/>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40"/>
      <c r="J276" s="39"/>
      <c r="K276" s="40"/>
      <c r="L276" s="39"/>
      <c r="M276" s="40"/>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40"/>
      <c r="J277" s="39"/>
      <c r="K277" s="40"/>
      <c r="L277" s="39"/>
      <c r="M277" s="40"/>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40"/>
      <c r="J278" s="39"/>
      <c r="K278" s="40"/>
      <c r="L278" s="39"/>
      <c r="M278" s="40"/>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40"/>
      <c r="J279" s="39"/>
      <c r="K279" s="40"/>
      <c r="L279" s="39"/>
      <c r="M279" s="40"/>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40"/>
      <c r="J280" s="39"/>
      <c r="K280" s="40"/>
      <c r="L280" s="39"/>
      <c r="M280" s="40"/>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40"/>
      <c r="J281" s="39"/>
      <c r="K281" s="40"/>
      <c r="L281" s="39"/>
      <c r="M281" s="40"/>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40"/>
      <c r="J282" s="39"/>
      <c r="K282" s="40"/>
      <c r="L282" s="39"/>
      <c r="M282" s="40"/>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40"/>
      <c r="J283" s="39"/>
      <c r="K283" s="40"/>
      <c r="L283" s="39"/>
      <c r="M283" s="40"/>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40"/>
      <c r="J284" s="39"/>
      <c r="K284" s="40"/>
      <c r="L284" s="39"/>
      <c r="M284" s="40"/>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40"/>
      <c r="J285" s="39"/>
      <c r="K285" s="40"/>
      <c r="L285" s="39"/>
      <c r="M285" s="40"/>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40"/>
      <c r="J286" s="39"/>
      <c r="K286" s="40"/>
      <c r="L286" s="39"/>
      <c r="M286" s="40"/>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40"/>
      <c r="J287" s="39"/>
      <c r="K287" s="40"/>
      <c r="L287" s="39"/>
      <c r="M287" s="40"/>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40"/>
      <c r="J288" s="39"/>
      <c r="K288" s="40"/>
      <c r="L288" s="39"/>
      <c r="M288" s="40"/>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40"/>
      <c r="J289" s="39"/>
      <c r="K289" s="40"/>
      <c r="L289" s="39"/>
      <c r="M289" s="40"/>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40"/>
      <c r="J290" s="39"/>
      <c r="K290" s="40"/>
      <c r="L290" s="39"/>
      <c r="M290" s="40"/>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40"/>
      <c r="J291" s="39"/>
      <c r="K291" s="40"/>
      <c r="L291" s="39"/>
      <c r="M291" s="40"/>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40"/>
      <c r="J292" s="39"/>
      <c r="K292" s="40"/>
      <c r="L292" s="39"/>
      <c r="M292" s="40"/>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40"/>
      <c r="J293" s="39"/>
      <c r="K293" s="40"/>
      <c r="L293" s="39"/>
      <c r="M293" s="40"/>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40"/>
      <c r="J294" s="39"/>
      <c r="K294" s="40"/>
      <c r="L294" s="39"/>
      <c r="M294" s="40"/>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40"/>
      <c r="J295" s="39"/>
      <c r="K295" s="40"/>
      <c r="L295" s="39"/>
      <c r="M295" s="40"/>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40"/>
      <c r="J296" s="39"/>
      <c r="K296" s="40"/>
      <c r="L296" s="39"/>
      <c r="M296" s="40"/>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40"/>
      <c r="J297" s="39"/>
      <c r="K297" s="40"/>
      <c r="L297" s="39"/>
      <c r="M297" s="40"/>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40"/>
      <c r="J298" s="39"/>
      <c r="K298" s="40"/>
      <c r="L298" s="39"/>
      <c r="M298" s="40"/>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40"/>
      <c r="J299" s="39"/>
      <c r="K299" s="40"/>
      <c r="L299" s="39"/>
      <c r="M299" s="40"/>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9"/>
      <c r="J300" s="10"/>
      <c r="K300" s="40"/>
      <c r="L300" s="39"/>
      <c r="M300" s="40"/>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40"/>
      <c r="J301" s="39"/>
      <c r="K301" s="40"/>
      <c r="L301" s="39"/>
      <c r="M301" s="40"/>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40"/>
      <c r="J302" s="39"/>
      <c r="K302" s="40"/>
      <c r="L302" s="39"/>
      <c r="M302" s="40"/>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40"/>
      <c r="J303" s="39"/>
      <c r="K303" s="40"/>
      <c r="L303" s="39"/>
      <c r="M303" s="40"/>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40"/>
      <c r="J304" s="39"/>
      <c r="K304" s="40"/>
      <c r="L304" s="39"/>
      <c r="M304" s="40"/>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40"/>
      <c r="J305" s="39"/>
      <c r="K305" s="40"/>
      <c r="L305" s="39"/>
      <c r="M305" s="40"/>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40"/>
      <c r="J306" s="39"/>
      <c r="K306" s="40"/>
      <c r="L306" s="39"/>
      <c r="M306" s="40"/>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40"/>
      <c r="J307" s="39"/>
      <c r="K307" s="40"/>
      <c r="L307" s="39"/>
      <c r="M307" s="40"/>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40"/>
      <c r="J308" s="39"/>
      <c r="K308" s="40"/>
      <c r="L308" s="39"/>
      <c r="M308" s="40"/>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40"/>
      <c r="J309" s="39"/>
      <c r="K309" s="40"/>
      <c r="L309" s="39"/>
      <c r="M309" s="40"/>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40"/>
      <c r="J310" s="39"/>
      <c r="K310" s="40"/>
      <c r="L310" s="39"/>
      <c r="M310" s="40"/>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40"/>
      <c r="J311" s="39"/>
      <c r="K311" s="40"/>
      <c r="L311" s="39"/>
      <c r="M311" s="40"/>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40"/>
      <c r="J312" s="39"/>
      <c r="K312" s="40"/>
      <c r="L312" s="39"/>
      <c r="M312" s="40"/>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40"/>
      <c r="J313" s="39"/>
      <c r="K313" s="40"/>
      <c r="L313" s="39"/>
      <c r="M313" s="40"/>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40"/>
      <c r="J314" s="39"/>
      <c r="K314" s="40"/>
      <c r="L314" s="39"/>
      <c r="M314" s="40"/>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40"/>
      <c r="J315" s="39"/>
      <c r="K315" s="40"/>
      <c r="L315" s="39"/>
      <c r="M315" s="40"/>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40"/>
      <c r="J316" s="39"/>
      <c r="K316" s="40"/>
      <c r="L316" s="39"/>
      <c r="M316" s="40"/>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40"/>
      <c r="J317" s="39"/>
      <c r="K317" s="40"/>
      <c r="L317" s="39"/>
      <c r="M317" s="40"/>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40"/>
      <c r="J318" s="39"/>
      <c r="K318" s="40"/>
      <c r="L318" s="39"/>
      <c r="M318" s="40"/>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40"/>
      <c r="J319" s="39"/>
      <c r="K319" s="40"/>
      <c r="L319" s="39"/>
      <c r="M319" s="40"/>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40"/>
      <c r="J320" s="39"/>
      <c r="K320" s="40"/>
      <c r="L320" s="39"/>
      <c r="M320" s="40"/>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40"/>
      <c r="J321" s="39"/>
      <c r="K321" s="40"/>
      <c r="L321" s="39"/>
      <c r="M321" s="40"/>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40"/>
      <c r="J322" s="39"/>
      <c r="K322" s="40"/>
      <c r="L322" s="39"/>
      <c r="M322" s="40"/>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40"/>
      <c r="J323" s="39"/>
      <c r="K323" s="40"/>
      <c r="L323" s="39"/>
      <c r="M323" s="40"/>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40"/>
      <c r="J324" s="39"/>
      <c r="K324" s="40"/>
      <c r="L324" s="39"/>
      <c r="M324" s="40"/>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40"/>
      <c r="J325" s="39"/>
      <c r="K325" s="40"/>
      <c r="L325" s="39"/>
      <c r="M325" s="40"/>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40"/>
      <c r="J326" s="39"/>
      <c r="K326" s="40"/>
      <c r="L326" s="39"/>
      <c r="M326" s="40"/>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40"/>
      <c r="J327" s="39"/>
      <c r="K327" s="40"/>
      <c r="L327" s="39"/>
      <c r="M327" s="40"/>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40"/>
      <c r="J328" s="39"/>
      <c r="K328" s="40"/>
      <c r="L328" s="39"/>
      <c r="M328" s="40"/>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40"/>
      <c r="J329" s="39"/>
      <c r="K329" s="40"/>
      <c r="L329" s="39"/>
      <c r="M329" s="40"/>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40"/>
      <c r="J330" s="39"/>
      <c r="K330" s="40"/>
      <c r="L330" s="39"/>
      <c r="M330" s="40"/>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40"/>
      <c r="J331" s="39"/>
      <c r="K331" s="40"/>
      <c r="L331" s="39"/>
      <c r="M331" s="40"/>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40"/>
      <c r="J332" s="39"/>
      <c r="K332" s="40"/>
      <c r="L332" s="39"/>
      <c r="M332" s="40"/>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40"/>
      <c r="J333" s="39"/>
      <c r="K333" s="40"/>
      <c r="L333" s="39"/>
      <c r="M333" s="40"/>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40"/>
      <c r="J334" s="39"/>
      <c r="K334" s="40"/>
      <c r="L334" s="39"/>
      <c r="M334" s="40"/>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40"/>
      <c r="J335" s="39"/>
      <c r="K335" s="40"/>
      <c r="L335" s="39"/>
      <c r="M335" s="40"/>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40"/>
      <c r="J336" s="39"/>
      <c r="K336" s="40"/>
      <c r="L336" s="39"/>
      <c r="M336" s="40"/>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40"/>
      <c r="J337" s="39"/>
      <c r="K337" s="40"/>
      <c r="L337" s="39"/>
      <c r="M337" s="40"/>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40"/>
      <c r="J338" s="39"/>
      <c r="K338" s="40"/>
      <c r="L338" s="39"/>
      <c r="M338" s="40"/>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40"/>
      <c r="J339" s="39"/>
      <c r="K339" s="40"/>
      <c r="L339" s="39"/>
      <c r="M339" s="40"/>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40"/>
      <c r="J340" s="39"/>
      <c r="K340" s="40"/>
      <c r="L340" s="39"/>
      <c r="M340" s="40"/>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40"/>
      <c r="J341" s="39"/>
      <c r="K341" s="40"/>
      <c r="L341" s="39"/>
      <c r="M341" s="40"/>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40"/>
      <c r="J342" s="39"/>
      <c r="K342" s="40"/>
      <c r="L342" s="39"/>
      <c r="M342" s="40"/>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40"/>
      <c r="J343" s="39"/>
      <c r="K343" s="40"/>
      <c r="L343" s="39"/>
      <c r="M343" s="40"/>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40"/>
      <c r="J344" s="39"/>
      <c r="K344" s="40"/>
      <c r="L344" s="39"/>
      <c r="M344" s="40"/>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40"/>
      <c r="J345" s="39"/>
      <c r="K345" s="40"/>
      <c r="L345" s="39"/>
      <c r="M345" s="40"/>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40"/>
      <c r="J346" s="39"/>
      <c r="K346" s="40"/>
      <c r="L346" s="39"/>
      <c r="M346" s="40"/>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40"/>
      <c r="J347" s="39"/>
      <c r="K347" s="40"/>
      <c r="L347" s="39"/>
      <c r="M347" s="40"/>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40"/>
      <c r="J348" s="39"/>
      <c r="K348" s="40"/>
      <c r="L348" s="39"/>
      <c r="M348" s="40"/>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40"/>
      <c r="J349" s="39"/>
      <c r="K349" s="40"/>
      <c r="L349" s="39"/>
      <c r="M349" s="40"/>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40"/>
      <c r="J350" s="39"/>
      <c r="K350" s="40"/>
      <c r="L350" s="39"/>
      <c r="M350" s="40"/>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40"/>
      <c r="J351" s="39"/>
      <c r="K351" s="40"/>
      <c r="L351" s="39"/>
      <c r="M351" s="40"/>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40"/>
      <c r="J352" s="39"/>
      <c r="K352" s="40"/>
      <c r="L352" s="39"/>
      <c r="M352" s="40"/>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40"/>
      <c r="J353" s="39"/>
      <c r="K353" s="40"/>
      <c r="L353" s="39"/>
      <c r="M353" s="40"/>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40"/>
      <c r="J354" s="39"/>
      <c r="K354" s="40"/>
      <c r="L354" s="39"/>
      <c r="M354" s="40"/>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40"/>
      <c r="J355" s="39"/>
      <c r="K355" s="40"/>
      <c r="L355" s="39"/>
      <c r="M355" s="40"/>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40"/>
      <c r="J356" s="39"/>
      <c r="K356" s="40"/>
      <c r="L356" s="39"/>
      <c r="M356" s="40"/>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40"/>
      <c r="J357" s="39"/>
      <c r="K357" s="40"/>
      <c r="L357" s="39"/>
      <c r="M357" s="40"/>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40"/>
      <c r="J358" s="39"/>
      <c r="K358" s="40"/>
      <c r="L358" s="39"/>
      <c r="M358" s="40"/>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40"/>
      <c r="J359" s="39"/>
      <c r="K359" s="40"/>
      <c r="L359" s="39"/>
      <c r="M359" s="40"/>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40"/>
      <c r="J360" s="39"/>
      <c r="K360" s="40"/>
      <c r="L360" s="39"/>
      <c r="M360" s="40"/>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40"/>
      <c r="J361" s="39"/>
      <c r="K361" s="40"/>
      <c r="L361" s="39"/>
      <c r="M361" s="40"/>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40"/>
      <c r="J362" s="39"/>
      <c r="K362" s="40"/>
      <c r="L362" s="39"/>
      <c r="M362" s="40"/>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40"/>
      <c r="J363" s="39"/>
      <c r="K363" s="40"/>
      <c r="L363" s="39"/>
      <c r="M363" s="40"/>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40"/>
      <c r="J364" s="39"/>
      <c r="K364" s="40"/>
      <c r="L364" s="39"/>
      <c r="M364" s="40"/>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40"/>
      <c r="J365" s="39"/>
      <c r="K365" s="40"/>
      <c r="L365" s="39"/>
      <c r="M365" s="40"/>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40"/>
      <c r="J366" s="39"/>
      <c r="K366" s="40"/>
      <c r="L366" s="39"/>
      <c r="M366" s="40"/>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40"/>
      <c r="J367" s="39"/>
      <c r="K367" s="40"/>
      <c r="L367" s="39"/>
      <c r="M367" s="40"/>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40"/>
      <c r="J368" s="39"/>
      <c r="K368" s="40"/>
      <c r="L368" s="39"/>
      <c r="M368" s="40"/>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40"/>
      <c r="J369" s="39"/>
      <c r="K369" s="40"/>
      <c r="L369" s="39"/>
      <c r="M369" s="40"/>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40"/>
      <c r="J370" s="39"/>
      <c r="K370" s="40"/>
      <c r="L370" s="39"/>
      <c r="M370" s="40"/>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40"/>
      <c r="J371" s="39"/>
      <c r="K371" s="40"/>
      <c r="L371" s="39"/>
      <c r="M371" s="40"/>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40"/>
      <c r="J372" s="39"/>
      <c r="K372" s="40"/>
      <c r="L372" s="39"/>
      <c r="M372" s="40"/>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40"/>
      <c r="J373" s="39"/>
      <c r="K373" s="40"/>
      <c r="L373" s="39"/>
      <c r="M373" s="40"/>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40"/>
      <c r="J374" s="39"/>
      <c r="K374" s="40"/>
      <c r="L374" s="39"/>
      <c r="M374" s="40"/>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40"/>
      <c r="J375" s="39"/>
      <c r="K375" s="40"/>
      <c r="L375" s="39"/>
      <c r="M375" s="40"/>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40"/>
      <c r="J376" s="39"/>
      <c r="K376" s="40"/>
      <c r="L376" s="39"/>
      <c r="M376" s="40"/>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40"/>
      <c r="J377" s="39"/>
      <c r="K377" s="40"/>
      <c r="L377" s="39"/>
      <c r="M377" s="40"/>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40"/>
      <c r="J378" s="39"/>
      <c r="K378" s="40"/>
      <c r="L378" s="39"/>
      <c r="M378" s="40"/>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40"/>
      <c r="J379" s="39"/>
      <c r="K379" s="40"/>
      <c r="L379" s="39"/>
      <c r="M379" s="40"/>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40"/>
      <c r="J380" s="39"/>
      <c r="K380" s="40"/>
      <c r="L380" s="39"/>
      <c r="M380" s="40"/>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40"/>
      <c r="J381" s="39"/>
      <c r="K381" s="40"/>
      <c r="L381" s="39"/>
      <c r="M381" s="40"/>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40"/>
      <c r="J382" s="39"/>
      <c r="K382" s="40"/>
      <c r="L382" s="39"/>
      <c r="M382" s="40"/>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40"/>
      <c r="J383" s="39"/>
      <c r="K383" s="40"/>
      <c r="L383" s="39"/>
      <c r="M383" s="40"/>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40"/>
      <c r="J384" s="39"/>
      <c r="K384" s="40"/>
      <c r="L384" s="39"/>
      <c r="M384" s="40"/>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40"/>
      <c r="J385" s="39"/>
      <c r="K385" s="40"/>
      <c r="L385" s="39"/>
      <c r="M385" s="40"/>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40"/>
      <c r="J386" s="39"/>
      <c r="K386" s="40"/>
      <c r="L386" s="39"/>
      <c r="M386" s="40"/>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40"/>
      <c r="J387" s="39"/>
      <c r="K387" s="40"/>
      <c r="L387" s="39"/>
      <c r="M387" s="40"/>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40"/>
      <c r="J388" s="39"/>
      <c r="K388" s="40"/>
      <c r="L388" s="39"/>
      <c r="M388" s="40"/>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40"/>
      <c r="J389" s="39"/>
      <c r="K389" s="40"/>
      <c r="L389" s="39"/>
      <c r="M389" s="40"/>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40"/>
      <c r="J390" s="39"/>
      <c r="K390" s="40"/>
      <c r="L390" s="39"/>
      <c r="M390" s="40"/>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40"/>
      <c r="J391" s="39"/>
      <c r="K391" s="40"/>
      <c r="L391" s="39"/>
      <c r="M391" s="40"/>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40"/>
      <c r="J392" s="39"/>
      <c r="K392" s="40"/>
      <c r="L392" s="39"/>
      <c r="M392" s="40"/>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40"/>
      <c r="J393" s="39"/>
      <c r="K393" s="40"/>
      <c r="L393" s="39"/>
      <c r="M393" s="40"/>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40"/>
      <c r="J394" s="39"/>
      <c r="K394" s="40"/>
      <c r="L394" s="39"/>
      <c r="M394" s="40"/>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9"/>
      <c r="J395" s="10"/>
      <c r="K395" s="40"/>
      <c r="L395" s="39"/>
      <c r="M395" s="40"/>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40"/>
      <c r="J396" s="39"/>
      <c r="K396" s="40"/>
      <c r="L396" s="39"/>
      <c r="M396" s="40"/>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40"/>
      <c r="J397" s="39"/>
      <c r="K397" s="40"/>
      <c r="L397" s="39"/>
      <c r="M397" s="40"/>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40"/>
      <c r="J398" s="39"/>
      <c r="K398" s="40"/>
      <c r="L398" s="39"/>
      <c r="M398" s="40"/>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40"/>
      <c r="J399" s="39"/>
      <c r="K399" s="40"/>
      <c r="L399" s="39"/>
      <c r="M399" s="40"/>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40"/>
      <c r="J400" s="39"/>
      <c r="K400" s="40"/>
      <c r="L400" s="39"/>
      <c r="M400" s="40"/>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40"/>
      <c r="J401" s="39"/>
      <c r="K401" s="40"/>
      <c r="L401" s="39"/>
      <c r="M401" s="40"/>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40"/>
      <c r="J402" s="39"/>
      <c r="K402" s="40"/>
      <c r="L402" s="39"/>
      <c r="M402" s="40"/>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40"/>
      <c r="J403" s="39"/>
      <c r="K403" s="40"/>
      <c r="L403" s="39"/>
      <c r="M403" s="40"/>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40"/>
      <c r="J404" s="39"/>
      <c r="K404" s="40"/>
      <c r="L404" s="39"/>
      <c r="M404" s="40"/>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40"/>
      <c r="J405" s="39"/>
      <c r="K405" s="40"/>
      <c r="L405" s="39"/>
      <c r="M405" s="40"/>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40"/>
      <c r="J406" s="39"/>
      <c r="K406" s="40"/>
      <c r="L406" s="39"/>
      <c r="M406" s="40"/>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40"/>
      <c r="J407" s="39"/>
      <c r="K407" s="40"/>
      <c r="L407" s="39"/>
      <c r="M407" s="40"/>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40"/>
      <c r="J408" s="39"/>
      <c r="K408" s="40"/>
      <c r="L408" s="39"/>
      <c r="M408" s="40"/>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40"/>
      <c r="J409" s="39"/>
      <c r="K409" s="40"/>
      <c r="L409" s="39"/>
      <c r="M409" s="40"/>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40"/>
      <c r="J410" s="39"/>
      <c r="K410" s="40"/>
      <c r="L410" s="39"/>
      <c r="M410" s="40"/>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40"/>
      <c r="J411" s="39"/>
      <c r="K411" s="40"/>
      <c r="L411" s="39"/>
      <c r="M411" s="40"/>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40"/>
      <c r="J412" s="39"/>
      <c r="K412" s="40"/>
      <c r="L412" s="39"/>
      <c r="M412" s="40"/>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40"/>
      <c r="J413" s="39"/>
      <c r="K413" s="40"/>
      <c r="L413" s="39"/>
      <c r="M413" s="40"/>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40"/>
      <c r="J414" s="39"/>
      <c r="K414" s="40"/>
      <c r="L414" s="39"/>
      <c r="M414" s="40"/>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40"/>
      <c r="J415" s="39"/>
      <c r="K415" s="40"/>
      <c r="L415" s="39"/>
      <c r="M415" s="40"/>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40"/>
      <c r="J416" s="39"/>
      <c r="K416" s="40"/>
      <c r="L416" s="39"/>
      <c r="M416" s="40"/>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40"/>
      <c r="J417" s="39"/>
      <c r="K417" s="40"/>
      <c r="L417" s="39"/>
      <c r="M417" s="40"/>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40"/>
      <c r="J418" s="39"/>
      <c r="K418" s="40"/>
      <c r="L418" s="39"/>
      <c r="M418" s="40"/>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40"/>
      <c r="J419" s="39"/>
      <c r="K419" s="40"/>
      <c r="L419" s="39"/>
      <c r="M419" s="40"/>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40"/>
      <c r="J420" s="39"/>
      <c r="K420" s="40"/>
      <c r="L420" s="39"/>
      <c r="M420" s="40"/>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40"/>
      <c r="J421" s="39"/>
      <c r="K421" s="40"/>
      <c r="L421" s="39"/>
      <c r="M421" s="40"/>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40"/>
      <c r="J422" s="39"/>
      <c r="K422" s="40"/>
      <c r="L422" s="39"/>
      <c r="M422" s="40"/>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40"/>
      <c r="J423" s="39"/>
      <c r="K423" s="40"/>
      <c r="L423" s="39"/>
      <c r="M423" s="40"/>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40"/>
      <c r="J424" s="39"/>
      <c r="K424" s="40"/>
      <c r="L424" s="39"/>
      <c r="M424" s="40"/>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40"/>
      <c r="J425" s="39"/>
      <c r="K425" s="40"/>
      <c r="L425" s="39"/>
      <c r="M425" s="40"/>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40"/>
      <c r="J426" s="39"/>
      <c r="K426" s="40"/>
      <c r="L426" s="39"/>
      <c r="M426" s="40"/>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40"/>
      <c r="J427" s="39"/>
      <c r="K427" s="40"/>
      <c r="L427" s="39"/>
      <c r="M427" s="40"/>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40"/>
      <c r="J428" s="39"/>
      <c r="K428" s="40"/>
      <c r="L428" s="39"/>
      <c r="M428" s="40"/>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40"/>
      <c r="J429" s="39"/>
      <c r="K429" s="40"/>
      <c r="L429" s="39"/>
      <c r="M429" s="40"/>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40"/>
      <c r="J430" s="39"/>
      <c r="K430" s="40"/>
      <c r="L430" s="39"/>
      <c r="M430" s="40"/>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40"/>
      <c r="J431" s="39"/>
      <c r="K431" s="40"/>
      <c r="L431" s="39"/>
      <c r="M431" s="40"/>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40"/>
      <c r="J432" s="39"/>
      <c r="K432" s="40"/>
      <c r="L432" s="39"/>
      <c r="M432" s="40"/>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40"/>
      <c r="J433" s="39"/>
      <c r="K433" s="40"/>
      <c r="L433" s="39"/>
      <c r="M433" s="40"/>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40"/>
      <c r="J434" s="39"/>
      <c r="K434" s="40"/>
      <c r="L434" s="39"/>
      <c r="M434" s="40"/>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40"/>
      <c r="J435" s="39"/>
      <c r="K435" s="40"/>
      <c r="L435" s="39"/>
      <c r="M435" s="40"/>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40"/>
      <c r="J436" s="39"/>
      <c r="K436" s="40"/>
      <c r="L436" s="39"/>
      <c r="M436" s="40"/>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40"/>
      <c r="J437" s="39"/>
      <c r="K437" s="40"/>
      <c r="L437" s="39"/>
      <c r="M437" s="40"/>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40"/>
      <c r="J438" s="39"/>
      <c r="K438" s="40"/>
      <c r="L438" s="39"/>
      <c r="M438" s="40"/>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40"/>
      <c r="J439" s="39"/>
      <c r="K439" s="40"/>
      <c r="L439" s="39"/>
      <c r="M439" s="40"/>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40"/>
      <c r="J440" s="39"/>
      <c r="K440" s="40"/>
      <c r="L440" s="39"/>
      <c r="M440" s="40"/>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40"/>
      <c r="J441" s="39"/>
      <c r="K441" s="40"/>
      <c r="L441" s="39"/>
      <c r="M441" s="40"/>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40"/>
      <c r="J442" s="39"/>
      <c r="K442" s="40"/>
      <c r="L442" s="39"/>
      <c r="M442" s="40"/>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40"/>
      <c r="J443" s="39"/>
      <c r="K443" s="40"/>
      <c r="L443" s="39"/>
      <c r="M443" s="40"/>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40"/>
      <c r="J444" s="39"/>
      <c r="K444" s="40"/>
      <c r="L444" s="39"/>
      <c r="M444" s="40"/>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40"/>
      <c r="J445" s="39"/>
      <c r="K445" s="40"/>
      <c r="L445" s="39"/>
      <c r="M445" s="40"/>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40"/>
      <c r="J446" s="39"/>
      <c r="K446" s="40"/>
      <c r="L446" s="39"/>
      <c r="M446" s="40"/>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40"/>
      <c r="J447" s="39"/>
      <c r="K447" s="40"/>
      <c r="L447" s="39"/>
      <c r="M447" s="40"/>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40"/>
      <c r="J448" s="39"/>
      <c r="K448" s="40"/>
      <c r="L448" s="39"/>
      <c r="M448" s="40"/>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40"/>
      <c r="J449" s="39"/>
      <c r="K449" s="40"/>
      <c r="L449" s="39"/>
      <c r="M449" s="40"/>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40"/>
      <c r="J450" s="39"/>
      <c r="K450" s="40"/>
      <c r="L450" s="39"/>
      <c r="M450" s="40"/>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40"/>
      <c r="J451" s="39"/>
      <c r="K451" s="40"/>
      <c r="L451" s="39"/>
      <c r="M451" s="40"/>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40"/>
      <c r="J452" s="39"/>
      <c r="K452" s="40"/>
      <c r="L452" s="39"/>
      <c r="M452" s="40"/>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40"/>
      <c r="J453" s="39"/>
      <c r="K453" s="40"/>
      <c r="L453" s="39"/>
      <c r="M453" s="40"/>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40"/>
      <c r="J454" s="39"/>
      <c r="K454" s="40"/>
      <c r="L454" s="39"/>
      <c r="M454" s="40"/>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40"/>
      <c r="J455" s="39"/>
      <c r="K455" s="40"/>
      <c r="L455" s="39"/>
      <c r="M455" s="40"/>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40"/>
      <c r="J456" s="39"/>
      <c r="K456" s="40"/>
      <c r="L456" s="39"/>
      <c r="M456" s="40"/>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40"/>
      <c r="J457" s="39"/>
      <c r="K457" s="40"/>
      <c r="L457" s="39"/>
      <c r="M457" s="40"/>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40"/>
      <c r="J458" s="39"/>
      <c r="K458" s="40"/>
      <c r="L458" s="39"/>
      <c r="M458" s="40"/>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40"/>
      <c r="J459" s="39"/>
      <c r="K459" s="40"/>
      <c r="L459" s="39"/>
      <c r="M459" s="40"/>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40"/>
      <c r="J460" s="39"/>
      <c r="K460" s="40"/>
      <c r="L460" s="39"/>
      <c r="M460" s="40"/>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40"/>
      <c r="J461" s="39"/>
      <c r="K461" s="40"/>
      <c r="L461" s="39"/>
      <c r="M461" s="40"/>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40"/>
      <c r="J462" s="39"/>
      <c r="K462" s="40"/>
      <c r="L462" s="39"/>
      <c r="M462" s="40"/>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40"/>
      <c r="J463" s="39"/>
      <c r="K463" s="40"/>
      <c r="L463" s="39"/>
      <c r="M463" s="40"/>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40"/>
      <c r="J464" s="39"/>
      <c r="K464" s="40"/>
      <c r="L464" s="39"/>
      <c r="M464" s="40"/>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40"/>
      <c r="J465" s="39"/>
      <c r="K465" s="40"/>
      <c r="L465" s="39"/>
      <c r="M465" s="40"/>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40"/>
      <c r="J466" s="39"/>
      <c r="K466" s="40"/>
      <c r="L466" s="39"/>
      <c r="M466" s="40"/>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40"/>
      <c r="J467" s="39"/>
      <c r="K467" s="40"/>
      <c r="L467" s="39"/>
      <c r="M467" s="40"/>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40"/>
      <c r="J468" s="39"/>
      <c r="K468" s="40"/>
      <c r="L468" s="39"/>
      <c r="M468" s="40"/>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40"/>
      <c r="J469" s="39"/>
      <c r="K469" s="40"/>
      <c r="L469" s="39"/>
      <c r="M469" s="40"/>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40"/>
      <c r="J470" s="39"/>
      <c r="K470" s="40"/>
      <c r="L470" s="39"/>
      <c r="M470" s="40"/>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40"/>
      <c r="J471" s="39"/>
      <c r="K471" s="40"/>
      <c r="L471" s="39"/>
      <c r="M471" s="40"/>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40"/>
      <c r="J472" s="39"/>
      <c r="K472" s="40"/>
      <c r="L472" s="39"/>
      <c r="M472" s="40"/>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40"/>
      <c r="J473" s="39"/>
      <c r="K473" s="40"/>
      <c r="L473" s="39"/>
      <c r="M473" s="40"/>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40"/>
      <c r="J474" s="39"/>
      <c r="K474" s="40"/>
      <c r="L474" s="39"/>
      <c r="M474" s="40"/>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40"/>
      <c r="J475" s="39"/>
      <c r="K475" s="40"/>
      <c r="L475" s="39"/>
      <c r="M475" s="40"/>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40"/>
      <c r="J476" s="39"/>
      <c r="K476" s="40"/>
      <c r="L476" s="39"/>
      <c r="M476" s="40"/>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40"/>
      <c r="J477" s="39"/>
      <c r="K477" s="40"/>
      <c r="L477" s="39"/>
      <c r="M477" s="40"/>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40"/>
      <c r="J478" s="39"/>
      <c r="K478" s="40"/>
      <c r="L478" s="39"/>
      <c r="M478" s="40"/>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40"/>
      <c r="J479" s="39"/>
      <c r="K479" s="40"/>
      <c r="L479" s="39"/>
      <c r="M479" s="40"/>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40"/>
      <c r="J480" s="39"/>
      <c r="K480" s="40"/>
      <c r="L480" s="39"/>
      <c r="M480" s="40"/>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40"/>
      <c r="J481" s="39"/>
      <c r="K481" s="40"/>
      <c r="L481" s="39"/>
      <c r="M481" s="40"/>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40"/>
      <c r="J482" s="39"/>
      <c r="K482" s="40"/>
      <c r="L482" s="39"/>
      <c r="M482" s="40"/>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40"/>
      <c r="J483" s="39"/>
      <c r="K483" s="40"/>
      <c r="L483" s="39"/>
      <c r="M483" s="40"/>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40"/>
      <c r="J484" s="39"/>
      <c r="K484" s="40"/>
      <c r="L484" s="39"/>
      <c r="M484" s="40"/>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40"/>
      <c r="J485" s="39"/>
      <c r="K485" s="40"/>
      <c r="L485" s="39"/>
      <c r="M485" s="40"/>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40"/>
      <c r="J486" s="39"/>
      <c r="K486" s="40"/>
      <c r="L486" s="39"/>
      <c r="M486" s="40"/>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40"/>
      <c r="J487" s="39"/>
      <c r="K487" s="40"/>
      <c r="L487" s="39"/>
      <c r="M487" s="40"/>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40"/>
      <c r="J488" s="39"/>
      <c r="K488" s="40"/>
      <c r="L488" s="39"/>
      <c r="M488" s="40"/>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40"/>
      <c r="J489" s="39"/>
      <c r="K489" s="40"/>
      <c r="L489" s="39"/>
      <c r="M489" s="40"/>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9"/>
      <c r="J490" s="10"/>
      <c r="K490" s="40"/>
      <c r="L490" s="39"/>
      <c r="M490" s="40"/>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40"/>
      <c r="J491" s="39"/>
      <c r="K491" s="40"/>
      <c r="L491" s="39"/>
      <c r="M491" s="40"/>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40"/>
      <c r="J492" s="39"/>
      <c r="K492" s="40"/>
      <c r="L492" s="39"/>
      <c r="M492" s="40"/>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40"/>
      <c r="J493" s="39"/>
      <c r="K493" s="40"/>
      <c r="L493" s="39"/>
      <c r="M493" s="40"/>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40"/>
      <c r="J494" s="39"/>
      <c r="K494" s="40"/>
      <c r="L494" s="39"/>
      <c r="M494" s="40"/>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40"/>
      <c r="J495" s="39"/>
      <c r="K495" s="40"/>
      <c r="L495" s="39"/>
      <c r="M495" s="40"/>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40"/>
      <c r="J496" s="39"/>
      <c r="K496" s="40"/>
      <c r="L496" s="39"/>
      <c r="M496" s="40"/>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40"/>
      <c r="J497" s="39"/>
      <c r="K497" s="40"/>
      <c r="L497" s="39"/>
      <c r="M497" s="40"/>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40"/>
      <c r="J498" s="39"/>
      <c r="K498" s="40"/>
      <c r="L498" s="39"/>
      <c r="M498" s="40"/>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40"/>
      <c r="J499" s="39"/>
      <c r="K499" s="40"/>
      <c r="L499" s="39"/>
      <c r="M499" s="40"/>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40"/>
      <c r="J500" s="39"/>
      <c r="K500" s="40"/>
      <c r="L500" s="39"/>
      <c r="M500" s="40"/>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40"/>
      <c r="J501" s="39"/>
      <c r="K501" s="40"/>
      <c r="L501" s="39"/>
      <c r="M501" s="40"/>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40"/>
      <c r="J502" s="39"/>
      <c r="K502" s="40"/>
      <c r="L502" s="39"/>
      <c r="M502" s="40"/>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40"/>
      <c r="J503" s="39"/>
      <c r="K503" s="40"/>
      <c r="L503" s="39"/>
      <c r="M503" s="40"/>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40"/>
      <c r="J504" s="39"/>
      <c r="K504" s="40"/>
      <c r="L504" s="39"/>
      <c r="M504" s="40"/>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40"/>
      <c r="J505" s="39"/>
      <c r="K505" s="40"/>
      <c r="L505" s="39"/>
      <c r="M505" s="40"/>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40"/>
      <c r="J506" s="39"/>
      <c r="K506" s="40"/>
      <c r="L506" s="39"/>
      <c r="M506" s="40"/>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40"/>
      <c r="J507" s="39"/>
      <c r="K507" s="40"/>
      <c r="L507" s="39"/>
      <c r="M507" s="40"/>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40"/>
      <c r="J508" s="39"/>
      <c r="K508" s="40"/>
      <c r="L508" s="39"/>
      <c r="M508" s="40"/>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40"/>
      <c r="J509" s="39"/>
      <c r="K509" s="40"/>
      <c r="L509" s="39"/>
      <c r="M509" s="40"/>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40"/>
      <c r="J510" s="39"/>
      <c r="K510" s="40"/>
      <c r="L510" s="39"/>
      <c r="M510" s="40"/>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40"/>
      <c r="J511" s="39"/>
      <c r="K511" s="40"/>
      <c r="L511" s="39"/>
      <c r="M511" s="40"/>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40"/>
      <c r="J512" s="39"/>
      <c r="K512" s="40"/>
      <c r="L512" s="39"/>
      <c r="M512" s="40"/>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40"/>
      <c r="J513" s="39"/>
      <c r="K513" s="40"/>
      <c r="L513" s="39"/>
      <c r="M513" s="40"/>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40"/>
      <c r="J514" s="39"/>
      <c r="K514" s="40"/>
      <c r="L514" s="39"/>
      <c r="M514" s="40"/>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40"/>
      <c r="J515" s="39"/>
      <c r="K515" s="40"/>
      <c r="L515" s="39"/>
      <c r="M515" s="40"/>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40"/>
      <c r="J516" s="39"/>
      <c r="K516" s="40"/>
      <c r="L516" s="39"/>
      <c r="M516" s="40"/>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40"/>
      <c r="J517" s="39"/>
      <c r="K517" s="40"/>
      <c r="L517" s="39"/>
      <c r="M517" s="40"/>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40"/>
      <c r="J518" s="39"/>
      <c r="K518" s="40"/>
      <c r="L518" s="39"/>
      <c r="M518" s="40"/>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40"/>
      <c r="J519" s="39"/>
      <c r="K519" s="40"/>
      <c r="L519" s="39"/>
      <c r="M519" s="40"/>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40"/>
      <c r="J520" s="39"/>
      <c r="K520" s="40"/>
      <c r="L520" s="39"/>
      <c r="M520" s="40"/>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40"/>
      <c r="J521" s="39"/>
      <c r="K521" s="40"/>
      <c r="L521" s="39"/>
      <c r="M521" s="40"/>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40"/>
      <c r="J522" s="39"/>
      <c r="K522" s="40"/>
      <c r="L522" s="39"/>
      <c r="M522" s="40"/>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40"/>
      <c r="J523" s="39"/>
      <c r="K523" s="40"/>
      <c r="L523" s="39"/>
      <c r="M523" s="40"/>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40"/>
      <c r="J524" s="39"/>
      <c r="K524" s="40"/>
      <c r="L524" s="39"/>
      <c r="M524" s="40"/>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40"/>
      <c r="J525" s="39"/>
      <c r="K525" s="40"/>
      <c r="L525" s="39"/>
      <c r="M525" s="40"/>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40"/>
      <c r="J526" s="39"/>
      <c r="K526" s="40"/>
      <c r="L526" s="39"/>
      <c r="M526" s="40"/>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40"/>
      <c r="J527" s="39"/>
      <c r="K527" s="40"/>
      <c r="L527" s="39"/>
      <c r="M527" s="40"/>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40"/>
      <c r="J528" s="39"/>
      <c r="K528" s="40"/>
      <c r="L528" s="39"/>
      <c r="M528" s="40"/>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40"/>
      <c r="J529" s="39"/>
      <c r="K529" s="40"/>
      <c r="L529" s="39"/>
      <c r="M529" s="40"/>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40"/>
      <c r="J530" s="39"/>
      <c r="K530" s="40"/>
      <c r="L530" s="39"/>
      <c r="M530" s="40"/>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40"/>
      <c r="J531" s="39"/>
      <c r="K531" s="40"/>
      <c r="L531" s="39"/>
      <c r="M531" s="40"/>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40"/>
      <c r="J532" s="39"/>
      <c r="K532" s="40"/>
      <c r="L532" s="39"/>
      <c r="M532" s="40"/>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40"/>
      <c r="J533" s="39"/>
      <c r="K533" s="40"/>
      <c r="L533" s="39"/>
      <c r="M533" s="40"/>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40"/>
      <c r="J534" s="39"/>
      <c r="K534" s="40"/>
      <c r="L534" s="39"/>
      <c r="M534" s="40"/>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40"/>
      <c r="J535" s="39"/>
      <c r="K535" s="40"/>
      <c r="L535" s="39"/>
      <c r="M535" s="40"/>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40"/>
      <c r="J536" s="39"/>
      <c r="K536" s="40"/>
      <c r="L536" s="39"/>
      <c r="M536" s="40"/>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40"/>
      <c r="J537" s="39"/>
      <c r="K537" s="40"/>
      <c r="L537" s="39"/>
      <c r="M537" s="40"/>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40"/>
      <c r="J538" s="39"/>
      <c r="K538" s="40"/>
      <c r="L538" s="39"/>
      <c r="M538" s="40"/>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40"/>
      <c r="J539" s="39"/>
      <c r="K539" s="40"/>
      <c r="L539" s="39"/>
      <c r="M539" s="40"/>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40"/>
      <c r="J540" s="39"/>
      <c r="K540" s="40"/>
      <c r="L540" s="39"/>
      <c r="M540" s="40"/>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40"/>
      <c r="J541" s="39"/>
      <c r="K541" s="40"/>
      <c r="L541" s="39"/>
      <c r="M541" s="40"/>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40"/>
      <c r="J542" s="39"/>
      <c r="K542" s="40"/>
      <c r="L542" s="39"/>
      <c r="M542" s="40"/>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40"/>
      <c r="J543" s="39"/>
      <c r="K543" s="40"/>
      <c r="L543" s="39"/>
      <c r="M543" s="40"/>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40"/>
      <c r="J544" s="39"/>
      <c r="K544" s="40"/>
      <c r="L544" s="39"/>
      <c r="M544" s="40"/>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40"/>
      <c r="J545" s="39"/>
      <c r="K545" s="40"/>
      <c r="L545" s="39"/>
      <c r="M545" s="40"/>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40"/>
      <c r="J546" s="39"/>
      <c r="K546" s="40"/>
      <c r="L546" s="39"/>
      <c r="M546" s="40"/>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40"/>
      <c r="J547" s="39"/>
      <c r="K547" s="40"/>
      <c r="L547" s="39"/>
      <c r="M547" s="40"/>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40"/>
      <c r="J548" s="39"/>
      <c r="K548" s="40"/>
      <c r="L548" s="39"/>
      <c r="M548" s="40"/>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40"/>
      <c r="J549" s="39"/>
      <c r="K549" s="40"/>
      <c r="L549" s="39"/>
      <c r="M549" s="40"/>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40"/>
      <c r="J550" s="39"/>
      <c r="K550" s="40"/>
      <c r="L550" s="39"/>
      <c r="M550" s="40"/>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40"/>
      <c r="J551" s="39"/>
      <c r="K551" s="40"/>
      <c r="L551" s="39"/>
      <c r="M551" s="40"/>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40"/>
      <c r="J552" s="39"/>
      <c r="K552" s="40"/>
      <c r="L552" s="39"/>
      <c r="M552" s="40"/>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40"/>
      <c r="J553" s="39"/>
      <c r="K553" s="40"/>
      <c r="L553" s="39"/>
      <c r="M553" s="40"/>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40"/>
      <c r="J554" s="39"/>
      <c r="K554" s="40"/>
      <c r="L554" s="39"/>
      <c r="M554" s="40"/>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40"/>
      <c r="J555" s="39"/>
      <c r="K555" s="40"/>
      <c r="L555" s="39"/>
      <c r="M555" s="40"/>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40"/>
      <c r="J556" s="39"/>
      <c r="K556" s="40"/>
      <c r="L556" s="39"/>
      <c r="M556" s="40"/>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40"/>
      <c r="J557" s="39"/>
      <c r="K557" s="40"/>
      <c r="L557" s="39"/>
      <c r="M557" s="40"/>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40"/>
      <c r="J558" s="39"/>
      <c r="K558" s="40"/>
      <c r="L558" s="39"/>
      <c r="M558" s="40"/>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40"/>
      <c r="J559" s="39"/>
      <c r="K559" s="40"/>
      <c r="L559" s="39"/>
      <c r="M559" s="40"/>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40"/>
      <c r="J560" s="39"/>
      <c r="K560" s="40"/>
      <c r="L560" s="39"/>
      <c r="M560" s="40"/>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40"/>
      <c r="J561" s="39"/>
      <c r="K561" s="40"/>
      <c r="L561" s="39"/>
      <c r="M561" s="40"/>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40"/>
      <c r="J562" s="39"/>
      <c r="K562" s="40"/>
      <c r="L562" s="39"/>
      <c r="M562" s="40"/>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40"/>
      <c r="J563" s="39"/>
      <c r="K563" s="40"/>
      <c r="L563" s="39"/>
      <c r="M563" s="40"/>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40"/>
      <c r="J564" s="39"/>
      <c r="K564" s="40"/>
      <c r="L564" s="39"/>
      <c r="M564" s="40"/>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40"/>
      <c r="J565" s="39"/>
      <c r="K565" s="40"/>
      <c r="L565" s="39"/>
      <c r="M565" s="40"/>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40"/>
      <c r="J566" s="39"/>
      <c r="K566" s="40"/>
      <c r="L566" s="39"/>
      <c r="M566" s="40"/>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40"/>
      <c r="J567" s="39"/>
      <c r="K567" s="40"/>
      <c r="L567" s="39"/>
      <c r="M567" s="40"/>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40"/>
      <c r="J568" s="39"/>
      <c r="K568" s="40"/>
      <c r="L568" s="39"/>
      <c r="M568" s="40"/>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40"/>
      <c r="J569" s="39"/>
      <c r="K569" s="40"/>
      <c r="L569" s="39"/>
      <c r="M569" s="40"/>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40"/>
      <c r="J570" s="39"/>
      <c r="K570" s="40"/>
      <c r="L570" s="39"/>
      <c r="M570" s="40"/>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40"/>
      <c r="J571" s="39"/>
      <c r="K571" s="40"/>
      <c r="L571" s="39"/>
      <c r="M571" s="40"/>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40"/>
      <c r="J572" s="39"/>
      <c r="K572" s="40"/>
      <c r="L572" s="39"/>
      <c r="M572" s="40"/>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40"/>
      <c r="J573" s="39"/>
      <c r="K573" s="40"/>
      <c r="L573" s="39"/>
      <c r="M573" s="40"/>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40"/>
      <c r="J574" s="39"/>
      <c r="K574" s="40"/>
      <c r="L574" s="39"/>
      <c r="M574" s="40"/>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40"/>
      <c r="J575" s="39"/>
      <c r="K575" s="40"/>
      <c r="L575" s="39"/>
      <c r="M575" s="40"/>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40"/>
      <c r="J576" s="39"/>
      <c r="K576" s="40"/>
      <c r="L576" s="39"/>
      <c r="M576" s="40"/>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40"/>
      <c r="J577" s="39"/>
      <c r="K577" s="40"/>
      <c r="L577" s="39"/>
      <c r="M577" s="40"/>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40"/>
      <c r="J578" s="39"/>
      <c r="K578" s="40"/>
      <c r="L578" s="39"/>
      <c r="M578" s="40"/>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40"/>
      <c r="J579" s="39"/>
      <c r="K579" s="40"/>
      <c r="L579" s="39"/>
      <c r="M579" s="40"/>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40"/>
      <c r="J580" s="39"/>
      <c r="K580" s="40"/>
      <c r="L580" s="39"/>
      <c r="M580" s="40"/>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40"/>
      <c r="J581" s="39"/>
      <c r="K581" s="40"/>
      <c r="L581" s="39"/>
      <c r="M581" s="40"/>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40"/>
      <c r="J582" s="39"/>
      <c r="K582" s="40"/>
      <c r="L582" s="39"/>
      <c r="M582" s="40"/>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40"/>
      <c r="J583" s="39"/>
      <c r="K583" s="40"/>
      <c r="L583" s="39"/>
      <c r="M583" s="40"/>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40"/>
      <c r="J584" s="39"/>
      <c r="K584" s="40"/>
      <c r="L584" s="39"/>
      <c r="M584" s="40"/>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9"/>
      <c r="J585" s="10"/>
      <c r="K585" s="40"/>
      <c r="L585" s="39"/>
      <c r="M585" s="40"/>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40"/>
      <c r="J586" s="39"/>
      <c r="K586" s="40"/>
      <c r="L586" s="39"/>
      <c r="M586" s="40"/>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40"/>
      <c r="J587" s="39"/>
      <c r="K587" s="40"/>
      <c r="L587" s="39"/>
      <c r="M587" s="40"/>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2" t="s">
        <v>0</v>
      </c>
      <c r="B1" s="3082" t="s">
        <v>4</v>
      </c>
      <c r="C1" s="3082" t="s">
        <v>5</v>
      </c>
      <c r="D1" s="3083" t="s">
        <v>53</v>
      </c>
      <c r="E1" s="3083" t="s">
        <v>54</v>
      </c>
      <c r="F1" s="3083"/>
      <c r="G1" s="3083"/>
      <c r="H1" s="3083"/>
      <c r="I1" s="3083"/>
      <c r="J1" s="3083"/>
      <c r="K1" s="3083"/>
      <c r="L1" s="3083"/>
      <c r="M1" s="3083"/>
    </row>
    <row r="2" spans="1:13" ht="27" customHeight="1">
      <c r="A2" s="3082"/>
      <c r="B2" s="3082"/>
      <c r="C2" s="3082"/>
      <c r="D2" s="3083"/>
      <c r="E2" s="3083" t="s">
        <v>37</v>
      </c>
      <c r="F2" s="3083" t="s">
        <v>38</v>
      </c>
      <c r="G2" s="3083"/>
      <c r="H2" s="3083"/>
      <c r="I2" s="3083"/>
      <c r="J2" s="3083" t="s">
        <v>39</v>
      </c>
      <c r="K2" s="3083"/>
      <c r="L2" s="3083"/>
      <c r="M2" s="3083"/>
    </row>
    <row r="3" spans="1:13" ht="28.5">
      <c r="A3" s="3082"/>
      <c r="B3" s="3082"/>
      <c r="C3" s="3082"/>
      <c r="D3" s="3083"/>
      <c r="E3" s="30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3" t="s">
        <v>55</v>
      </c>
      <c r="B9" s="3083"/>
      <c r="C9" s="30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O33" sqref="O3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4"/>
      <c r="C1" s="1394"/>
      <c r="D1" s="1394"/>
      <c r="E1" s="1394"/>
      <c r="F1" s="1394"/>
      <c r="G1" s="1394"/>
      <c r="H1" s="1394"/>
      <c r="I1" s="1394"/>
      <c r="J1" s="1394"/>
      <c r="K1" s="1394"/>
      <c r="L1" s="1394"/>
      <c r="M1" s="1394"/>
      <c r="N1" s="1394"/>
      <c r="O1" s="1394"/>
      <c r="P1" s="1394"/>
    </row>
    <row r="2" spans="1:16" ht="15">
      <c r="A2" s="3093" t="s">
        <v>1940</v>
      </c>
      <c r="B2" s="3093"/>
      <c r="C2" s="3093"/>
      <c r="D2" s="969" t="s">
        <v>1916</v>
      </c>
      <c r="E2" s="2228" t="s">
        <v>1917</v>
      </c>
      <c r="F2" s="1394"/>
      <c r="G2" s="2229"/>
      <c r="H2" s="2230"/>
      <c r="I2" s="2231" t="s">
        <v>1941</v>
      </c>
      <c r="J2" s="1394"/>
      <c r="K2" s="1394"/>
      <c r="L2" s="1394"/>
      <c r="M2" s="1394"/>
      <c r="N2" s="1429"/>
      <c r="O2" s="1394"/>
      <c r="P2" s="1394"/>
    </row>
    <row r="3" spans="1:16" ht="15.75" thickBot="1">
      <c r="A3" s="3094" t="s">
        <v>1914</v>
      </c>
      <c r="B3" s="3094"/>
      <c r="C3" s="3094"/>
      <c r="D3" s="46">
        <f>'数据-基础表'!AY6</f>
        <v>1042.42</v>
      </c>
      <c r="E3" s="46">
        <f>'数据-基础表'!AZ5</f>
        <v>3647.3</v>
      </c>
      <c r="F3" s="1394"/>
      <c r="G3" s="1401"/>
      <c r="H3" s="1249" t="s">
        <v>1915</v>
      </c>
      <c r="I3" s="55">
        <f>ROUND('数据-基础表'!B3/'数据-基础表'!A3,2)</f>
        <v>3.5</v>
      </c>
      <c r="J3" s="1394"/>
      <c r="K3" s="1394"/>
      <c r="L3" s="1394"/>
      <c r="M3" s="1394"/>
      <c r="N3" s="1429"/>
      <c r="O3" s="1394"/>
      <c r="P3" s="1394"/>
    </row>
    <row r="4" spans="1:16" ht="15">
      <c r="A4" s="3095"/>
      <c r="B4" s="3096"/>
      <c r="C4" s="3097"/>
      <c r="D4" s="2232" t="s">
        <v>1916</v>
      </c>
      <c r="E4" s="2233" t="s">
        <v>1917</v>
      </c>
      <c r="F4" s="1394"/>
      <c r="G4" s="2234" t="s">
        <v>1942</v>
      </c>
      <c r="H4" s="1249" t="s">
        <v>1922</v>
      </c>
      <c r="I4" s="55">
        <f>ROUND(SUMIF('数据-基础表'!I9:AS9,"地上",'数据-基础表'!I5:AS5)/'数据-基础表'!A3,2)</f>
        <v>0.26</v>
      </c>
      <c r="J4" s="1394"/>
      <c r="K4" s="1394"/>
      <c r="L4" s="1394"/>
      <c r="M4" s="1394"/>
      <c r="N4" s="1429"/>
      <c r="O4" s="1394"/>
      <c r="P4" s="1394"/>
    </row>
    <row r="5" spans="1:16">
      <c r="A5" s="47" t="s">
        <v>1918</v>
      </c>
      <c r="B5" s="3098" t="s">
        <v>1919</v>
      </c>
      <c r="C5" s="3098"/>
      <c r="D5" s="48">
        <f>ROUND($D$3*E5/$E$3,2)</f>
        <v>0</v>
      </c>
      <c r="E5" s="49">
        <f>SUMIF('数据-基础表'!$11:$11,"住宅",'数据-基础表'!$5:$5)</f>
        <v>0</v>
      </c>
      <c r="F5" s="1394"/>
      <c r="G5" s="1401"/>
      <c r="H5" s="1249" t="s">
        <v>1915</v>
      </c>
      <c r="I5" s="55">
        <f>ROUND(E31/D31,2)</f>
        <v>3.5</v>
      </c>
      <c r="J5" s="1394"/>
      <c r="K5" s="1394"/>
      <c r="L5" s="1394"/>
      <c r="M5" s="1394"/>
      <c r="N5" s="1394"/>
      <c r="O5" s="1394"/>
      <c r="P5" s="1394"/>
    </row>
    <row r="6" spans="1:16" ht="15" thickBot="1">
      <c r="A6" s="2235"/>
      <c r="B6" s="3098" t="s">
        <v>1920</v>
      </c>
      <c r="C6" s="3098"/>
      <c r="D6" s="48">
        <f>ROUND($D$3*E6/$E$3,2)</f>
        <v>1042.42</v>
      </c>
      <c r="E6" s="49">
        <f>E3-E5</f>
        <v>3647.3</v>
      </c>
      <c r="F6" s="1394"/>
      <c r="G6" s="2236" t="s">
        <v>1921</v>
      </c>
      <c r="H6" s="1401" t="s">
        <v>1922</v>
      </c>
      <c r="I6" s="941">
        <f>ROUND(F31/D31,2)</f>
        <v>0.26</v>
      </c>
      <c r="J6" s="1394"/>
      <c r="K6" s="1394"/>
      <c r="L6" s="1394"/>
      <c r="M6" s="1394"/>
      <c r="N6" s="1394"/>
      <c r="O6" s="1394"/>
      <c r="P6" s="1394"/>
    </row>
    <row r="7" spans="1:16" ht="15">
      <c r="A7" s="3090"/>
      <c r="B7" s="3091"/>
      <c r="C7" s="3092"/>
      <c r="D7" s="2232" t="s">
        <v>1916</v>
      </c>
      <c r="E7" s="2237" t="s">
        <v>1923</v>
      </c>
      <c r="F7" s="1394"/>
      <c r="G7" s="2229" t="s">
        <v>1924</v>
      </c>
      <c r="H7" s="64"/>
      <c r="I7" s="420"/>
      <c r="J7" s="1394"/>
      <c r="K7" s="1394"/>
      <c r="L7" s="1394"/>
      <c r="M7" s="1394"/>
      <c r="N7" s="1394"/>
      <c r="O7" s="1394"/>
      <c r="P7" s="1394"/>
    </row>
    <row r="8" spans="1:16">
      <c r="A8" s="47" t="s">
        <v>1925</v>
      </c>
      <c r="B8" s="50" t="s">
        <v>1926</v>
      </c>
      <c r="C8" s="48" t="s">
        <v>1927</v>
      </c>
      <c r="D8" s="48">
        <f t="shared" ref="D8:D15" si="0">ROUND($D$3*E8/$E$3,2)</f>
        <v>77.489999999999995</v>
      </c>
      <c r="E8" s="51">
        <f>SUMIF('数据-基础表'!BB10:BK10,"地上",'数据-基础表'!BB5:BK5)</f>
        <v>271.14</v>
      </c>
      <c r="F8" s="1394"/>
      <c r="G8" s="2238"/>
      <c r="H8" s="2238"/>
      <c r="I8" s="1394"/>
      <c r="J8" s="1394"/>
      <c r="K8" s="1394"/>
      <c r="L8" s="1394"/>
      <c r="M8" s="1394"/>
      <c r="N8" s="1394"/>
      <c r="O8" s="1394"/>
      <c r="P8" s="1394"/>
    </row>
    <row r="9" spans="1:16">
      <c r="A9" s="2239"/>
      <c r="B9" s="2240"/>
      <c r="C9" s="48" t="s">
        <v>1928</v>
      </c>
      <c r="D9" s="48">
        <f t="shared" si="0"/>
        <v>0</v>
      </c>
      <c r="E9" s="52">
        <v>0</v>
      </c>
      <c r="F9" s="1394"/>
      <c r="G9" s="2238"/>
      <c r="H9" s="2238"/>
      <c r="I9" s="1394"/>
      <c r="J9" s="1394"/>
      <c r="K9" s="1394"/>
      <c r="L9" s="1394"/>
      <c r="M9" s="1394"/>
      <c r="N9" s="1394"/>
      <c r="O9" s="1394"/>
      <c r="P9" s="1394"/>
    </row>
    <row r="10" spans="1:16">
      <c r="A10" s="2239"/>
      <c r="B10" s="2240"/>
      <c r="C10" s="48" t="s">
        <v>1937</v>
      </c>
      <c r="D10" s="48">
        <f t="shared" si="0"/>
        <v>872.39</v>
      </c>
      <c r="E10" s="51">
        <f>SUMPRODUCT(('数据-基础表'!BB10:BK10="地下")*('数据-基础表'!BB11:BK11="商业")*('数据-基础表'!BB5:BK5))</f>
        <v>3052.4</v>
      </c>
      <c r="F10" s="1394"/>
      <c r="G10" s="2238"/>
      <c r="H10" s="2238"/>
      <c r="I10" s="1394"/>
      <c r="J10" s="1394"/>
      <c r="K10" s="1394"/>
      <c r="L10" s="1394"/>
      <c r="M10" s="1394"/>
      <c r="N10" s="1394"/>
      <c r="O10" s="1394"/>
      <c r="P10" s="1394"/>
    </row>
    <row r="11" spans="1:16">
      <c r="A11" s="2239"/>
      <c r="B11" s="2240"/>
      <c r="C11" s="48" t="s">
        <v>1929</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1930</v>
      </c>
      <c r="D12" s="48">
        <f t="shared" si="0"/>
        <v>92.53</v>
      </c>
      <c r="E12" s="51">
        <f>SUMPRODUCT(('数据-基础表'!BB10:BK10="地下")*('数据-基础表'!BB11:BK11="仓储")*('数据-基础表'!BB5:BK5))</f>
        <v>323.76000000000005</v>
      </c>
      <c r="F12" s="1394"/>
      <c r="G12" s="2238"/>
      <c r="H12" s="2238"/>
      <c r="I12" s="1394"/>
      <c r="J12" s="1394"/>
      <c r="K12" s="1394"/>
      <c r="L12" s="1394"/>
      <c r="M12" s="1394"/>
      <c r="N12" s="1394"/>
      <c r="O12" s="1394"/>
      <c r="P12" s="1394"/>
    </row>
    <row r="13" spans="1:16">
      <c r="A13" s="2239"/>
      <c r="B13" s="2240"/>
      <c r="C13" s="48" t="s">
        <v>1931</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1943</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1938</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1932</v>
      </c>
      <c r="D16" s="50">
        <f>SUM(D8:D15)</f>
        <v>1042.4100000000001</v>
      </c>
      <c r="E16" s="53">
        <f>SUM(E8:E15)</f>
        <v>3647.3</v>
      </c>
      <c r="F16" s="1394"/>
      <c r="G16" s="2238"/>
      <c r="H16" s="2241" t="s">
        <v>1944</v>
      </c>
      <c r="I16" s="2242"/>
      <c r="J16" s="1394"/>
      <c r="K16" s="3087" t="s">
        <v>1944</v>
      </c>
      <c r="L16" s="3088"/>
      <c r="M16" s="3088"/>
      <c r="N16" s="3088"/>
      <c r="O16" s="3088"/>
      <c r="P16" s="3089"/>
    </row>
    <row r="17" spans="1:19" ht="15">
      <c r="A17" s="2243" t="s">
        <v>1945</v>
      </c>
      <c r="B17" s="2244" t="s">
        <v>1946</v>
      </c>
      <c r="C17" s="2245" t="s">
        <v>1947</v>
      </c>
      <c r="D17" s="2246" t="s">
        <v>1935</v>
      </c>
      <c r="E17" s="2247" t="s">
        <v>1936</v>
      </c>
      <c r="F17" s="2248"/>
      <c r="G17" s="2249"/>
      <c r="H17" s="2250" t="s">
        <v>1948</v>
      </c>
      <c r="I17" s="2251" t="s">
        <v>1933</v>
      </c>
      <c r="J17" s="1394"/>
      <c r="K17" s="3084" t="s">
        <v>1949</v>
      </c>
      <c r="L17" s="3085"/>
      <c r="M17" s="3086"/>
      <c r="N17" s="3084" t="s">
        <v>1950</v>
      </c>
      <c r="O17" s="3085"/>
      <c r="P17" s="3086"/>
      <c r="R17" s="2229" t="s">
        <v>1951</v>
      </c>
      <c r="S17" s="64"/>
    </row>
    <row r="18" spans="1:19" ht="15">
      <c r="A18" s="2239"/>
      <c r="B18" s="2252"/>
      <c r="C18" s="2253"/>
      <c r="D18" s="2254"/>
      <c r="E18" s="2255" t="s">
        <v>1952</v>
      </c>
      <c r="F18" s="2256" t="s">
        <v>1953</v>
      </c>
      <c r="G18" s="2257" t="s">
        <v>1954</v>
      </c>
      <c r="H18" s="1264" t="s">
        <v>1955</v>
      </c>
      <c r="I18" s="2258" t="s">
        <v>1956</v>
      </c>
      <c r="J18" s="1394"/>
      <c r="K18" s="1264" t="s">
        <v>1957</v>
      </c>
      <c r="L18" s="2259" t="s">
        <v>1958</v>
      </c>
      <c r="M18" s="1048" t="s">
        <v>1959</v>
      </c>
      <c r="N18" s="1264" t="s">
        <v>1957</v>
      </c>
      <c r="O18" s="2259" t="s">
        <v>1958</v>
      </c>
      <c r="P18" s="1048" t="s">
        <v>1959</v>
      </c>
      <c r="R18" s="1249" t="s">
        <v>1960</v>
      </c>
      <c r="S18" s="1249" t="s">
        <v>1961</v>
      </c>
    </row>
    <row r="19" spans="1:19">
      <c r="A19" s="2260"/>
      <c r="B19" s="50" t="s">
        <v>1934</v>
      </c>
      <c r="C19" s="2986" t="s">
        <v>3118</v>
      </c>
      <c r="D19" s="48">
        <f>ROUND($D$3*E19/$E$3,2)</f>
        <v>77.489999999999995</v>
      </c>
      <c r="E19" s="56">
        <f t="shared" ref="E19:E26" si="1">SUM(F19:G19)</f>
        <v>271.14</v>
      </c>
      <c r="F19" s="57">
        <f>SUM('数据-基础表'!I13:I16)</f>
        <v>271.14</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1"/>
      <c r="O19" s="2262"/>
      <c r="P19" s="1405">
        <f>N19+O19</f>
        <v>0</v>
      </c>
      <c r="R19" s="1249">
        <f t="shared" ref="R19:S26" si="5">D19+H19</f>
        <v>77.489999999999995</v>
      </c>
      <c r="S19" s="1250">
        <f t="shared" si="5"/>
        <v>271.14</v>
      </c>
    </row>
    <row r="20" spans="1:19">
      <c r="A20" s="2263"/>
      <c r="B20" s="50" t="s">
        <v>1962</v>
      </c>
      <c r="C20" s="2986" t="s">
        <v>3125</v>
      </c>
      <c r="D20" s="48">
        <f t="shared" ref="D20:D26" si="6">ROUND($D$3*E20/$E$3,2)</f>
        <v>872.39</v>
      </c>
      <c r="E20" s="56">
        <f t="shared" si="1"/>
        <v>3052.4</v>
      </c>
      <c r="F20" s="57"/>
      <c r="G20" s="58">
        <f>'数据-基础表'!K17</f>
        <v>3052.4</v>
      </c>
      <c r="H20" s="723">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872.39</v>
      </c>
      <c r="S20" s="1250">
        <f t="shared" si="5"/>
        <v>3052.4</v>
      </c>
    </row>
    <row r="21" spans="1:19">
      <c r="A21" s="2263"/>
      <c r="B21" s="50" t="s">
        <v>1962</v>
      </c>
      <c r="C21" s="2986" t="s">
        <v>3119</v>
      </c>
      <c r="D21" s="48">
        <f t="shared" si="6"/>
        <v>92.53</v>
      </c>
      <c r="E21" s="56">
        <f t="shared" si="1"/>
        <v>323.76000000000005</v>
      </c>
      <c r="F21" s="57"/>
      <c r="G21" s="58">
        <f>SUM('数据-基础表'!M18:M25)</f>
        <v>323.76000000000005</v>
      </c>
      <c r="H21" s="723">
        <f t="shared" si="7"/>
        <v>0</v>
      </c>
      <c r="I21" s="51">
        <f t="shared" si="2"/>
        <v>0</v>
      </c>
      <c r="J21" s="1394"/>
      <c r="K21" s="1393">
        <f t="shared" si="3"/>
        <v>0</v>
      </c>
      <c r="L21" s="1249">
        <f t="shared" si="4"/>
        <v>0</v>
      </c>
      <c r="M21" s="1405">
        <f t="shared" si="8"/>
        <v>0</v>
      </c>
      <c r="N21" s="2261"/>
      <c r="O21" s="2262"/>
      <c r="P21" s="1405">
        <f t="shared" si="9"/>
        <v>0</v>
      </c>
      <c r="R21" s="1249">
        <f t="shared" si="5"/>
        <v>92.53</v>
      </c>
      <c r="S21" s="1250">
        <f t="shared" si="5"/>
        <v>323.76000000000005</v>
      </c>
    </row>
    <row r="22" spans="1:19">
      <c r="A22" s="2263"/>
      <c r="B22" s="50" t="s">
        <v>1962</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1"/>
      <c r="O22" s="2262"/>
      <c r="P22" s="1405">
        <f t="shared" si="9"/>
        <v>0</v>
      </c>
      <c r="R22" s="1249">
        <f t="shared" si="5"/>
        <v>0</v>
      </c>
      <c r="S22" s="1250">
        <f t="shared" si="5"/>
        <v>0</v>
      </c>
    </row>
    <row r="23" spans="1:19">
      <c r="A23" s="2263"/>
      <c r="B23" s="50" t="s">
        <v>1962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1"/>
      <c r="O23" s="2262"/>
      <c r="P23" s="1405">
        <f t="shared" si="9"/>
        <v>0</v>
      </c>
      <c r="R23" s="1249">
        <f t="shared" si="5"/>
        <v>0</v>
      </c>
      <c r="S23" s="1250">
        <f t="shared" si="5"/>
        <v>0</v>
      </c>
    </row>
    <row r="24" spans="1:19">
      <c r="A24" s="2263"/>
      <c r="B24" s="50" t="s">
        <v>1962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49">
        <f t="shared" si="5"/>
        <v>0</v>
      </c>
      <c r="S26" s="1250">
        <f t="shared" si="5"/>
        <v>0</v>
      </c>
    </row>
    <row r="27" spans="1:19" ht="29.25" thickBot="1">
      <c r="A27" s="2263"/>
      <c r="B27" s="48"/>
      <c r="C27" s="2266" t="s">
        <v>1963</v>
      </c>
      <c r="D27" s="1395">
        <f>SUM(D19:D26)</f>
        <v>1042.4100000000001</v>
      </c>
      <c r="E27" s="1396">
        <f>IF(SUM(E19:E26)='数据-基础表'!BA5,SUM(E19:E26),IF(F27="地上面积有误","面积有误","地下面积有误"))</f>
        <v>3647.3</v>
      </c>
      <c r="F27" s="1395">
        <f>IF(SUM(F19:F26)=E8,SUM(F19:F26),"地上面积有误")</f>
        <v>271.14</v>
      </c>
      <c r="G27" s="1397">
        <f>SUM(G19:G26)</f>
        <v>3376.1600000000003</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t="str">
        <f>IF(SUM(R19:R26)=$D$3,SUM(R19:R26),SUM(R19:R26)&amp;"误差"&amp;ROUND(SUM(R19:R26)-$D$3,2))</f>
        <v>1042.41误差-0.01</v>
      </c>
      <c r="S27" s="1249">
        <f>IF(SUM(S19:S26)=$E$3,SUM(S19:S26),SUM(S19:S26)&amp;"误差"&amp;ROUND(SUM(S19:S26)-E3,2))</f>
        <v>3647.3</v>
      </c>
    </row>
    <row r="28" spans="1:19">
      <c r="A28" s="2263"/>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3"/>
      <c r="B29" s="50" t="s">
        <v>1964</v>
      </c>
      <c r="C29" s="2267"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3"/>
      <c r="B30" s="50"/>
      <c r="C30" s="2268"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9"/>
      <c r="B31" s="2270"/>
      <c r="C31" s="1009" t="s">
        <v>1967</v>
      </c>
      <c r="D31" s="729">
        <f>D27+D30</f>
        <v>1042.4100000000001</v>
      </c>
      <c r="E31" s="729">
        <f>E27+E30</f>
        <v>3647.3</v>
      </c>
      <c r="F31" s="730">
        <f>F27+F30</f>
        <v>271.14</v>
      </c>
      <c r="G31" s="731">
        <f>G27+G30</f>
        <v>3376.1600000000003</v>
      </c>
      <c r="H31" s="1394"/>
      <c r="I31" s="1394"/>
      <c r="J31" s="1394"/>
      <c r="K31" s="1394"/>
      <c r="L31" s="1394"/>
      <c r="M31" s="1394"/>
      <c r="N31" s="1394"/>
      <c r="O31" s="1394"/>
      <c r="P31" s="1394"/>
    </row>
    <row r="32" spans="1:19">
      <c r="A32" s="2234"/>
      <c r="B32" s="2234" t="s">
        <v>1968</v>
      </c>
      <c r="C32" s="2234"/>
      <c r="D32" s="2234"/>
      <c r="E32" s="1276">
        <f>SUMIF(C19:C26,"*住宅*",E19:E26)</f>
        <v>0</v>
      </c>
      <c r="F32" s="2234"/>
      <c r="G32" s="2234"/>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O6" sqref="O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1969</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1970</v>
      </c>
      <c r="B2" s="1268">
        <f>项目基本情况!D3</f>
        <v>43100</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1971</v>
      </c>
      <c r="B4" s="2281"/>
      <c r="C4" s="2282"/>
      <c r="D4" s="2283"/>
      <c r="E4" s="2282" t="s">
        <v>1972</v>
      </c>
      <c r="F4" s="2282"/>
      <c r="G4" s="2282"/>
      <c r="H4" s="2282"/>
      <c r="I4" s="2282"/>
      <c r="J4" s="2284"/>
      <c r="K4" s="2285"/>
      <c r="L4" s="2286"/>
      <c r="M4" s="2282"/>
      <c r="N4" s="2282" t="s">
        <v>1973</v>
      </c>
      <c r="O4" s="2282"/>
      <c r="P4" s="2282"/>
      <c r="Q4" s="2282"/>
      <c r="R4" s="2282"/>
      <c r="S4" s="2284"/>
      <c r="T4" s="2287" t="str">
        <f>'数据-汇总表'!I17</f>
        <v>按面积比例</v>
      </c>
      <c r="U4" s="2281" t="s">
        <v>1974</v>
      </c>
      <c r="V4" s="2282"/>
      <c r="W4" s="2282"/>
      <c r="X4" s="2282"/>
      <c r="Y4" s="2284"/>
      <c r="Z4" s="2245" t="s">
        <v>1975</v>
      </c>
      <c r="AA4" s="2245"/>
      <c r="AB4" s="2245"/>
      <c r="AC4" s="2245"/>
      <c r="AD4" s="2245"/>
      <c r="AE4" s="2243" t="s">
        <v>1976</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1977</v>
      </c>
      <c r="B5" s="2290" t="s">
        <v>1978</v>
      </c>
      <c r="C5" s="2291" t="s">
        <v>1979</v>
      </c>
      <c r="D5" s="2292" t="s">
        <v>1980</v>
      </c>
      <c r="E5" s="1270" t="s">
        <v>1981</v>
      </c>
      <c r="F5" s="2293" t="s">
        <v>1982</v>
      </c>
      <c r="G5" s="1270" t="s">
        <v>1983</v>
      </c>
      <c r="H5" s="1270" t="s">
        <v>1984</v>
      </c>
      <c r="I5" s="1270" t="s">
        <v>1985</v>
      </c>
      <c r="J5" s="2294" t="s">
        <v>1986</v>
      </c>
      <c r="K5" s="2295" t="s">
        <v>1987</v>
      </c>
      <c r="L5" s="2296" t="s">
        <v>1988</v>
      </c>
      <c r="M5" s="2297" t="s">
        <v>1989</v>
      </c>
      <c r="N5" s="2298" t="s">
        <v>3120</v>
      </c>
      <c r="O5" s="2296" t="s">
        <v>1990</v>
      </c>
      <c r="P5" s="2299" t="s">
        <v>1991</v>
      </c>
      <c r="Q5" s="69" t="s">
        <v>1992</v>
      </c>
      <c r="R5" s="2300" t="s">
        <v>1993</v>
      </c>
      <c r="S5" s="2301" t="s">
        <v>1994</v>
      </c>
      <c r="T5" s="2302" t="s">
        <v>1995</v>
      </c>
      <c r="U5" s="1269" t="s">
        <v>1996</v>
      </c>
      <c r="V5" s="1270" t="s">
        <v>1997</v>
      </c>
      <c r="W5" s="1270" t="s">
        <v>1998</v>
      </c>
      <c r="X5" s="71"/>
      <c r="Y5" s="70" t="s">
        <v>1999</v>
      </c>
      <c r="Z5" s="2303" t="s">
        <v>1996</v>
      </c>
      <c r="AA5" s="1270" t="s">
        <v>1997</v>
      </c>
      <c r="AB5" s="1270" t="s">
        <v>1998</v>
      </c>
      <c r="AC5" s="71"/>
      <c r="AD5" s="71" t="s">
        <v>1999</v>
      </c>
      <c r="AE5" s="1269" t="s">
        <v>2000</v>
      </c>
      <c r="AF5" s="1270" t="s">
        <v>2001</v>
      </c>
      <c r="AG5" s="70" t="s">
        <v>2002</v>
      </c>
      <c r="AH5" s="1269" t="s">
        <v>2003</v>
      </c>
      <c r="AI5" s="2303" t="s">
        <v>2004</v>
      </c>
      <c r="AJ5" s="2303" t="s">
        <v>2005</v>
      </c>
      <c r="AK5" s="1270" t="s">
        <v>2006</v>
      </c>
      <c r="AL5" s="1270" t="s">
        <v>2007</v>
      </c>
      <c r="AM5" s="70" t="s">
        <v>2008</v>
      </c>
      <c r="AN5" s="2304" t="s">
        <v>2009</v>
      </c>
      <c r="AO5" s="2075" t="s">
        <v>2010</v>
      </c>
      <c r="AP5" s="1251" t="s">
        <v>2011</v>
      </c>
      <c r="AQ5" s="2305" t="s">
        <v>2012</v>
      </c>
      <c r="AR5" s="2305" t="s">
        <v>2013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6" t="str">
        <f>'数据-汇总表'!C19</f>
        <v>办公</v>
      </c>
      <c r="B6" s="2307" t="str">
        <f>IF(A6=0,"","经营性")</f>
        <v>经营性</v>
      </c>
      <c r="C6" s="2308" t="s">
        <v>27</v>
      </c>
      <c r="D6" s="1053">
        <f>SUMIF(项目基本情况!D$12:I$12,C6,项目基本情况!D$14:I$14)</f>
        <v>0</v>
      </c>
      <c r="E6" s="1050">
        <f>IF(B6="","",SUMIF(项目基本情况!D$12:I$12,C6,项目基本情况!D$13:I$13))</f>
        <v>57196</v>
      </c>
      <c r="F6" s="72">
        <f>SUMIF(项目基本情况!D$12:I$12,C6,项目基本情况!D$15:I$15)</f>
        <v>38.61</v>
      </c>
      <c r="G6" s="73">
        <f>IF(ISERROR(ROUND(POWER(1+H6,D6-F6)*(POWER(1+H6,F6)-1)/(POWER(1+H6,D6)-1),3)),0,ROUND(POWER(1+H6,D6-F6)*(POWER(1+H6,F6)-1)/(POWER(1+H6,D6)-1),3))</f>
        <v>0</v>
      </c>
      <c r="H6" s="802">
        <v>4.4999999999999998E-2</v>
      </c>
      <c r="I6" s="802">
        <v>5.5E-2</v>
      </c>
      <c r="J6" s="74">
        <v>8.5000000000000006E-2</v>
      </c>
      <c r="K6" s="1253">
        <f>SUMIF('数据-汇总表'!C$19:C$33,A6,'数据-汇总表'!E$19:E$33)</f>
        <v>271.14</v>
      </c>
      <c r="L6" s="803">
        <v>3000</v>
      </c>
      <c r="M6" s="75">
        <f t="shared" ref="M6:M14" si="0">ROUND(K6*L6/10000,0)</f>
        <v>81</v>
      </c>
      <c r="N6" s="801">
        <v>0.85</v>
      </c>
      <c r="O6" s="75" t="str">
        <f>IF($N$5="成新度","——",ROUND(M6*N6,0))</f>
        <v>——</v>
      </c>
      <c r="P6" s="76" t="str">
        <f>IF($N$5="成新度","——",M6-O6)</f>
        <v>——</v>
      </c>
      <c r="Q6" s="804">
        <v>0.25</v>
      </c>
      <c r="R6" s="77">
        <f ca="1">SUMIF('数据-汇总表'!C$19:C$33,A6,'数据-汇总表'!R$19:R$27)</f>
        <v>77.489999999999995</v>
      </c>
      <c r="S6" s="54">
        <f>IF('数据-汇总表'!$I$17="按面积比例",SUMIF('数据-汇总表'!C$19:C$33,A6,'数据-汇总表'!K$19:K$33),SUMIF('数据-汇总表'!C$19:C$33,A6,'数据-汇总表'!N$19:N$33))</f>
        <v>0</v>
      </c>
      <c r="T6" s="1445">
        <f>ROUND($L$14*S6/10000,0)</f>
        <v>0</v>
      </c>
      <c r="U6" s="78">
        <v>4.9000000000000004</v>
      </c>
      <c r="V6" s="79">
        <v>0.02</v>
      </c>
      <c r="W6" s="79">
        <v>0.12</v>
      </c>
      <c r="X6" s="1263"/>
      <c r="Y6" s="80">
        <f>N6</f>
        <v>0.85</v>
      </c>
      <c r="Z6" s="81"/>
      <c r="AA6" s="74"/>
      <c r="AB6" s="74"/>
      <c r="AC6" s="1263"/>
      <c r="AD6" s="82"/>
      <c r="AE6" s="1264">
        <f ca="1">IF(AN6="",0,SUMIF(INDIRECT("'"&amp;AN6&amp;"'"&amp;"!E:E"),$AE$5,INDIRECT("'"&amp;AN6&amp;"'"&amp;"!F:F")))</f>
        <v>38.61</v>
      </c>
      <c r="AF6" s="1806"/>
      <c r="AG6" s="147">
        <f>IF(AF6="",0,AE6-AF6)</f>
        <v>0</v>
      </c>
      <c r="AH6" s="83"/>
      <c r="AI6" s="85">
        <v>365</v>
      </c>
      <c r="AJ6" s="86"/>
      <c r="AK6" s="87">
        <v>0.02</v>
      </c>
      <c r="AL6" s="88">
        <v>2E-3</v>
      </c>
      <c r="AM6" s="89">
        <v>0.02</v>
      </c>
      <c r="AN6" s="2309" t="s">
        <v>3099</v>
      </c>
      <c r="AO6" s="55">
        <f ca="1">SUMIF(INDIRECT("'"&amp;AN6&amp;"'"&amp;"!A:A"),"总价",INDIRECT("'"&amp;AN6&amp;"'"&amp;"!B:B"))</f>
        <v>751</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t="str">
        <f>'数据-汇总表'!C20</f>
        <v>地下商业</v>
      </c>
      <c r="B7" s="2307" t="str">
        <f t="shared" ref="B7:B13" si="1">IF(A7=0,"","经营性")</f>
        <v>经营性</v>
      </c>
      <c r="C7" s="2308" t="s">
        <v>1377</v>
      </c>
      <c r="D7" s="1053">
        <f>SUMIF(项目基本情况!D$12:I$12,C7,项目基本情况!D$14:I$14)</f>
        <v>0</v>
      </c>
      <c r="E7" s="1050">
        <f>IF(B7="","",SUMIF(项目基本情况!D$12:I$12,C7,项目基本情况!D$13:I$13))</f>
        <v>53543</v>
      </c>
      <c r="F7" s="72">
        <f>SUMIF(项目基本情况!D$12:I$12,C7,项目基本情况!D$15:I$15)</f>
        <v>28.61</v>
      </c>
      <c r="G7" s="73">
        <f t="shared" ref="G7:G11" si="2">IF(ISERROR(ROUND(POWER(1+H7,D7-F7)*(POWER(1+H7,F7)-1)/(POWER(1+H7,D7)-1),3)),0,ROUND(POWER(1+H7,D7-F7)*(POWER(1+H7,F7)-1)/(POWER(1+H7,D7)-1),3))</f>
        <v>0</v>
      </c>
      <c r="H7" s="802">
        <v>4.4999999999999998E-2</v>
      </c>
      <c r="I7" s="802">
        <v>5.5E-2</v>
      </c>
      <c r="J7" s="74">
        <v>8.5000000000000006E-2</v>
      </c>
      <c r="K7" s="1253">
        <f>SUMIF('数据-汇总表'!C$19:C$33,A7,'数据-汇总表'!E$19:E$33)</f>
        <v>3052.4</v>
      </c>
      <c r="L7" s="803">
        <v>3000</v>
      </c>
      <c r="M7" s="75">
        <f t="shared" si="0"/>
        <v>916</v>
      </c>
      <c r="N7" s="801">
        <f>N6</f>
        <v>0.85</v>
      </c>
      <c r="O7" s="75" t="str">
        <f t="shared" ref="O7:O14" si="3">IF($N$5="成新度","——",ROUND(M7*N7,0))</f>
        <v>——</v>
      </c>
      <c r="P7" s="76" t="str">
        <f t="shared" ref="P7:P14" si="4">IF($N$5="成新度","——",M7-O7)</f>
        <v>——</v>
      </c>
      <c r="Q7" s="804">
        <v>0.2</v>
      </c>
      <c r="R7" s="77">
        <f ca="1">SUMIF('数据-汇总表'!C$19:C$33,A7,'数据-汇总表'!R$19:R$27)</f>
        <v>872.39</v>
      </c>
      <c r="S7" s="54">
        <f>IF('数据-汇总表'!$I$17="按面积比例",SUMIF('数据-汇总表'!C$19:C$33,A7,'数据-汇总表'!K$19:K$33),SUMIF('数据-汇总表'!C$19:C$33,A7,'数据-汇总表'!N$19:N$33))</f>
        <v>0</v>
      </c>
      <c r="T7" s="1445">
        <f t="shared" ref="T7:T13" si="5">ROUND($L$14*S7/10000,0)</f>
        <v>0</v>
      </c>
      <c r="U7" s="78">
        <f>'比较法-商业租金'!C49</f>
        <v>5.2</v>
      </c>
      <c r="V7" s="79">
        <v>0.02</v>
      </c>
      <c r="W7" s="79">
        <v>0.15</v>
      </c>
      <c r="X7" s="1263"/>
      <c r="Y7" s="80">
        <f t="shared" ref="Y7:Y8" si="6">N7</f>
        <v>0.85</v>
      </c>
      <c r="Z7" s="81"/>
      <c r="AA7" s="74"/>
      <c r="AB7" s="74"/>
      <c r="AC7" s="1263"/>
      <c r="AD7" s="82"/>
      <c r="AE7" s="1264">
        <f t="shared" ref="AE7:AE13" ca="1" si="7">IF(AN7="",0,SUMIF(INDIRECT("'"&amp;AN7&amp;"'"&amp;"!E:E"),$AE$5,INDIRECT("'"&amp;AN7&amp;"'"&amp;"!F:F")))</f>
        <v>28.61</v>
      </c>
      <c r="AF7" s="1806"/>
      <c r="AG7" s="147">
        <f t="shared" ref="AG7:AG13" si="8">IF(AF7="",0,AE7-AF7)</f>
        <v>0</v>
      </c>
      <c r="AH7" s="83"/>
      <c r="AI7" s="85">
        <v>365</v>
      </c>
      <c r="AJ7" s="86"/>
      <c r="AK7" s="87">
        <v>0.02</v>
      </c>
      <c r="AL7" s="88">
        <v>2E-3</v>
      </c>
      <c r="AM7" s="89">
        <v>0.02</v>
      </c>
      <c r="AN7" s="2309" t="s">
        <v>3100</v>
      </c>
      <c r="AO7" s="55">
        <f t="shared" ref="AO7:AO13" ca="1" si="9">SUMIF(INDIRECT("'"&amp;AN7&amp;"'"&amp;"!A:A"),"总价",INDIRECT("'"&amp;AN7&amp;"'"&amp;"!B:B"))</f>
        <v>7388</v>
      </c>
      <c r="AP7" s="2310">
        <f t="shared" ref="AP7:AP13" si="10">IF(C7="住宅",K7*L7,0)</f>
        <v>0</v>
      </c>
      <c r="AQ7" s="55">
        <f t="shared" ref="AQ7:AQ13" si="11">ROUND($L$14*$N$14*S7/10000,0)</f>
        <v>0</v>
      </c>
      <c r="AR7" s="55">
        <f t="shared" ref="AR7:AR13" si="12">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t="str">
        <f>'数据-汇总表'!C21</f>
        <v>仓储</v>
      </c>
      <c r="B8" s="2307" t="str">
        <f t="shared" si="1"/>
        <v>经营性</v>
      </c>
      <c r="C8" s="2308" t="s">
        <v>3103</v>
      </c>
      <c r="D8" s="1053">
        <f>SUMIF(项目基本情况!D$12:I$12,C8,项目基本情况!D$14:I$14)</f>
        <v>0</v>
      </c>
      <c r="E8" s="1050">
        <f>IF(B8="","",SUMIF(项目基本情况!D$12:I$12,C8,项目基本情况!D$13:I$13))</f>
        <v>57196</v>
      </c>
      <c r="F8" s="72">
        <f>SUMIF(项目基本情况!D$12:I$12,C8,项目基本情况!D$15:I$15)</f>
        <v>38.61</v>
      </c>
      <c r="G8" s="73">
        <f t="shared" si="2"/>
        <v>0</v>
      </c>
      <c r="H8" s="802">
        <v>0.04</v>
      </c>
      <c r="I8" s="802">
        <v>0.05</v>
      </c>
      <c r="J8" s="74">
        <v>8.5000000000000006E-2</v>
      </c>
      <c r="K8" s="1253">
        <f>SUMIF('数据-汇总表'!C$19:C$33,A8,'数据-汇总表'!E$19:E$33)</f>
        <v>323.76000000000005</v>
      </c>
      <c r="L8" s="803">
        <v>2500</v>
      </c>
      <c r="M8" s="75">
        <f>ROUND(K8*L8/10000,0)</f>
        <v>81</v>
      </c>
      <c r="N8" s="801">
        <f>N6</f>
        <v>0.85</v>
      </c>
      <c r="O8" s="75" t="str">
        <f t="shared" si="3"/>
        <v>——</v>
      </c>
      <c r="P8" s="76" t="str">
        <f t="shared" si="4"/>
        <v>——</v>
      </c>
      <c r="Q8" s="804">
        <v>0.15</v>
      </c>
      <c r="R8" s="77">
        <f ca="1">SUMIF('数据-汇总表'!C$19:C$33,A8,'数据-汇总表'!R$19:R$27)</f>
        <v>92.53</v>
      </c>
      <c r="S8" s="54">
        <f>IF('数据-汇总表'!$I$17="按面积比例",SUMIF('数据-汇总表'!C$19:C$33,A8,'数据-汇总表'!K$19:K$33),SUMIF('数据-汇总表'!C$19:C$33,A8,'数据-汇总表'!N$19:N$33))</f>
        <v>0</v>
      </c>
      <c r="T8" s="1445">
        <f t="shared" si="5"/>
        <v>0</v>
      </c>
      <c r="U8" s="805">
        <f>ROUND('比较法-仓储'!C37*0.8,1)</f>
        <v>1.4</v>
      </c>
      <c r="V8" s="806">
        <v>1.4999999999999999E-2</v>
      </c>
      <c r="W8" s="806">
        <v>0.15</v>
      </c>
      <c r="X8" s="1263"/>
      <c r="Y8" s="80">
        <f t="shared" si="6"/>
        <v>0.85</v>
      </c>
      <c r="Z8" s="81"/>
      <c r="AA8" s="74"/>
      <c r="AB8" s="74"/>
      <c r="AC8" s="1263"/>
      <c r="AD8" s="82"/>
      <c r="AE8" s="1264">
        <f t="shared" ca="1" si="7"/>
        <v>38.61</v>
      </c>
      <c r="AF8" s="1806"/>
      <c r="AG8" s="147">
        <f t="shared" si="8"/>
        <v>0</v>
      </c>
      <c r="AH8" s="807"/>
      <c r="AI8" s="85">
        <v>365</v>
      </c>
      <c r="AJ8" s="86"/>
      <c r="AK8" s="808">
        <v>0.02</v>
      </c>
      <c r="AL8" s="809">
        <v>2E-3</v>
      </c>
      <c r="AM8" s="810">
        <v>0.02</v>
      </c>
      <c r="AN8" s="2309" t="s">
        <v>3098</v>
      </c>
      <c r="AO8" s="55">
        <f t="shared" ca="1" si="9"/>
        <v>190</v>
      </c>
      <c r="AP8" s="2310">
        <f t="shared" si="10"/>
        <v>0</v>
      </c>
      <c r="AQ8" s="55">
        <f t="shared" si="11"/>
        <v>0</v>
      </c>
      <c r="AR8" s="55">
        <f t="shared" si="12"/>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7"/>
        <v>0</v>
      </c>
      <c r="AF9" s="1806"/>
      <c r="AG9" s="147">
        <f t="shared" si="8"/>
        <v>0</v>
      </c>
      <c r="AH9" s="83"/>
      <c r="AI9" s="85"/>
      <c r="AJ9" s="86"/>
      <c r="AK9" s="87"/>
      <c r="AL9" s="88"/>
      <c r="AM9" s="89"/>
      <c r="AN9" s="2309"/>
      <c r="AO9" s="55" t="e">
        <f t="shared" ca="1" si="9"/>
        <v>#REF!</v>
      </c>
      <c r="AP9" s="2310">
        <f t="shared" si="10"/>
        <v>0</v>
      </c>
      <c r="AQ9" s="55">
        <f t="shared" si="11"/>
        <v>0</v>
      </c>
      <c r="AR9" s="55">
        <f t="shared" si="12"/>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7"/>
        <v>0</v>
      </c>
      <c r="AF10" s="1806"/>
      <c r="AG10" s="147">
        <f t="shared" si="8"/>
        <v>0</v>
      </c>
      <c r="AH10" s="83"/>
      <c r="AI10" s="85"/>
      <c r="AJ10" s="86"/>
      <c r="AK10" s="87"/>
      <c r="AL10" s="88"/>
      <c r="AM10" s="89"/>
      <c r="AN10" s="2309"/>
      <c r="AO10" s="55" t="e">
        <f t="shared" ca="1" si="9"/>
        <v>#REF!</v>
      </c>
      <c r="AP10" s="2310">
        <f t="shared" si="10"/>
        <v>0</v>
      </c>
      <c r="AQ10" s="55">
        <f t="shared" si="11"/>
        <v>0</v>
      </c>
      <c r="AR10" s="55">
        <f t="shared" si="12"/>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7"/>
        <v>0</v>
      </c>
      <c r="AF11" s="1806"/>
      <c r="AG11" s="147">
        <f t="shared" si="8"/>
        <v>0</v>
      </c>
      <c r="AH11" s="83"/>
      <c r="AI11" s="85"/>
      <c r="AJ11" s="86"/>
      <c r="AK11" s="94"/>
      <c r="AL11" s="95"/>
      <c r="AM11" s="96"/>
      <c r="AN11" s="2309"/>
      <c r="AO11" s="55" t="e">
        <f t="shared" ca="1" si="9"/>
        <v>#REF!</v>
      </c>
      <c r="AP11" s="2310">
        <f t="shared" si="10"/>
        <v>0</v>
      </c>
      <c r="AQ11" s="55">
        <f t="shared" si="11"/>
        <v>0</v>
      </c>
      <c r="AR11" s="55">
        <f t="shared" si="12"/>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7"/>
        <v>0</v>
      </c>
      <c r="AF12" s="1806"/>
      <c r="AG12" s="147">
        <f t="shared" si="8"/>
        <v>0</v>
      </c>
      <c r="AH12" s="83"/>
      <c r="AI12" s="85"/>
      <c r="AJ12" s="86"/>
      <c r="AK12" s="94"/>
      <c r="AL12" s="95"/>
      <c r="AM12" s="96"/>
      <c r="AN12" s="2309"/>
      <c r="AO12" s="55" t="e">
        <f t="shared" ca="1" si="9"/>
        <v>#REF!</v>
      </c>
      <c r="AP12" s="2310">
        <f t="shared" si="10"/>
        <v>0</v>
      </c>
      <c r="AQ12" s="55">
        <f t="shared" si="11"/>
        <v>0</v>
      </c>
      <c r="AR12" s="55">
        <f t="shared" si="12"/>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7"/>
        <v>0</v>
      </c>
      <c r="AF13" s="1806"/>
      <c r="AG13" s="147">
        <f t="shared" si="8"/>
        <v>0</v>
      </c>
      <c r="AH13" s="83"/>
      <c r="AI13" s="85"/>
      <c r="AJ13" s="86"/>
      <c r="AK13" s="87"/>
      <c r="AL13" s="88"/>
      <c r="AM13" s="89"/>
      <c r="AN13" s="2309"/>
      <c r="AO13" s="55" t="e">
        <f t="shared" ca="1" si="9"/>
        <v>#REF!</v>
      </c>
      <c r="AP13" s="2310">
        <f t="shared" si="10"/>
        <v>0</v>
      </c>
      <c r="AQ13" s="55">
        <f t="shared" si="11"/>
        <v>0</v>
      </c>
      <c r="AR13" s="55">
        <f t="shared" si="12"/>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2014</v>
      </c>
      <c r="B14" s="2307" t="s">
        <v>2015</v>
      </c>
      <c r="C14" s="2312"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2016</v>
      </c>
      <c r="B15" s="2307" t="s">
        <v>2015</v>
      </c>
      <c r="C15" s="2312"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2018</v>
      </c>
      <c r="B16" s="97"/>
      <c r="C16" s="1007"/>
      <c r="D16" s="2314"/>
      <c r="E16" s="97"/>
      <c r="F16" s="97"/>
      <c r="G16" s="98" t="e">
        <f>ROUND(SUMPRODUCT(G6:G13,K6:K13)/SUMPRODUCT((G6:G13&gt;0)*(K6:K13)),3)</f>
        <v>#DIV/0!</v>
      </c>
      <c r="H16" s="99">
        <f>ROUND(SUMPRODUCT(H6:H13,K6:K13)/SUMPRODUCT((H6:H13&gt;0)*(K6:K13)),3)</f>
        <v>4.4999999999999998E-2</v>
      </c>
      <c r="I16" s="100"/>
      <c r="J16" s="100"/>
      <c r="K16" s="101">
        <f>SUM(K6:K15)</f>
        <v>3647.3</v>
      </c>
      <c r="L16" s="102">
        <f>ROUND(M16*10000/SUM(K6:K14),0)</f>
        <v>2956</v>
      </c>
      <c r="M16" s="102">
        <f>SUM(M6:M14)</f>
        <v>1078</v>
      </c>
      <c r="N16" s="103">
        <f>ROUND(SUMPRODUCT(M6:M14,N6:N14)/M16,3)</f>
        <v>0.85</v>
      </c>
      <c r="O16" s="102">
        <f>SUM(O6:O14)</f>
        <v>0</v>
      </c>
      <c r="P16" s="102">
        <f>SUM(P6:P14)</f>
        <v>0</v>
      </c>
      <c r="Q16" s="104">
        <f>ROUND(SUMPRODUCT(Q6:Q13,K6:K13)/SUMPRODUCT((Q6:Q13&gt;0)*(K6:K13)),2)</f>
        <v>0.2</v>
      </c>
      <c r="R16" s="1257">
        <f ca="1">SUM(R6:R13)</f>
        <v>1042.4100000000001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2020</v>
      </c>
      <c r="B19" s="112">
        <v>0</v>
      </c>
      <c r="C19" s="2277" t="s">
        <v>2021</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2022</v>
      </c>
      <c r="B20" s="113">
        <v>1.5</v>
      </c>
      <c r="C20" s="2277" t="s">
        <v>2023</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2024</v>
      </c>
      <c r="B21" s="113">
        <v>1.5</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2025</v>
      </c>
      <c r="B22" s="114">
        <f>B19+B20</f>
        <v>1.5</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2026</v>
      </c>
      <c r="B23" s="114">
        <f>B19+B21</f>
        <v>1.5</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2027</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2028</v>
      </c>
      <c r="B26" s="2320" t="s">
        <v>2029</v>
      </c>
      <c r="C26" s="2321" t="s">
        <v>2030</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2031</v>
      </c>
      <c r="B27" s="116">
        <v>200</v>
      </c>
      <c r="C27" s="1766" t="s">
        <v>2032</v>
      </c>
      <c r="D27" s="2323"/>
      <c r="E27" s="1429"/>
      <c r="F27" s="1429"/>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2033</v>
      </c>
      <c r="B28" s="119">
        <v>120</v>
      </c>
      <c r="C28" s="2326"/>
      <c r="D28" s="2323"/>
      <c r="E28" s="1429"/>
      <c r="F28" s="1429"/>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2034</v>
      </c>
      <c r="B29" s="121"/>
      <c r="C29" s="1766" t="s">
        <v>2035</v>
      </c>
      <c r="D29" s="2323"/>
      <c r="E29" s="1429"/>
      <c r="F29" s="1429"/>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2036</v>
      </c>
      <c r="B30" s="724">
        <v>200</v>
      </c>
      <c r="C30" s="2326"/>
      <c r="D30" s="2323"/>
      <c r="E30" s="1429"/>
      <c r="F30" s="1429"/>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2037</v>
      </c>
      <c r="B31" s="120">
        <f>B30-B32</f>
        <v>200</v>
      </c>
      <c r="C31" s="1766"/>
      <c r="D31" s="2323"/>
      <c r="E31" s="1429"/>
      <c r="F31" s="1429"/>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2038</v>
      </c>
      <c r="B32" s="725">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2039</v>
      </c>
      <c r="B33" s="726">
        <v>0.03</v>
      </c>
      <c r="C33" s="1765" t="s">
        <v>2040</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2041</v>
      </c>
      <c r="B34" s="122">
        <v>0</v>
      </c>
      <c r="C34" s="1765" t="s">
        <v>2042</v>
      </c>
      <c r="D34" s="2278" t="s">
        <v>2043</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2044</v>
      </c>
      <c r="B35" s="119">
        <v>200</v>
      </c>
      <c r="C35" s="1765" t="s">
        <v>2045</v>
      </c>
      <c r="D35" s="2323"/>
      <c r="E35" s="1429"/>
      <c r="F35" s="1429"/>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2046</v>
      </c>
      <c r="B36" s="123">
        <v>1.52E-2</v>
      </c>
      <c r="C36" s="1765" t="s">
        <v>2047</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2048</v>
      </c>
      <c r="B37" s="124">
        <v>0.02</v>
      </c>
      <c r="C37" s="1765" t="s">
        <v>2049</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2050</v>
      </c>
      <c r="B38" s="122">
        <v>0.02</v>
      </c>
      <c r="C38" s="1765" t="s">
        <v>2049</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2051</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2052</v>
      </c>
      <c r="B40" s="1302">
        <f ca="1">存贷款利率!G1</f>
        <v>4.7500000000000001E-2</v>
      </c>
      <c r="C40" s="1765" t="s">
        <v>2053</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2054</v>
      </c>
      <c r="B41" s="125">
        <f>B42+B43</f>
        <v>5.6000000000000001E-2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2055</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2056</v>
      </c>
      <c r="B43" s="127">
        <f>B42*(B44+B45+B46)+B47</f>
        <v>6.000000000000001E-3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2057</v>
      </c>
      <c r="B44" s="128">
        <v>7.0000000000000007E-2</v>
      </c>
      <c r="C44" s="1765" t="s">
        <v>2058</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2059</v>
      </c>
      <c r="B45" s="126">
        <v>0.03</v>
      </c>
      <c r="C45" s="1766" t="s">
        <v>2060</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2061</v>
      </c>
      <c r="B46" s="126">
        <v>0.02</v>
      </c>
      <c r="C46" s="1766" t="s">
        <v>2062</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2063</v>
      </c>
      <c r="B47" s="129"/>
      <c r="C47" s="1766" t="s">
        <v>2064</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2065</v>
      </c>
      <c r="B48" s="130">
        <v>0.03</v>
      </c>
      <c r="C48" s="1773" t="s">
        <v>2066</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2067</v>
      </c>
      <c r="B49" s="126">
        <v>5.0000000000000001E-4</v>
      </c>
      <c r="C49" s="1773" t="s">
        <v>2068</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2069</v>
      </c>
      <c r="B50" s="131">
        <v>1.2E-2</v>
      </c>
      <c r="C50" s="1429"/>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2070</v>
      </c>
      <c r="B51" s="132">
        <v>0.12</v>
      </c>
      <c r="C51" s="1429"/>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2071</v>
      </c>
      <c r="B52" s="133">
        <f>SUMIF(A54:A63,B53,B54:B63)</f>
        <v>3</v>
      </c>
      <c r="C52" s="1429"/>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2072</v>
      </c>
      <c r="B53" s="2336" t="s">
        <v>523</v>
      </c>
      <c r="C53" s="1429" t="s">
        <v>2073</v>
      </c>
      <c r="D53" s="2337" t="s">
        <v>2074</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2075</v>
      </c>
      <c r="B54" s="84"/>
      <c r="C54" s="1429">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2076</v>
      </c>
      <c r="B55" s="84"/>
      <c r="C55" s="1429">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2077</v>
      </c>
      <c r="B56" s="84"/>
      <c r="C56" s="1429">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2078</v>
      </c>
      <c r="B57" s="84"/>
      <c r="C57" s="1429">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2079</v>
      </c>
      <c r="B58" s="84">
        <v>3</v>
      </c>
      <c r="C58" s="1429">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2080</v>
      </c>
      <c r="B59" s="84"/>
      <c r="C59" s="1429">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2081</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2082</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2083</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2084</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8"/>
      <c r="L64" s="798"/>
    </row>
    <row r="65" spans="1:12" s="966" customFormat="1">
      <c r="A65" s="2341"/>
      <c r="D65" s="2342"/>
      <c r="K65" s="798"/>
      <c r="L65" s="798"/>
    </row>
    <row r="66" spans="1:12" s="966" customFormat="1">
      <c r="A66" s="2341"/>
      <c r="D66" s="2342"/>
      <c r="K66" s="798"/>
      <c r="L66" s="798"/>
    </row>
    <row r="67" spans="1:12" s="966" customFormat="1">
      <c r="A67" s="2341"/>
      <c r="D67" s="2342"/>
      <c r="K67" s="798"/>
      <c r="L67" s="798"/>
    </row>
    <row r="68" spans="1:12" s="966" customFormat="1">
      <c r="A68" s="2341"/>
      <c r="D68" s="2342"/>
      <c r="K68" s="798"/>
      <c r="L68" s="798"/>
    </row>
    <row r="69" spans="1:12" s="966" customFormat="1">
      <c r="A69" s="2341"/>
      <c r="D69" s="2342"/>
      <c r="K69" s="798"/>
      <c r="L69" s="798"/>
    </row>
    <row r="70" spans="1:12" s="966" customFormat="1">
      <c r="A70" s="2341"/>
      <c r="D70" s="2342"/>
      <c r="K70" s="798"/>
      <c r="L70" s="798"/>
    </row>
    <row r="71" spans="1:12" s="966" customFormat="1">
      <c r="A71" s="2341"/>
      <c r="D71" s="2342"/>
      <c r="K71" s="798"/>
      <c r="L71" s="798"/>
    </row>
    <row r="72" spans="1:12" s="966" customFormat="1">
      <c r="A72" s="2341"/>
      <c r="D72" s="2342"/>
      <c r="K72" s="798"/>
      <c r="L72" s="798"/>
    </row>
    <row r="73" spans="1:12" s="966" customFormat="1">
      <c r="A73" s="2341"/>
      <c r="D73" s="2342"/>
      <c r="K73" s="798"/>
      <c r="L73" s="798"/>
    </row>
    <row r="74" spans="1:12" s="966" customFormat="1">
      <c r="A74" s="2341"/>
      <c r="D74" s="2342"/>
      <c r="K74" s="798"/>
      <c r="L74" s="798"/>
    </row>
    <row r="75" spans="1:12" s="966" customFormat="1">
      <c r="A75" s="2341"/>
      <c r="D75" s="2342"/>
      <c r="K75" s="798"/>
      <c r="L75" s="798"/>
    </row>
    <row r="76" spans="1:12" s="966" customFormat="1">
      <c r="A76" s="2341"/>
      <c r="D76" s="2342"/>
      <c r="K76" s="798"/>
      <c r="L76" s="798"/>
    </row>
    <row r="77" spans="1:12" s="966" customFormat="1">
      <c r="A77" s="2341"/>
      <c r="D77" s="2342"/>
      <c r="K77" s="798"/>
      <c r="L77" s="798"/>
    </row>
    <row r="78" spans="1:12" s="966" customFormat="1">
      <c r="A78" s="2341"/>
      <c r="D78" s="2342"/>
      <c r="K78" s="798"/>
      <c r="L78" s="798"/>
    </row>
    <row r="79" spans="1:12" s="966" customFormat="1">
      <c r="A79" s="2341"/>
      <c r="D79" s="2342"/>
      <c r="K79" s="798"/>
      <c r="L79" s="798"/>
    </row>
    <row r="80" spans="1:12" s="966" customFormat="1">
      <c r="A80" s="2341"/>
      <c r="D80" s="2342"/>
      <c r="K80" s="798"/>
      <c r="L80" s="798"/>
    </row>
    <row r="81" spans="1:12" s="966" customFormat="1">
      <c r="A81" s="2341"/>
      <c r="D81" s="2342"/>
      <c r="K81" s="798"/>
      <c r="L81" s="798"/>
    </row>
    <row r="82" spans="1:12" s="966" customFormat="1">
      <c r="A82" s="2341"/>
      <c r="D82" s="2342"/>
      <c r="K82" s="798"/>
      <c r="L82" s="798"/>
    </row>
    <row r="83" spans="1:12" s="966" customFormat="1">
      <c r="A83" s="2341"/>
      <c r="D83" s="2342"/>
      <c r="K83" s="798"/>
      <c r="L83" s="798"/>
    </row>
    <row r="84" spans="1:12" s="966" customFormat="1">
      <c r="A84" s="2341"/>
      <c r="D84" s="2342"/>
      <c r="K84" s="798"/>
      <c r="L84" s="798"/>
    </row>
    <row r="85" spans="1:12" s="966" customFormat="1">
      <c r="A85" s="2341"/>
      <c r="D85" s="2342"/>
      <c r="K85" s="798"/>
      <c r="L85" s="798"/>
    </row>
    <row r="86" spans="1:12" s="966" customFormat="1">
      <c r="A86" s="2341"/>
      <c r="D86" s="2342"/>
      <c r="K86" s="798"/>
      <c r="L86" s="798"/>
    </row>
    <row r="87" spans="1:12" s="966" customFormat="1">
      <c r="A87" s="2341"/>
      <c r="D87" s="2342"/>
      <c r="K87" s="798"/>
      <c r="L87" s="798"/>
    </row>
    <row r="88" spans="1:12" s="966" customFormat="1">
      <c r="A88" s="2341"/>
      <c r="D88" s="2342"/>
      <c r="K88" s="798"/>
      <c r="L88" s="798"/>
    </row>
    <row r="89" spans="1:12" s="966" customFormat="1">
      <c r="A89" s="2341"/>
      <c r="D89" s="2342"/>
      <c r="K89" s="798"/>
      <c r="L89" s="798"/>
    </row>
    <row r="90" spans="1:12" s="966" customFormat="1">
      <c r="A90" s="2341"/>
      <c r="D90" s="2342"/>
      <c r="K90" s="798"/>
      <c r="L90" s="798"/>
    </row>
    <row r="91" spans="1:12" s="966" customFormat="1">
      <c r="A91" s="2341"/>
      <c r="D91" s="2342"/>
      <c r="K91" s="798"/>
      <c r="L91" s="798"/>
    </row>
    <row r="92" spans="1:12" s="966" customFormat="1">
      <c r="A92" s="2341"/>
      <c r="D92" s="2342"/>
      <c r="K92" s="798"/>
      <c r="L92" s="798"/>
    </row>
    <row r="93" spans="1:12" s="966" customFormat="1">
      <c r="A93" s="2341"/>
      <c r="D93" s="2342"/>
      <c r="K93" s="798"/>
      <c r="L93" s="798"/>
    </row>
    <row r="94" spans="1:12" s="966" customFormat="1">
      <c r="A94" s="2341"/>
      <c r="D94" s="2342"/>
      <c r="K94" s="798"/>
      <c r="L94" s="798"/>
    </row>
    <row r="95" spans="1:12" s="966" customFormat="1">
      <c r="A95" s="2341"/>
      <c r="D95" s="2342"/>
      <c r="K95" s="798"/>
      <c r="L95" s="798"/>
    </row>
    <row r="96" spans="1:12" s="966" customFormat="1">
      <c r="A96" s="2341"/>
      <c r="D96" s="2342"/>
      <c r="K96" s="798"/>
      <c r="L96" s="798"/>
    </row>
    <row r="97" spans="1:12" s="966" customFormat="1">
      <c r="A97" s="2341"/>
      <c r="D97" s="2342"/>
      <c r="K97" s="798"/>
      <c r="L97" s="798"/>
    </row>
    <row r="98" spans="1:12" s="966" customFormat="1">
      <c r="A98" s="2341"/>
      <c r="D98" s="2342"/>
      <c r="K98" s="798"/>
      <c r="L98" s="798"/>
    </row>
    <row r="99" spans="1:12" s="966" customFormat="1">
      <c r="A99" s="2341"/>
      <c r="D99" s="2342"/>
      <c r="K99" s="798"/>
      <c r="L99" s="798"/>
    </row>
    <row r="100" spans="1:12" s="966" customFormat="1">
      <c r="A100" s="2341"/>
      <c r="D100" s="2342"/>
      <c r="K100" s="798"/>
      <c r="L100" s="798"/>
    </row>
    <row r="101" spans="1:12" s="966" customFormat="1">
      <c r="A101" s="2341"/>
      <c r="D101" s="2342"/>
      <c r="K101" s="798"/>
      <c r="L101" s="798"/>
    </row>
    <row r="102" spans="1:12" s="966" customFormat="1">
      <c r="A102" s="2341"/>
      <c r="D102" s="2342"/>
      <c r="K102" s="798"/>
      <c r="L102" s="798"/>
    </row>
    <row r="103" spans="1:12" s="966" customFormat="1">
      <c r="A103" s="2341"/>
      <c r="D103" s="2342"/>
      <c r="K103" s="798"/>
      <c r="L103" s="798"/>
    </row>
    <row r="104" spans="1:12" s="966" customFormat="1">
      <c r="A104" s="2341"/>
      <c r="D104" s="2342"/>
      <c r="K104" s="798"/>
      <c r="L104" s="798"/>
    </row>
    <row r="105" spans="1:12" s="966" customFormat="1">
      <c r="A105" s="2341"/>
      <c r="D105" s="2342"/>
      <c r="K105" s="798"/>
      <c r="L105" s="798"/>
    </row>
    <row r="106" spans="1:12" s="966" customFormat="1">
      <c r="A106" s="2341"/>
      <c r="D106" s="2342"/>
      <c r="K106" s="798"/>
      <c r="L106" s="798"/>
    </row>
    <row r="107" spans="1:12" s="966" customFormat="1">
      <c r="A107" s="2341"/>
      <c r="D107" s="2342"/>
      <c r="K107" s="798"/>
      <c r="L107" s="798"/>
    </row>
    <row r="108" spans="1:12" s="966" customFormat="1">
      <c r="A108" s="2341"/>
      <c r="D108" s="2342"/>
      <c r="K108" s="798"/>
      <c r="L108" s="798"/>
    </row>
    <row r="109" spans="1:12" s="966" customFormat="1">
      <c r="A109" s="2341"/>
      <c r="D109" s="2342"/>
      <c r="K109" s="798"/>
      <c r="L109" s="798"/>
    </row>
    <row r="110" spans="1:12" s="966" customFormat="1">
      <c r="A110" s="2341"/>
      <c r="D110" s="2342"/>
      <c r="K110" s="798"/>
      <c r="L110" s="798"/>
    </row>
    <row r="111" spans="1:12" s="966" customFormat="1">
      <c r="A111" s="2341"/>
      <c r="D111" s="2342"/>
      <c r="K111" s="798"/>
      <c r="L111" s="798"/>
    </row>
    <row r="112" spans="1:12" s="966" customFormat="1">
      <c r="A112" s="2341"/>
      <c r="D112" s="2342"/>
      <c r="K112" s="798"/>
      <c r="L112" s="798"/>
    </row>
    <row r="113" spans="1:12" s="966" customFormat="1">
      <c r="A113" s="2341"/>
      <c r="D113" s="2342"/>
      <c r="K113" s="798"/>
      <c r="L113" s="798"/>
    </row>
    <row r="114" spans="1:12" s="966" customFormat="1">
      <c r="A114" s="2341"/>
      <c r="D114" s="2342"/>
      <c r="K114" s="798"/>
      <c r="L114" s="798"/>
    </row>
    <row r="115" spans="1:12" s="966" customFormat="1">
      <c r="A115" s="2341"/>
      <c r="D115" s="2342"/>
      <c r="K115" s="798"/>
      <c r="L115" s="798"/>
    </row>
    <row r="116" spans="1:12" s="966" customFormat="1">
      <c r="A116" s="2341"/>
      <c r="D116" s="2342"/>
      <c r="K116" s="798"/>
      <c r="L116" s="798"/>
    </row>
    <row r="117" spans="1:12" s="966" customFormat="1">
      <c r="A117" s="2341"/>
      <c r="D117" s="2342"/>
      <c r="K117" s="798"/>
      <c r="L117" s="798"/>
    </row>
    <row r="118" spans="1:12" s="966" customFormat="1">
      <c r="A118" s="2341"/>
      <c r="D118" s="2342"/>
      <c r="K118" s="798"/>
      <c r="L118" s="798"/>
    </row>
    <row r="119" spans="1:12" s="966" customFormat="1">
      <c r="A119" s="2341"/>
      <c r="D119" s="2342"/>
      <c r="K119" s="798"/>
      <c r="L119" s="798"/>
    </row>
    <row r="120" spans="1:12" s="966" customFormat="1">
      <c r="A120" s="2341"/>
      <c r="D120" s="2342"/>
      <c r="K120" s="798"/>
      <c r="L120" s="798"/>
    </row>
    <row r="121" spans="1:12" s="966" customFormat="1">
      <c r="A121" s="2341"/>
      <c r="D121" s="2342"/>
      <c r="K121" s="798"/>
      <c r="L121" s="798"/>
    </row>
    <row r="122" spans="1:12" s="966" customFormat="1">
      <c r="A122" s="2341"/>
      <c r="D122" s="2342"/>
      <c r="K122" s="798"/>
      <c r="L122" s="798"/>
    </row>
    <row r="123" spans="1:12" s="966" customFormat="1">
      <c r="A123" s="2341"/>
      <c r="D123" s="2342"/>
      <c r="K123" s="798"/>
      <c r="L123" s="798"/>
    </row>
    <row r="124" spans="1:12" s="966" customFormat="1">
      <c r="A124" s="2341"/>
      <c r="D124" s="2342"/>
      <c r="K124" s="798"/>
      <c r="L124" s="798"/>
    </row>
    <row r="125" spans="1:12" s="966" customFormat="1">
      <c r="A125" s="2341"/>
      <c r="D125" s="2342"/>
      <c r="K125" s="798"/>
      <c r="L125" s="798"/>
    </row>
    <row r="126" spans="1:12" s="966" customFormat="1">
      <c r="A126" s="2341"/>
      <c r="D126" s="2342"/>
      <c r="K126" s="798"/>
      <c r="L126" s="798"/>
    </row>
    <row r="127" spans="1:12" s="966" customFormat="1">
      <c r="A127" s="2341"/>
      <c r="D127" s="2342"/>
      <c r="K127" s="798"/>
      <c r="L127" s="798"/>
    </row>
    <row r="128" spans="1:12" s="966" customFormat="1">
      <c r="A128" s="2341"/>
      <c r="D128" s="2342"/>
      <c r="K128" s="798"/>
      <c r="L128" s="798"/>
    </row>
    <row r="129" spans="1:12" s="966" customFormat="1">
      <c r="A129" s="2341"/>
      <c r="D129" s="2342"/>
      <c r="K129" s="798"/>
      <c r="L129" s="798"/>
    </row>
    <row r="130" spans="1:12" s="966" customFormat="1">
      <c r="A130" s="2341"/>
      <c r="D130" s="2342"/>
      <c r="K130" s="798"/>
      <c r="L130" s="798"/>
    </row>
    <row r="131" spans="1:12" s="966" customFormat="1">
      <c r="A131" s="2341"/>
      <c r="D131" s="2342"/>
      <c r="K131" s="798"/>
      <c r="L131" s="798"/>
    </row>
    <row r="132" spans="1:12" s="966" customFormat="1">
      <c r="A132" s="2341"/>
      <c r="D132" s="2342"/>
      <c r="K132" s="798"/>
      <c r="L132" s="798"/>
    </row>
    <row r="133" spans="1:12" s="966"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99" t="s">
        <v>2085</v>
      </c>
      <c r="B1" s="3100"/>
      <c r="C1" s="3100"/>
      <c r="D1" s="3100"/>
      <c r="E1" s="3100"/>
      <c r="F1" s="3100"/>
      <c r="G1" s="3100"/>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42.75">
      <c r="A3" s="415" t="s">
        <v>2088</v>
      </c>
      <c r="B3" s="1270" t="s">
        <v>2089</v>
      </c>
      <c r="C3" s="2370"/>
      <c r="D3" s="2371"/>
      <c r="E3" s="431" t="s">
        <v>2088</v>
      </c>
      <c r="F3" s="2372" t="s">
        <v>2090</v>
      </c>
      <c r="G3" s="2373" t="s">
        <v>2091</v>
      </c>
      <c r="H3" s="2368"/>
      <c r="I3" s="2368"/>
      <c r="J3" s="2368"/>
      <c r="K3" s="2368"/>
      <c r="L3" s="2368"/>
      <c r="M3" s="2368"/>
      <c r="N3" s="2368"/>
      <c r="O3" s="2368"/>
      <c r="P3" s="2368"/>
      <c r="Q3" s="2368"/>
      <c r="R3" s="2368"/>
    </row>
    <row r="4" spans="1:29" ht="54">
      <c r="A4" s="431"/>
      <c r="B4" s="1797" t="s">
        <v>2092</v>
      </c>
      <c r="C4" s="2988" t="s">
        <v>3133</v>
      </c>
      <c r="D4" s="2371"/>
      <c r="E4" s="2374"/>
      <c r="F4" s="42" t="s">
        <v>2093</v>
      </c>
      <c r="G4" s="2375" t="s">
        <v>2094</v>
      </c>
      <c r="H4" s="2368"/>
      <c r="I4" s="2368"/>
      <c r="J4" s="2368"/>
      <c r="K4" s="2368"/>
      <c r="L4" s="2368"/>
      <c r="M4" s="2368"/>
      <c r="N4" s="2368"/>
      <c r="O4" s="2368"/>
      <c r="P4" s="2368"/>
      <c r="Q4" s="2368"/>
      <c r="R4" s="2368"/>
    </row>
    <row r="5" spans="1:29" ht="67.5">
      <c r="A5" s="431"/>
      <c r="B5" s="1797" t="s">
        <v>2095</v>
      </c>
      <c r="C5" s="2988" t="s">
        <v>3134</v>
      </c>
      <c r="D5" s="2371"/>
      <c r="E5" s="2374"/>
      <c r="F5" s="1797" t="s">
        <v>2096</v>
      </c>
      <c r="G5" s="2375" t="s">
        <v>2097</v>
      </c>
      <c r="H5" s="2368"/>
      <c r="I5" s="2368"/>
      <c r="J5" s="2368"/>
      <c r="K5" s="2368"/>
      <c r="L5" s="2368"/>
      <c r="M5" s="2368"/>
      <c r="N5" s="2368"/>
      <c r="O5" s="2368"/>
      <c r="P5" s="2368"/>
      <c r="Q5" s="2368"/>
      <c r="R5" s="2368"/>
    </row>
    <row r="6" spans="1:29" ht="81">
      <c r="A6" s="431"/>
      <c r="B6" s="1797" t="s">
        <v>2098</v>
      </c>
      <c r="C6" s="2989" t="s">
        <v>3135</v>
      </c>
      <c r="D6" s="2371"/>
      <c r="E6" s="2374"/>
      <c r="F6" s="1797" t="s">
        <v>2099</v>
      </c>
      <c r="G6" s="2375" t="s">
        <v>2100</v>
      </c>
      <c r="H6" s="2368"/>
      <c r="I6" s="2368"/>
      <c r="J6" s="2368"/>
      <c r="K6" s="2368"/>
      <c r="L6" s="2368"/>
      <c r="M6" s="2368"/>
      <c r="N6" s="2368"/>
      <c r="O6" s="2368"/>
      <c r="P6" s="2368"/>
      <c r="Q6" s="2368"/>
      <c r="R6" s="2368"/>
    </row>
    <row r="7" spans="1:29" ht="108.75" thickBot="1">
      <c r="A7" s="431"/>
      <c r="B7" s="1797" t="s">
        <v>2096</v>
      </c>
      <c r="C7" s="2989" t="s">
        <v>3156</v>
      </c>
      <c r="D7" s="2376"/>
      <c r="E7" s="2377"/>
      <c r="F7" s="2378" t="s">
        <v>2101</v>
      </c>
      <c r="G7" s="2379" t="s">
        <v>2102</v>
      </c>
      <c r="H7" s="2368"/>
      <c r="I7" s="2368"/>
      <c r="J7" s="2368"/>
      <c r="K7" s="2368"/>
      <c r="L7" s="2368"/>
      <c r="M7" s="2368"/>
      <c r="N7" s="2368"/>
      <c r="O7" s="2368"/>
      <c r="P7" s="2368"/>
      <c r="Q7" s="2368"/>
      <c r="R7" s="2368"/>
    </row>
    <row r="8" spans="1:29" ht="27">
      <c r="A8" s="431"/>
      <c r="B8" s="1797" t="s">
        <v>2099</v>
      </c>
      <c r="C8" s="2989" t="s">
        <v>3136</v>
      </c>
      <c r="D8" s="2376"/>
      <c r="E8" s="2376"/>
      <c r="F8" s="1135"/>
      <c r="G8" s="1135"/>
      <c r="H8" s="2368"/>
      <c r="I8" s="2368"/>
      <c r="J8" s="2368"/>
      <c r="K8" s="2368"/>
      <c r="L8" s="2368"/>
      <c r="M8" s="2368"/>
      <c r="N8" s="2368"/>
      <c r="O8" s="2368"/>
      <c r="P8" s="2368"/>
      <c r="Q8" s="2368"/>
      <c r="R8" s="2368"/>
    </row>
    <row r="9" spans="1:29" ht="40.5">
      <c r="A9" s="431"/>
      <c r="B9" s="1797" t="s">
        <v>2103</v>
      </c>
      <c r="C9" s="2988" t="s">
        <v>3137</v>
      </c>
      <c r="D9" s="2371"/>
      <c r="E9" s="2376"/>
      <c r="F9" s="1135"/>
      <c r="G9" s="1135"/>
      <c r="H9" s="2368"/>
      <c r="I9" s="2368"/>
      <c r="J9" s="2368"/>
      <c r="K9" s="2368"/>
      <c r="L9" s="2368"/>
      <c r="M9" s="2368"/>
      <c r="N9" s="2368"/>
      <c r="O9" s="2368"/>
      <c r="P9" s="2368"/>
      <c r="Q9" s="2368"/>
      <c r="R9" s="2368"/>
    </row>
    <row r="10" spans="1:29" s="117" customFormat="1" ht="15.75" thickBot="1">
      <c r="A10" s="2380"/>
      <c r="B10" s="2381" t="s">
        <v>2104</v>
      </c>
      <c r="C10" s="2990" t="s">
        <v>3138</v>
      </c>
      <c r="D10" s="2371"/>
      <c r="E10" s="2371"/>
      <c r="F10" s="1135"/>
      <c r="G10" s="1135"/>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1"/>
      <c r="D11" s="2371"/>
      <c r="E11" s="2371"/>
      <c r="F11" s="2376"/>
      <c r="G11" s="1153"/>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3"/>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2105</v>
      </c>
      <c r="B13" s="2386"/>
      <c r="C13" s="2386"/>
      <c r="D13" s="2393"/>
      <c r="E13" s="2386"/>
      <c r="F13" s="2386"/>
      <c r="G13" s="2386"/>
    </row>
    <row r="14" spans="1:29" ht="15.75" thickBot="1">
      <c r="A14" s="2397"/>
      <c r="B14" s="2398"/>
      <c r="C14" s="2399" t="s">
        <v>2106</v>
      </c>
      <c r="D14" s="2371"/>
      <c r="E14" s="2400"/>
      <c r="F14" s="2400"/>
      <c r="G14" s="2365" t="s">
        <v>2107</v>
      </c>
    </row>
    <row r="15" spans="1:29" ht="42.75">
      <c r="A15" s="68" t="s">
        <v>2108</v>
      </c>
      <c r="B15" s="1269" t="s">
        <v>2089</v>
      </c>
      <c r="C15" s="2401">
        <f>C3</f>
        <v>0</v>
      </c>
      <c r="D15" s="2371"/>
      <c r="E15" s="2402" t="s">
        <v>2109</v>
      </c>
      <c r="F15" s="1269" t="s">
        <v>2110</v>
      </c>
      <c r="G15" s="135" t="str">
        <f>G3</f>
        <v>估价对象位于XX开发区，园区建设成熟度XX，产业集聚程度XX</v>
      </c>
    </row>
    <row r="16" spans="1:29" ht="57">
      <c r="A16" s="645"/>
      <c r="B16" s="2403" t="s">
        <v>2092</v>
      </c>
      <c r="C16" s="2404" t="str">
        <f>C4</f>
        <v>估价对象位于朝青商圈，周边商业氛围一般，有红星美凯龙等购物场所，人流量一般，商业繁华度一般。</v>
      </c>
      <c r="D16" s="2371"/>
      <c r="E16" s="2405"/>
      <c r="F16" s="2406" t="s">
        <v>2093</v>
      </c>
      <c r="G16" s="136" t="str">
        <f>G4</f>
        <v>估价对象周边道路状况、公共交通通达情况、停车便捷程度，综合评价交通便捷度较好</v>
      </c>
    </row>
    <row r="17" spans="1:18" ht="71.25">
      <c r="A17" s="645"/>
      <c r="B17" s="2403" t="s">
        <v>2095</v>
      </c>
      <c r="C17" s="2404" t="str">
        <f>C5</f>
        <v>估价对象位于朝青商圈，周边办公楼项目较多，有世丰国际大厦、财经中心等写字楼项目，入驻率高，办公集聚程度较好。</v>
      </c>
      <c r="D17" s="2376"/>
      <c r="E17" s="2405"/>
      <c r="F17" s="2406" t="s">
        <v>2111</v>
      </c>
      <c r="G17" s="1571"/>
    </row>
    <row r="18" spans="1:18" ht="85.5">
      <c r="A18" s="645"/>
      <c r="B18" s="2406" t="s">
        <v>2098</v>
      </c>
      <c r="C18" s="136" t="str">
        <f>C6</f>
        <v>估价对象周边道路较为密集，公共交通通达情况较好，1公里内有350路、411路及地铁1号线等公共交通，停车便捷程度较好，综合评价交通便捷度较好。</v>
      </c>
      <c r="D18" s="2376"/>
      <c r="E18" s="2405"/>
      <c r="F18" s="2406" t="s">
        <v>2101</v>
      </c>
      <c r="G18" s="136" t="str">
        <f>G7</f>
        <v>该园区内是否有污染型企业，绿化情况，卫生条件，整体环境状况判断</v>
      </c>
    </row>
    <row r="19" spans="1:18" ht="28.5">
      <c r="A19" s="645"/>
      <c r="B19" s="2406" t="s">
        <v>2112</v>
      </c>
      <c r="C19" s="1571"/>
      <c r="D19" s="2371"/>
      <c r="E19" s="2405"/>
      <c r="F19" s="1797" t="s">
        <v>2096</v>
      </c>
      <c r="G19" s="136" t="str">
        <f>G5</f>
        <v>估价对象所在区域公共配套设施齐备情况</v>
      </c>
    </row>
    <row r="20" spans="1:18" ht="42.75">
      <c r="A20" s="645"/>
      <c r="B20" s="2406" t="s">
        <v>2113</v>
      </c>
      <c r="C20" s="2404" t="str">
        <f>C9</f>
        <v>区域自然环境：兴隆公园；人文环境：中国传媒大学；综合评价环境状况较好。</v>
      </c>
      <c r="D20" s="2376"/>
      <c r="E20" s="2405"/>
      <c r="F20" s="1797" t="s">
        <v>2114</v>
      </c>
      <c r="G20" s="136" t="str">
        <f>G6</f>
        <v>估价对象所在区域基础设施水平</v>
      </c>
    </row>
    <row r="21" spans="1:18" ht="114">
      <c r="A21" s="645"/>
      <c r="B21" s="1797" t="s">
        <v>2096</v>
      </c>
      <c r="C21" s="136" t="str">
        <f>C7</f>
        <v>估价对象所在区域1公里范围内，有银行（中国工商银行、中国银行），购物（卜蜂莲花、物美超市），医院（民航总医院），学校（朝阳区兴隆小学、星河实验学校）等，公共配套设施齐备情况较好。</v>
      </c>
      <c r="D21" s="2371"/>
      <c r="E21" s="2405"/>
      <c r="F21" s="2406" t="s">
        <v>2115</v>
      </c>
      <c r="G21" s="2407"/>
    </row>
    <row r="22" spans="1:18" ht="13.5" customHeight="1">
      <c r="A22" s="645"/>
      <c r="B22" s="1797" t="s">
        <v>2099</v>
      </c>
      <c r="C22" s="136" t="str">
        <f>C8</f>
        <v>估价对象所在区域基础设施水平达到“七通”。</v>
      </c>
      <c r="D22" s="2371"/>
      <c r="E22" s="2405"/>
      <c r="F22" s="2406" t="s">
        <v>2104</v>
      </c>
      <c r="G22" s="1571"/>
    </row>
    <row r="23" spans="1:18" s="2368" customFormat="1" ht="15.75" thickBot="1">
      <c r="A23" s="645"/>
      <c r="B23" s="2406" t="s">
        <v>2115</v>
      </c>
      <c r="C23" s="2407" t="s">
        <v>3139</v>
      </c>
      <c r="D23" s="2394"/>
      <c r="E23" s="2408"/>
      <c r="F23" s="2409" t="s">
        <v>2116</v>
      </c>
      <c r="G23" s="2410"/>
      <c r="H23" s="2394"/>
      <c r="I23" s="2395"/>
      <c r="J23" s="2394"/>
      <c r="K23" s="2394"/>
      <c r="L23" s="2395"/>
      <c r="M23" s="2394"/>
      <c r="N23" s="2394"/>
      <c r="O23" s="2395"/>
      <c r="P23" s="2394"/>
      <c r="Q23" s="2394"/>
      <c r="R23" s="2396"/>
    </row>
    <row r="24" spans="1:18" s="2368" customFormat="1" ht="15.75" thickBot="1">
      <c r="A24" s="2411"/>
      <c r="B24" s="2409" t="s">
        <v>2117</v>
      </c>
      <c r="C24" s="137" t="str">
        <f>C10</f>
        <v>城市主干道——朝阳路</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5" sqref="G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3647.3</v>
      </c>
      <c r="C1" s="1744"/>
      <c r="D1" s="1744"/>
      <c r="E1" s="1744"/>
      <c r="F1" s="1744"/>
      <c r="G1" s="1742"/>
    </row>
    <row r="2" spans="1:10" ht="16.5">
      <c r="A2" s="1745" t="s">
        <v>1353</v>
      </c>
      <c r="B2" s="1745">
        <f>SUM(C14:C23)</f>
        <v>1042.42</v>
      </c>
      <c r="C2" s="1744"/>
      <c r="D2" s="1744"/>
      <c r="E2" s="1744"/>
      <c r="F2" s="1744"/>
      <c r="G2" s="1742"/>
    </row>
    <row r="3" spans="1:10" ht="16.5">
      <c r="A3" s="1745" t="s">
        <v>1362</v>
      </c>
      <c r="B3" s="1746">
        <f>项目基本情况!D3</f>
        <v>43100</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6391</v>
      </c>
      <c r="C5" s="1745">
        <f ca="1">ROUND(B5*10000/$B$1,0)</f>
        <v>17523</v>
      </c>
      <c r="D5" s="1745">
        <f ca="1">ROUND(B5*10000/$B$2,0)</f>
        <v>61309</v>
      </c>
      <c r="E5" s="1744"/>
      <c r="F5" s="1742"/>
      <c r="G5" s="1742"/>
    </row>
    <row r="6" spans="1:10" ht="16.5">
      <c r="A6" s="1745" t="s">
        <v>1356</v>
      </c>
      <c r="B6" s="1745">
        <f ca="1">SUM(G14:G23)</f>
        <v>6391</v>
      </c>
      <c r="C6" s="1745">
        <f ca="1">ROUND(B6*10000/$B$1,0)</f>
        <v>17523</v>
      </c>
      <c r="D6" s="1745">
        <f ca="1">ROUND(B6*10000/$B$2,0)</f>
        <v>61309</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'结果表-办公'!B118</f>
        <v>3647.3</v>
      </c>
      <c r="C14" s="1743">
        <f>'结果表-办公'!C118</f>
        <v>1042.42</v>
      </c>
      <c r="D14" s="1743">
        <f ca="1">汇总!F8</f>
        <v>6391</v>
      </c>
      <c r="E14" s="1743">
        <f ca="1">ROUND(D14*10000/B14,0)</f>
        <v>17523</v>
      </c>
      <c r="F14" s="1743">
        <f ca="1">ROUND(D14*10000/C14,0)</f>
        <v>61309</v>
      </c>
      <c r="G14" s="1743">
        <f ca="1">汇总!F8</f>
        <v>6391</v>
      </c>
      <c r="H14" s="1743" t="str">
        <f>'结果表-办公'!D124</f>
        <v>——</v>
      </c>
      <c r="I14" s="1743" t="str">
        <f>'结果表-办公'!D126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11"/>
  <sheetViews>
    <sheetView workbookViewId="0">
      <selection activeCell="P9" sqref="P9"/>
    </sheetView>
  </sheetViews>
  <sheetFormatPr defaultRowHeight="13.5"/>
  <cols>
    <col min="1" max="5" width="9" style="2972"/>
    <col min="8" max="8" width="9" style="2972"/>
  </cols>
  <sheetData>
    <row r="1" spans="1:11">
      <c r="A1" s="2966"/>
      <c r="B1" s="2966"/>
      <c r="C1" s="2963" t="s">
        <v>3250</v>
      </c>
      <c r="D1" s="2963"/>
      <c r="E1" s="2963" t="s">
        <v>3251</v>
      </c>
      <c r="F1" s="2963" t="s">
        <v>3252</v>
      </c>
      <c r="G1" s="2964" t="s">
        <v>3253</v>
      </c>
      <c r="H1" s="3006" t="s">
        <v>3254</v>
      </c>
      <c r="J1" s="2972">
        <v>2017</v>
      </c>
      <c r="K1" s="3007" t="s">
        <v>3257</v>
      </c>
    </row>
    <row r="2" spans="1:11">
      <c r="A2" s="2966">
        <v>1</v>
      </c>
      <c r="B2" s="2963" t="s">
        <v>3245</v>
      </c>
      <c r="C2" s="2963" t="s">
        <v>3248</v>
      </c>
      <c r="D2" s="2963">
        <f ca="1">'结果表-办公'!C19</f>
        <v>903</v>
      </c>
      <c r="E2" s="3005">
        <f>'结果表-办公'!C18</f>
        <v>0.5</v>
      </c>
      <c r="F2" s="3103">
        <f ca="1">'结果表-办公'!G19</f>
        <v>827</v>
      </c>
      <c r="G2" s="3102">
        <f ca="1">ROUND(汇总!F2*10000/H2,0)</f>
        <v>30501</v>
      </c>
      <c r="H2" s="3102">
        <f>'数据-汇总表'!F19</f>
        <v>271.14</v>
      </c>
      <c r="J2" s="3101">
        <v>888</v>
      </c>
      <c r="K2" s="3101">
        <f>ROUND(J2*10000/H2,0)</f>
        <v>32751</v>
      </c>
    </row>
    <row r="3" spans="1:11">
      <c r="A3" s="2966"/>
      <c r="B3" s="2966"/>
      <c r="C3" s="2963" t="s">
        <v>3249</v>
      </c>
      <c r="D3" s="2963">
        <f ca="1">'结果表-办公'!D19</f>
        <v>751</v>
      </c>
      <c r="E3" s="3005">
        <f>'结果表-办公'!D18</f>
        <v>0.5</v>
      </c>
      <c r="F3" s="3104"/>
      <c r="G3" s="3102"/>
      <c r="H3" s="3102"/>
      <c r="J3" s="3101"/>
      <c r="K3" s="3101"/>
    </row>
    <row r="4" spans="1:11">
      <c r="A4" s="2966">
        <v>2</v>
      </c>
      <c r="B4" s="2963" t="s">
        <v>3246</v>
      </c>
      <c r="C4" s="2963" t="s">
        <v>3248</v>
      </c>
      <c r="D4" s="2963">
        <f ca="1">'结果表-地下商业'!C19</f>
        <v>10523</v>
      </c>
      <c r="E4" s="3005">
        <f>'结果表-地下商业'!C18</f>
        <v>0.5</v>
      </c>
      <c r="F4" s="3103">
        <f ca="1">ROUND('结果表-地下商业'!G19*0.6,0)</f>
        <v>5374</v>
      </c>
      <c r="G4" s="3102">
        <f ca="1">ROUND(F4*10000/H4,0)</f>
        <v>17606</v>
      </c>
      <c r="H4" s="3102">
        <f>'数据-汇总表'!G20</f>
        <v>3052.4</v>
      </c>
      <c r="J4" s="3101">
        <v>5072</v>
      </c>
      <c r="K4" s="3101">
        <f>ROUND(J4*10000/H4,0)</f>
        <v>16616</v>
      </c>
    </row>
    <row r="5" spans="1:11">
      <c r="A5" s="2966"/>
      <c r="B5" s="2966"/>
      <c r="C5" s="2963" t="s">
        <v>3249</v>
      </c>
      <c r="D5" s="2963">
        <f ca="1">'结果表-地下商业'!D19</f>
        <v>7388</v>
      </c>
      <c r="E5" s="3005">
        <f>'结果表-地下商业'!D18</f>
        <v>0.5</v>
      </c>
      <c r="F5" s="3104"/>
      <c r="G5" s="3102"/>
      <c r="H5" s="3102"/>
      <c r="J5" s="3101"/>
      <c r="K5" s="3101"/>
    </row>
    <row r="6" spans="1:11">
      <c r="A6" s="2966">
        <v>3</v>
      </c>
      <c r="B6" s="2963" t="s">
        <v>3247</v>
      </c>
      <c r="C6" s="2963" t="s">
        <v>3248</v>
      </c>
      <c r="D6" s="2963"/>
      <c r="E6" s="3005">
        <v>0.5</v>
      </c>
      <c r="F6" s="3103">
        <f ca="1">'收益法 (仓储)'!B2</f>
        <v>190</v>
      </c>
      <c r="G6" s="3102">
        <f ca="1">'收益法 (仓储)'!B3</f>
        <v>5869</v>
      </c>
      <c r="H6" s="3102">
        <f>'数据-汇总表'!G21</f>
        <v>323.76000000000005</v>
      </c>
      <c r="J6" s="3101">
        <v>248</v>
      </c>
      <c r="K6" s="3101">
        <f>ROUND(J6*10000/H6,0)</f>
        <v>7660</v>
      </c>
    </row>
    <row r="7" spans="1:11">
      <c r="A7" s="2966"/>
      <c r="B7" s="2966"/>
      <c r="C7" s="2963" t="s">
        <v>3249</v>
      </c>
      <c r="D7" s="2963"/>
      <c r="E7" s="3005">
        <v>0.5</v>
      </c>
      <c r="F7" s="3104"/>
      <c r="G7" s="3102"/>
      <c r="H7" s="3102"/>
      <c r="J7" s="3101"/>
      <c r="K7" s="3101"/>
    </row>
    <row r="8" spans="1:11">
      <c r="F8" s="2972">
        <f ca="1">SUM(F2:F7)</f>
        <v>6391</v>
      </c>
      <c r="G8" s="2972">
        <f ca="1">ROUND(F8*10000/H8,0)</f>
        <v>17523</v>
      </c>
      <c r="H8" s="2972">
        <f>SUM(H2:H7)</f>
        <v>3647.3</v>
      </c>
    </row>
    <row r="11" spans="1:11">
      <c r="E11" s="2969" t="s">
        <v>3256</v>
      </c>
      <c r="F11" s="2972">
        <v>6208</v>
      </c>
      <c r="G11" s="2972">
        <v>17021</v>
      </c>
    </row>
  </sheetData>
  <mergeCells count="15">
    <mergeCell ref="H2:H3"/>
    <mergeCell ref="H4:H5"/>
    <mergeCell ref="H6:H7"/>
    <mergeCell ref="F4:F5"/>
    <mergeCell ref="F2:F3"/>
    <mergeCell ref="F6:F7"/>
    <mergeCell ref="G2:G3"/>
    <mergeCell ref="G4:G5"/>
    <mergeCell ref="G6:G7"/>
    <mergeCell ref="J2:J3"/>
    <mergeCell ref="K2:K3"/>
    <mergeCell ref="J4:J5"/>
    <mergeCell ref="K4:K5"/>
    <mergeCell ref="J6:J7"/>
    <mergeCell ref="K6:K7"/>
  </mergeCells>
  <phoneticPr fontId="14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6" t="s">
        <v>2118</v>
      </c>
      <c r="B1" s="2417"/>
      <c r="C1" s="2418"/>
      <c r="D1" s="2417"/>
      <c r="E1" s="2417"/>
      <c r="F1" s="2419" t="s">
        <v>2119</v>
      </c>
      <c r="G1" s="2072" t="s">
        <v>3213</v>
      </c>
      <c r="H1" s="2420" t="str">
        <f>IF(G1="现房","——","估价对象范围")</f>
        <v>——</v>
      </c>
      <c r="I1" s="2421"/>
    </row>
    <row r="2" spans="1:12" ht="21.75" customHeight="1" thickBot="1">
      <c r="A2" s="3177" t="str">
        <f>项目基本情况!S2</f>
        <v>北京市朝阳区朝阳路71号房地产</v>
      </c>
      <c r="B2" s="3178"/>
      <c r="C2" s="3178"/>
      <c r="D2" s="3178"/>
      <c r="E2" s="3178"/>
      <c r="F2" s="3178"/>
      <c r="G2" s="3178"/>
      <c r="H2" s="3178"/>
      <c r="I2" s="3179"/>
    </row>
    <row r="3" spans="1:12" ht="12.75">
      <c r="A3" s="3180" t="s">
        <v>2120</v>
      </c>
      <c r="B3" s="3181"/>
      <c r="C3" s="3181"/>
      <c r="D3" s="3181"/>
      <c r="E3" s="3181"/>
      <c r="F3" s="3181"/>
      <c r="G3" s="3181"/>
      <c r="H3" s="3181"/>
      <c r="I3" s="3181"/>
    </row>
    <row r="4" spans="1:12" ht="14.25">
      <c r="A4" s="2424" t="s">
        <v>2121</v>
      </c>
      <c r="B4" s="2425" t="s">
        <v>2122</v>
      </c>
      <c r="C4" s="2426" t="s">
        <v>3183</v>
      </c>
      <c r="D4" s="2426" t="s">
        <v>3099</v>
      </c>
      <c r="E4" s="3161" t="s">
        <v>2123</v>
      </c>
      <c r="F4" s="3174"/>
      <c r="G4" s="3174"/>
      <c r="H4" s="3174"/>
      <c r="I4" s="3162"/>
      <c r="K4" s="2427" t="str">
        <f>IF(ISNUMBER(FIND("比较法",'结果表-办公'!C4)),"比较法",IF(ISNUMBER(FIND("成本法",'结果表-办公'!C4)),"成本法",IF(ISNUMBER(FIND("假设开发法",'结果表-办公'!C4)),"假设开发法",IF(ISNUMBER(FIND("收益法",'结果表-办公'!C4)),"收益法","基准地价系数修正法"))))</f>
        <v>比较法</v>
      </c>
      <c r="L4" s="2427"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52" t="s">
        <v>2124</v>
      </c>
      <c r="B5" s="3074">
        <v>25</v>
      </c>
      <c r="C5" s="3182"/>
      <c r="D5" s="3170"/>
      <c r="E5" s="140" t="s">
        <v>2125</v>
      </c>
      <c r="F5" s="2428"/>
      <c r="G5" s="2428"/>
      <c r="H5" s="2428"/>
      <c r="I5" s="1833"/>
    </row>
    <row r="6" spans="1:12" ht="12.75">
      <c r="A6" s="3152"/>
      <c r="B6" s="3074"/>
      <c r="C6" s="3184"/>
      <c r="D6" s="3170"/>
      <c r="E6" s="140" t="s">
        <v>2126</v>
      </c>
      <c r="F6" s="2428"/>
      <c r="G6" s="2428"/>
      <c r="H6" s="2428"/>
      <c r="I6" s="1833"/>
    </row>
    <row r="7" spans="1:12" ht="12.75">
      <c r="A7" s="3152"/>
      <c r="B7" s="3074"/>
      <c r="C7" s="3183"/>
      <c r="D7" s="3170"/>
      <c r="E7" s="140" t="s">
        <v>2127</v>
      </c>
      <c r="F7" s="2428"/>
      <c r="G7" s="2428"/>
      <c r="H7" s="2428"/>
      <c r="I7" s="1833"/>
    </row>
    <row r="8" spans="1:12" ht="12.75">
      <c r="A8" s="3152" t="s">
        <v>2128</v>
      </c>
      <c r="B8" s="3074">
        <v>15</v>
      </c>
      <c r="C8" s="3182"/>
      <c r="D8" s="3170"/>
      <c r="E8" s="140" t="s">
        <v>2129</v>
      </c>
      <c r="F8" s="2428"/>
      <c r="G8" s="2428"/>
      <c r="H8" s="2428"/>
      <c r="I8" s="1833"/>
    </row>
    <row r="9" spans="1:12" ht="12.75">
      <c r="A9" s="3152"/>
      <c r="B9" s="3074"/>
      <c r="C9" s="3183"/>
      <c r="D9" s="3170"/>
      <c r="E9" s="140" t="s">
        <v>2130</v>
      </c>
      <c r="F9" s="2428"/>
      <c r="G9" s="2428"/>
      <c r="H9" s="2428"/>
      <c r="I9" s="1833"/>
    </row>
    <row r="10" spans="1:12" ht="12.75">
      <c r="A10" s="3152" t="s">
        <v>2131</v>
      </c>
      <c r="B10" s="3074">
        <v>15</v>
      </c>
      <c r="C10" s="3182"/>
      <c r="D10" s="3170"/>
      <c r="E10" s="140" t="s">
        <v>2132</v>
      </c>
      <c r="F10" s="2428"/>
      <c r="G10" s="2428"/>
      <c r="H10" s="2428"/>
      <c r="I10" s="1833"/>
    </row>
    <row r="11" spans="1:12" ht="12.75">
      <c r="A11" s="3152"/>
      <c r="B11" s="3074"/>
      <c r="C11" s="3183"/>
      <c r="D11" s="3170"/>
      <c r="E11" s="140" t="s">
        <v>2133</v>
      </c>
      <c r="F11" s="2428"/>
      <c r="G11" s="2428"/>
      <c r="H11" s="2428"/>
      <c r="I11" s="1833"/>
    </row>
    <row r="12" spans="1:12" ht="12.75">
      <c r="A12" s="3152" t="s">
        <v>2134</v>
      </c>
      <c r="B12" s="3074">
        <v>15</v>
      </c>
      <c r="C12" s="3182"/>
      <c r="D12" s="3170"/>
      <c r="E12" s="140" t="s">
        <v>2135</v>
      </c>
      <c r="F12" s="2428"/>
      <c r="G12" s="2428"/>
      <c r="H12" s="2428"/>
      <c r="I12" s="1833"/>
    </row>
    <row r="13" spans="1:12" ht="12.75">
      <c r="A13" s="3152"/>
      <c r="B13" s="3074"/>
      <c r="C13" s="3183"/>
      <c r="D13" s="3170"/>
      <c r="E13" s="140" t="s">
        <v>2136</v>
      </c>
      <c r="F13" s="2428"/>
      <c r="G13" s="2428"/>
      <c r="H13" s="2428"/>
      <c r="I13" s="1833"/>
    </row>
    <row r="14" spans="1:12" ht="12.75">
      <c r="A14" s="3152" t="s">
        <v>2137</v>
      </c>
      <c r="B14" s="3074">
        <v>30</v>
      </c>
      <c r="C14" s="3182">
        <v>5</v>
      </c>
      <c r="D14" s="3170">
        <v>5</v>
      </c>
      <c r="E14" s="140" t="s">
        <v>2138</v>
      </c>
      <c r="F14" s="2428"/>
      <c r="G14" s="2428"/>
      <c r="H14" s="2428"/>
      <c r="I14" s="1833"/>
    </row>
    <row r="15" spans="1:12" ht="12.75">
      <c r="A15" s="3152"/>
      <c r="B15" s="3074"/>
      <c r="C15" s="3184"/>
      <c r="D15" s="3170"/>
      <c r="E15" s="140" t="s">
        <v>2139</v>
      </c>
      <c r="F15" s="2428"/>
      <c r="G15" s="2428"/>
      <c r="H15" s="2428"/>
      <c r="I15" s="1833"/>
    </row>
    <row r="16" spans="1:12" ht="12.75">
      <c r="A16" s="3152"/>
      <c r="B16" s="3074"/>
      <c r="C16" s="3183"/>
      <c r="D16" s="3170"/>
      <c r="E16" s="140" t="s">
        <v>2140</v>
      </c>
      <c r="F16" s="2428"/>
      <c r="G16" s="2428"/>
      <c r="H16" s="2428"/>
      <c r="I16" s="1833"/>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3647.3</v>
      </c>
      <c r="M18" s="2427">
        <f>IF(C1="",'数据-汇总表'!E3,SUMIF(项目类型,C1,'数据-汇总表'!E17:E26))</f>
        <v>3647.3</v>
      </c>
    </row>
    <row r="19" spans="1:35" ht="15">
      <c r="A19" s="2433" t="s">
        <v>2146</v>
      </c>
      <c r="B19" s="2434" t="s">
        <v>2147</v>
      </c>
      <c r="C19" s="143">
        <f ca="1">SUMIF(INDIRECT("'"&amp;C4&amp;"'"&amp;"!A:A"),'结果表-办公'!B19,INDIRECT("'"&amp;C4&amp;"'"&amp;"!B:B"))</f>
        <v>903</v>
      </c>
      <c r="D19" s="144">
        <f ca="1">SUMIF(INDIRECT("'"&amp;D4&amp;"'"&amp;"!A:A"),'结果表-办公'!B19,INDIRECT("'"&amp;D4&amp;"'"&amp;"!B:B"))</f>
        <v>751</v>
      </c>
      <c r="E19" s="2433" t="s">
        <v>2148</v>
      </c>
      <c r="F19" s="2434" t="s">
        <v>2147</v>
      </c>
      <c r="G19" s="145">
        <f ca="1">ROUND(C19*$C$18+D19*$D$18,0)</f>
        <v>827</v>
      </c>
      <c r="H19" s="2435" t="s">
        <v>2149</v>
      </c>
      <c r="I19" s="138"/>
      <c r="K19" s="2427" t="s">
        <v>2150</v>
      </c>
      <c r="L19" s="2427">
        <f>IF(C1="",'数据-汇总表'!D3,SUMIF(项目类型,C1,'数据-汇总表'!D17:D26)+SUMIF(项目类型,C1,'数据-汇总表'!H17:H27))</f>
        <v>1042.42</v>
      </c>
      <c r="M19" s="2427">
        <f>IF(C1="",'数据-汇总表'!D3,SUMIF(项目类型,C1,'数据-汇总表'!D17:D26))</f>
        <v>1042.42</v>
      </c>
    </row>
    <row r="20" spans="1:35" ht="15">
      <c r="A20" s="2436"/>
      <c r="B20" s="1249" t="s">
        <v>2151</v>
      </c>
      <c r="C20" s="146">
        <f ca="1">SUMIF(INDIRECT("'"&amp;C4&amp;"'"&amp;"!A:A"),'结果表-办公'!B20,INDIRECT("'"&amp;C4&amp;"'"&amp;"!B:B"))</f>
        <v>33302</v>
      </c>
      <c r="D20" s="147">
        <f ca="1">SUMIF(INDIRECT("'"&amp;D4&amp;"'"&amp;"!A:A"),'结果表-办公'!B20,INDIRECT("'"&amp;D4&amp;"'"&amp;"!B:B"))</f>
        <v>27698</v>
      </c>
      <c r="E20" s="2436"/>
      <c r="F20" s="1249" t="s">
        <v>2151</v>
      </c>
      <c r="G20" s="148">
        <f ca="1">ROUND(C20*$C$18+D20*$D$18,0)</f>
        <v>30500</v>
      </c>
      <c r="H20" s="982" t="s">
        <v>2152</v>
      </c>
      <c r="I20" s="138"/>
    </row>
    <row r="21" spans="1:35" ht="15" customHeight="1" thickBot="1">
      <c r="A21" s="1002"/>
      <c r="B21" s="2437" t="s">
        <v>2153</v>
      </c>
      <c r="C21" s="789">
        <f ca="1">ROUND(C19*10000/L19,0)</f>
        <v>8663</v>
      </c>
      <c r="D21" s="790">
        <f ca="1">ROUND(D19*10000/L19,0)</f>
        <v>7204</v>
      </c>
      <c r="E21" s="1002"/>
      <c r="F21" s="2437" t="s">
        <v>2153</v>
      </c>
      <c r="G21" s="149">
        <f ca="1">ROUND(G19*10000/L19,0)</f>
        <v>7933</v>
      </c>
      <c r="H21" s="2438" t="s">
        <v>2152</v>
      </c>
      <c r="I21" s="138"/>
    </row>
    <row r="22" spans="1:35" ht="15" thickBot="1">
      <c r="A22" s="2281" t="s">
        <v>2154</v>
      </c>
      <c r="B22" s="2439"/>
      <c r="C22" s="2440"/>
      <c r="D22" s="791">
        <f ca="1">IF(C19&lt;D19,D19/C19-1,C19/D19-1)</f>
        <v>0.20239680426098539</v>
      </c>
      <c r="E22" s="138"/>
      <c r="F22" s="138"/>
      <c r="G22" s="138"/>
      <c r="H22" s="138"/>
      <c r="I22" s="138"/>
    </row>
    <row r="23" spans="1:35" ht="13.5" thickBot="1">
      <c r="A23" s="2417"/>
      <c r="B23" s="2417"/>
      <c r="C23" s="2417"/>
      <c r="D23" s="2417"/>
      <c r="E23" s="138"/>
      <c r="F23" s="138"/>
      <c r="G23" s="138"/>
      <c r="H23" s="138"/>
      <c r="I23" s="138"/>
    </row>
    <row r="24" spans="1:35" ht="14.25">
      <c r="A24" s="3191" t="s">
        <v>2155</v>
      </c>
      <c r="B24" s="2434" t="s">
        <v>2147</v>
      </c>
      <c r="C24" s="145">
        <f>IF(B30=0,0,D30)</f>
        <v>0</v>
      </c>
      <c r="D24" s="2441"/>
      <c r="E24" s="138"/>
      <c r="F24" s="138"/>
      <c r="G24" s="138"/>
      <c r="H24" s="138"/>
      <c r="I24" s="138"/>
    </row>
    <row r="25" spans="1:35" ht="14.25">
      <c r="A25" s="3192"/>
      <c r="B25" s="1249"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6" t="s">
        <v>3042</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827</v>
      </c>
      <c r="D32" s="2448" t="s">
        <v>2162</v>
      </c>
      <c r="E32" s="138"/>
      <c r="F32" s="138"/>
      <c r="G32" s="138"/>
      <c r="H32" s="138"/>
      <c r="I32" s="138"/>
    </row>
    <row r="33" spans="1:15" ht="15">
      <c r="A33" s="959" t="s">
        <v>2163</v>
      </c>
      <c r="B33" s="2449"/>
      <c r="C33" s="2450"/>
      <c r="D33" s="2451"/>
      <c r="E33" s="2452" t="s">
        <v>2164</v>
      </c>
      <c r="F33" s="2453" t="str">
        <f>IF(D32="楼面单价","取值（单价）","取值（总价）")</f>
        <v>取值（总价）</v>
      </c>
      <c r="G33" s="138"/>
      <c r="H33" s="138"/>
      <c r="I33" s="138"/>
    </row>
    <row r="34" spans="1:15" ht="15">
      <c r="A34" s="2454"/>
      <c r="B34" s="2455" t="s">
        <v>2165</v>
      </c>
      <c r="C34" s="157" t="e">
        <f ca="1">IF(C33="自定义",F34,C32-C35)</f>
        <v>#REF!</v>
      </c>
      <c r="D34" s="1057" t="e">
        <f ca="1">IF(C33="自定义",ROUND(C34/C32,3),IF(C33="收益比率",SUMIF(INDIRECT("'"&amp;D33&amp;"'"&amp;"!b:b"),"土地收益比率",INDIRECT("'"&amp;D33&amp;"'"&amp;"!c:c")),SUMIF(INDIRECT("'"&amp;D33&amp;"'"&amp;"!b:b"),"土地成本比率",INDIRECT("'"&amp;D33&amp;"'"&amp;"!c:c"))))</f>
        <v>#REF!</v>
      </c>
      <c r="E34" s="2456" t="s">
        <v>2166</v>
      </c>
      <c r="F34" s="1738"/>
      <c r="G34" s="138"/>
      <c r="H34" s="138"/>
      <c r="I34" s="138"/>
    </row>
    <row r="35" spans="1:15" ht="15.75" thickBot="1">
      <c r="A35" s="2457"/>
      <c r="B35" s="2458" t="s">
        <v>2167</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71" t="s">
        <v>2169</v>
      </c>
      <c r="B36" s="2460" t="s">
        <v>2170</v>
      </c>
      <c r="C36" s="154"/>
      <c r="D36" s="2461"/>
      <c r="E36" s="2462"/>
      <c r="F36" s="2463"/>
      <c r="G36" s="138"/>
      <c r="H36" s="138"/>
      <c r="I36" s="138"/>
    </row>
    <row r="37" spans="1:15" ht="15.75" thickBot="1">
      <c r="A37" s="3172"/>
      <c r="B37" s="2267" t="s">
        <v>2171</v>
      </c>
      <c r="C37" s="156"/>
      <c r="D37" s="1394"/>
      <c r="E37" s="1394"/>
      <c r="F37" s="2463"/>
      <c r="G37" s="138"/>
      <c r="H37" s="138"/>
      <c r="I37" s="138"/>
    </row>
    <row r="38" spans="1:15" ht="15.75" thickBot="1">
      <c r="A38" s="3173"/>
      <c r="B38" s="2464" t="s">
        <v>2172</v>
      </c>
      <c r="C38" s="727"/>
      <c r="D38" s="2465" t="s">
        <v>2173</v>
      </c>
      <c r="E38" s="1394"/>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6"/>
      <c r="B43" s="2166"/>
      <c r="C43" s="2166"/>
      <c r="D43" s="2166"/>
      <c r="E43" s="2166"/>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88" t="s">
        <v>2183</v>
      </c>
      <c r="B45" s="3189"/>
      <c r="C45" s="3190"/>
      <c r="D45" s="164">
        <f ca="1">ROUND(H101*F45,0)</f>
        <v>827</v>
      </c>
      <c r="E45" s="165" t="s">
        <v>2184</v>
      </c>
      <c r="F45" s="166">
        <v>1</v>
      </c>
      <c r="G45" s="167" t="s">
        <v>2185</v>
      </c>
      <c r="H45" s="138"/>
      <c r="I45" s="138"/>
      <c r="J45" s="3107" t="s">
        <v>2186</v>
      </c>
      <c r="K45" s="3107"/>
      <c r="L45" s="3107"/>
      <c r="M45" s="3107"/>
      <c r="N45" s="3107"/>
      <c r="O45" s="3107"/>
    </row>
    <row r="46" spans="1:15" ht="14.25" customHeight="1">
      <c r="A46" s="3185" t="s">
        <v>2187</v>
      </c>
      <c r="B46" s="3186"/>
      <c r="C46" s="3186"/>
      <c r="D46" s="3186"/>
      <c r="E46" s="3186"/>
      <c r="F46" s="3186"/>
      <c r="G46" s="3187"/>
      <c r="H46" s="2479"/>
      <c r="I46" s="168"/>
      <c r="J46" s="1811">
        <v>1</v>
      </c>
      <c r="K46" s="3107" t="s">
        <v>2188</v>
      </c>
      <c r="L46" s="3107"/>
      <c r="M46" s="3108"/>
      <c r="N46" s="3108"/>
      <c r="O46" s="3108"/>
    </row>
    <row r="47" spans="1:15" ht="12" customHeight="1">
      <c r="A47" s="169" t="s">
        <v>2189</v>
      </c>
      <c r="B47" s="170"/>
      <c r="C47" s="171"/>
      <c r="D47" s="172" t="s">
        <v>2190</v>
      </c>
      <c r="E47" s="24" t="s">
        <v>2191</v>
      </c>
      <c r="F47" s="173" t="s">
        <v>2192</v>
      </c>
      <c r="G47" s="174" t="s">
        <v>2193</v>
      </c>
      <c r="H47" s="2479"/>
      <c r="I47" s="168"/>
      <c r="J47" s="1811">
        <v>2</v>
      </c>
      <c r="K47" s="3107" t="s">
        <v>2194</v>
      </c>
      <c r="L47" s="3107"/>
      <c r="M47" s="3109">
        <f>'数据-取费表'!B2</f>
        <v>43100</v>
      </c>
      <c r="N47" s="3109"/>
      <c r="O47" s="3109"/>
    </row>
    <row r="48" spans="1:15" ht="25.5">
      <c r="A48" s="3175" t="s">
        <v>2195</v>
      </c>
      <c r="B48" s="3176"/>
      <c r="C48" s="3176"/>
      <c r="D48" s="140">
        <f>IF(H48="情况1",0,IF(H48="情况2",D52,IF(H48="情况3",D53,IF(H48="情况4",D54))))</f>
        <v>0</v>
      </c>
      <c r="E48" s="1800" t="str">
        <f>IF(H48="情况4","(销售额-原购置价)×税（费）率","销售额×税（费）率")</f>
        <v>销售额×税（费）率</v>
      </c>
      <c r="F48" s="175" t="str">
        <f>IF(H48="情况1","免征",'数据-取费表'!B41)</f>
        <v>免征</v>
      </c>
      <c r="G48" s="2480" t="s">
        <v>2196</v>
      </c>
      <c r="H48" s="2481" t="s">
        <v>2197</v>
      </c>
      <c r="I48" s="2479"/>
      <c r="J48" s="1811">
        <v>3</v>
      </c>
      <c r="K48" s="3107" t="s">
        <v>2198</v>
      </c>
      <c r="L48" s="3107"/>
      <c r="M48" s="3110">
        <f ca="1">H101</f>
        <v>827</v>
      </c>
      <c r="N48" s="3110"/>
      <c r="O48" s="3110"/>
    </row>
    <row r="49" spans="1:35" ht="25.5" customHeight="1">
      <c r="A49" s="176" t="s">
        <v>2199</v>
      </c>
      <c r="B49" s="3155" t="s">
        <v>2200</v>
      </c>
      <c r="C49" s="3155"/>
      <c r="D49" s="177">
        <v>0</v>
      </c>
      <c r="E49" s="23" t="s">
        <v>2201</v>
      </c>
      <c r="F49" s="28" t="s">
        <v>34</v>
      </c>
      <c r="G49" s="3136"/>
      <c r="H49" s="138"/>
      <c r="I49" s="2482"/>
      <c r="J49" s="1811">
        <v>4</v>
      </c>
      <c r="K49" s="3107" t="str">
        <f>IF(项目基本情况!E8="房地产抵押价值","房地产抵押价值","抵押担保权已注销时的房地产抵押价值")</f>
        <v>抵押担保权已注销时的房地产抵押价值</v>
      </c>
      <c r="L49" s="3107"/>
      <c r="M49" s="3110" t="str">
        <f>IF(项目基本情况!E8="房地产抵押价值",H107,H109)</f>
        <v>——</v>
      </c>
      <c r="N49" s="3110"/>
      <c r="O49" s="3110"/>
    </row>
    <row r="50" spans="1:35" ht="25.5" customHeight="1">
      <c r="A50" s="178"/>
      <c r="B50" s="3155" t="s">
        <v>2202</v>
      </c>
      <c r="C50" s="3155"/>
      <c r="D50" s="179"/>
      <c r="E50" s="31"/>
      <c r="F50" s="180"/>
      <c r="G50" s="3137"/>
      <c r="H50" s="138"/>
      <c r="I50" s="2482"/>
      <c r="J50" s="3107" t="s">
        <v>2203</v>
      </c>
      <c r="K50" s="3107"/>
      <c r="L50" s="3107"/>
      <c r="M50" s="3107"/>
      <c r="N50" s="3107"/>
      <c r="O50" s="3107"/>
    </row>
    <row r="51" spans="1:35" ht="12" customHeight="1">
      <c r="A51" s="181"/>
      <c r="B51" s="3155" t="s">
        <v>2204</v>
      </c>
      <c r="C51" s="3155"/>
      <c r="D51" s="182"/>
      <c r="E51" s="30"/>
      <c r="F51" s="180"/>
      <c r="G51" s="3138"/>
      <c r="H51" s="138"/>
      <c r="I51" s="2482"/>
      <c r="J51" s="2483" t="s">
        <v>2205</v>
      </c>
      <c r="K51" s="3107" t="s">
        <v>2206</v>
      </c>
      <c r="L51" s="3107"/>
      <c r="M51" s="2483" t="s">
        <v>2207</v>
      </c>
      <c r="N51" s="2483" t="s">
        <v>2208</v>
      </c>
      <c r="O51" s="2483" t="s">
        <v>2209</v>
      </c>
    </row>
    <row r="52" spans="1:35" ht="24" customHeight="1">
      <c r="A52" s="183" t="s">
        <v>2210</v>
      </c>
      <c r="B52" s="3155" t="s">
        <v>2211</v>
      </c>
      <c r="C52" s="3155"/>
      <c r="D52" s="182">
        <f ca="1">ROUND(D45*'数据-取费表'!B41/(1+'数据-取费表'!C42),0)</f>
        <v>44</v>
      </c>
      <c r="E52" s="11" t="s">
        <v>2212</v>
      </c>
      <c r="F52" s="184">
        <f>'数据-取费表'!B41</f>
        <v>5.6000000000000001E-2</v>
      </c>
      <c r="G52" s="2484"/>
      <c r="H52" s="138"/>
      <c r="I52" s="2482"/>
      <c r="J52" s="1811">
        <v>1</v>
      </c>
      <c r="K52" s="3130" t="s">
        <v>2213</v>
      </c>
      <c r="L52" s="3130"/>
      <c r="M52" s="1753">
        <f>D48</f>
        <v>0</v>
      </c>
      <c r="N52" s="1811" t="str">
        <f>E48</f>
        <v>销售额×税（费）率</v>
      </c>
      <c r="O52" s="1754" t="str">
        <f>F48</f>
        <v>免征</v>
      </c>
    </row>
    <row r="53" spans="1:35" ht="12" customHeight="1">
      <c r="A53" s="183" t="s">
        <v>2214</v>
      </c>
      <c r="B53" s="3156" t="s">
        <v>2215</v>
      </c>
      <c r="C53" s="3157"/>
      <c r="D53" s="182">
        <f ca="1">ROUND(D45*'数据-取费表'!B41/(1+'数据-取费表'!C42),0)</f>
        <v>44</v>
      </c>
      <c r="E53" s="11" t="s">
        <v>2212</v>
      </c>
      <c r="F53" s="184">
        <f>'数据-取费表'!B41</f>
        <v>5.6000000000000001E-2</v>
      </c>
      <c r="G53" s="2484"/>
      <c r="H53" s="138"/>
      <c r="I53" s="2482"/>
      <c r="J53" s="1811">
        <v>2</v>
      </c>
      <c r="K53" s="3130" t="s">
        <v>2216</v>
      </c>
      <c r="L53" s="3130"/>
      <c r="M53" s="1753">
        <f t="shared" ref="M53:O54" ca="1" si="0">D55</f>
        <v>0</v>
      </c>
      <c r="N53" s="1811" t="str">
        <f t="shared" si="0"/>
        <v>销售额×税（费）率</v>
      </c>
      <c r="O53" s="1754">
        <f t="shared" si="0"/>
        <v>5.0000000000000001E-4</v>
      </c>
    </row>
    <row r="54" spans="1:35" ht="12" customHeight="1">
      <c r="A54" s="183" t="s">
        <v>2217</v>
      </c>
      <c r="B54" s="3156" t="s">
        <v>2218</v>
      </c>
      <c r="C54" s="3157"/>
      <c r="D54" s="182">
        <f ca="1">C68</f>
        <v>44</v>
      </c>
      <c r="E54" s="30" t="s">
        <v>2219</v>
      </c>
      <c r="F54" s="184">
        <f>'数据-取费表'!B41</f>
        <v>5.6000000000000001E-2</v>
      </c>
      <c r="G54" s="2484"/>
      <c r="H54" s="2485"/>
      <c r="I54" s="2482"/>
      <c r="J54" s="1811">
        <v>3</v>
      </c>
      <c r="K54" s="3130" t="s">
        <v>2220</v>
      </c>
      <c r="L54" s="3130"/>
      <c r="M54" s="1753">
        <f t="shared" ca="1" si="0"/>
        <v>468</v>
      </c>
      <c r="N54" s="1811" t="str">
        <f t="shared" si="0"/>
        <v>增值额×税（费）率</v>
      </c>
      <c r="O54" s="1755" t="str">
        <f t="shared" si="0"/>
        <v>——</v>
      </c>
    </row>
    <row r="55" spans="1:35" ht="24" customHeight="1">
      <c r="A55" s="3194" t="s">
        <v>2221</v>
      </c>
      <c r="B55" s="3176"/>
      <c r="C55" s="3176"/>
      <c r="D55" s="185">
        <f ca="1">IF(H55="个人住宅",0,ROUND(D45*I55,0))</f>
        <v>0</v>
      </c>
      <c r="E55" s="11" t="s">
        <v>2222</v>
      </c>
      <c r="F55" s="184">
        <f>IF(H55="正常",I55,"免征")</f>
        <v>5.0000000000000001E-4</v>
      </c>
      <c r="G55" s="2484"/>
      <c r="H55" s="2481" t="s">
        <v>2223</v>
      </c>
      <c r="I55" s="186">
        <f>'数据-取费表'!B49</f>
        <v>5.0000000000000001E-4</v>
      </c>
      <c r="J55" s="1811" t="str">
        <f>IF(H59="非个人房产","",4)</f>
        <v/>
      </c>
      <c r="K55" s="3130" t="str">
        <f>IF(H59="非个人房产","——","个人所得税")</f>
        <v>——</v>
      </c>
      <c r="L55" s="3130"/>
      <c r="M55" s="1756" t="str">
        <f>D59</f>
        <v>——</v>
      </c>
      <c r="N55" s="1809" t="str">
        <f>E59</f>
        <v>——</v>
      </c>
      <c r="O55" s="1757" t="str">
        <f>F59</f>
        <v>——</v>
      </c>
    </row>
    <row r="56" spans="1:35" ht="24.75">
      <c r="A56" s="3194" t="s">
        <v>2224</v>
      </c>
      <c r="B56" s="3176"/>
      <c r="C56" s="3176"/>
      <c r="D56" s="185">
        <f ca="1">IF(H56="个人住宅",D57,D58)</f>
        <v>468</v>
      </c>
      <c r="E56" s="11" t="s">
        <v>2225</v>
      </c>
      <c r="F56" s="184" t="str">
        <f>IF(H56="正常",F58,"免征")</f>
        <v>——</v>
      </c>
      <c r="G56" s="2486" t="s">
        <v>2226</v>
      </c>
      <c r="H56" s="2487" t="s">
        <v>2223</v>
      </c>
      <c r="I56" s="2488"/>
      <c r="J56" s="1811" t="str">
        <f>IF(项目基本情况!K6="上海银行",IF(J55="",4,J55+1),"")</f>
        <v/>
      </c>
      <c r="K56" s="3113" t="str">
        <f>IF(项目基本情况!K6="上海银行","其他处置费用","")</f>
        <v/>
      </c>
      <c r="L56" s="3114"/>
      <c r="M56" s="1753" t="str">
        <f>IF(项目基本情况!K6="上海银行",M69,"")</f>
        <v/>
      </c>
      <c r="N56" s="3116" t="str">
        <f>IF(项目基本情况!K6="上海银行","包含处置中涉及的律师、诉讼、拍卖、评估等费用","")</f>
        <v/>
      </c>
      <c r="O56" s="3117"/>
    </row>
    <row r="57" spans="1:35" ht="12.75">
      <c r="A57" s="183" t="s">
        <v>2199</v>
      </c>
      <c r="B57" s="3161" t="s">
        <v>2227</v>
      </c>
      <c r="C57" s="3162"/>
      <c r="D57" s="187">
        <v>0</v>
      </c>
      <c r="E57" s="23" t="s">
        <v>2201</v>
      </c>
      <c r="F57" s="155"/>
      <c r="G57" s="2484"/>
      <c r="H57" s="2488"/>
      <c r="I57" s="2488"/>
      <c r="J57" s="3130">
        <f>IF(AND(J55="",J56=""),4,IF(项目基本情况!K6="上海银行",'结果表-办公'!J56+1,'结果表-办公'!J55+1))</f>
        <v>4</v>
      </c>
      <c r="K57" s="3130" t="s">
        <v>2228</v>
      </c>
      <c r="L57" s="2489" t="s">
        <v>2229</v>
      </c>
      <c r="M57" s="1758"/>
      <c r="N57" s="1759">
        <f ca="1">SUMIF(M52:M56,"&lt;9e307")</f>
        <v>468</v>
      </c>
      <c r="O57" s="2490"/>
      <c r="P57" s="1752" t="e">
        <f ca="1">N57/M49</f>
        <v>#VALUE!</v>
      </c>
    </row>
    <row r="58" spans="1:35" ht="24.75">
      <c r="A58" s="183" t="s">
        <v>2210</v>
      </c>
      <c r="B58" s="3161" t="s">
        <v>2230</v>
      </c>
      <c r="C58" s="3174"/>
      <c r="D58" s="185">
        <f ca="1">IF(H58="转让取得",C81,C97)</f>
        <v>468</v>
      </c>
      <c r="E58" s="11" t="s">
        <v>2225</v>
      </c>
      <c r="F58" s="24" t="s">
        <v>34</v>
      </c>
      <c r="G58" s="2484"/>
      <c r="H58" s="2487" t="s">
        <v>2231</v>
      </c>
      <c r="I58" s="2488"/>
      <c r="J58" s="3130"/>
      <c r="K58" s="3130"/>
      <c r="L58" s="2489" t="s">
        <v>2232</v>
      </c>
      <c r="M58" s="1760"/>
      <c r="N58" s="2491" t="str">
        <f ca="1">NUMBERSTRING(INT(N57*10000),2)&amp;"元整"</f>
        <v>肆佰陆拾捌万元整</v>
      </c>
      <c r="O58" s="2492"/>
    </row>
    <row r="59" spans="1:35" ht="24.75" thickBot="1">
      <c r="A59" s="3134" t="s">
        <v>2233</v>
      </c>
      <c r="B59" s="3135"/>
      <c r="C59" s="3135"/>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32">
        <f>J57+1</f>
        <v>5</v>
      </c>
      <c r="K59" s="3130" t="s">
        <v>2235</v>
      </c>
      <c r="L59" s="1811" t="s">
        <v>2229</v>
      </c>
      <c r="M59" s="1761"/>
      <c r="N59" s="1762" t="e">
        <f ca="1">M49-N57</f>
        <v>#VALUE!</v>
      </c>
      <c r="O59" s="2494"/>
    </row>
    <row r="60" spans="1:35" ht="12" customHeight="1">
      <c r="A60" s="2495"/>
      <c r="B60" s="2417"/>
      <c r="C60" s="2417"/>
      <c r="D60" s="2417"/>
      <c r="E60" s="2167"/>
      <c r="F60" s="2488"/>
      <c r="G60" s="2488"/>
      <c r="H60" s="2496"/>
      <c r="I60" s="138"/>
      <c r="J60" s="3133"/>
      <c r="K60" s="3130"/>
      <c r="L60" s="2489" t="s">
        <v>2232</v>
      </c>
      <c r="M60" s="1760"/>
      <c r="N60" s="2491" t="e">
        <f ca="1">NUMBERSTRING(INT(N59*10000),2)&amp;"元整"</f>
        <v>#VALUE!</v>
      </c>
      <c r="O60" s="2492"/>
    </row>
    <row r="61" spans="1:35" ht="13.5" thickBot="1">
      <c r="A61" s="3193" t="s">
        <v>2236</v>
      </c>
      <c r="B61" s="3193"/>
      <c r="C61" s="3193"/>
      <c r="D61" s="3193"/>
      <c r="E61" s="3193"/>
      <c r="F61" s="2488"/>
      <c r="G61" s="2488"/>
      <c r="H61" s="2496"/>
      <c r="I61" s="138"/>
      <c r="J61" s="1811">
        <f>J59+1</f>
        <v>6</v>
      </c>
      <c r="K61" s="3130" t="s">
        <v>2237</v>
      </c>
      <c r="L61" s="3130"/>
      <c r="M61" s="1763"/>
      <c r="N61" s="1764" t="e">
        <f ca="1">ROUND(N59*10000/'数据-汇总表'!E3,0)</f>
        <v>#VALUE!</v>
      </c>
      <c r="O61" s="2497"/>
    </row>
    <row r="62" spans="1:35" ht="12.75">
      <c r="A62" s="3150" t="s">
        <v>2238</v>
      </c>
      <c r="B62" s="3151"/>
      <c r="C62" s="1803"/>
      <c r="D62" s="1803" t="s">
        <v>2239</v>
      </c>
      <c r="E62" s="192" t="s">
        <v>2240</v>
      </c>
      <c r="F62" s="2488"/>
      <c r="G62" s="2488"/>
      <c r="H62" s="2496"/>
      <c r="I62" s="138"/>
    </row>
    <row r="63" spans="1:35" ht="12.75">
      <c r="A63" s="203" t="s">
        <v>775</v>
      </c>
      <c r="B63" s="193" t="s">
        <v>2241</v>
      </c>
      <c r="C63" s="194">
        <f ca="1">ROUND((C64+C65)/(1+'数据-取费表'!C42),0)</f>
        <v>788</v>
      </c>
      <c r="D63" s="195"/>
      <c r="E63" s="196"/>
      <c r="F63" s="2488"/>
      <c r="G63" s="2488"/>
      <c r="H63" s="2496"/>
      <c r="I63" s="138"/>
      <c r="J63" s="3115" t="s">
        <v>2242</v>
      </c>
      <c r="K63" s="2498" t="s">
        <v>2243</v>
      </c>
      <c r="L63" s="1751"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827</v>
      </c>
      <c r="D64" s="200" t="s">
        <v>32</v>
      </c>
      <c r="E64" s="201"/>
      <c r="F64" s="2488"/>
      <c r="G64" s="2488"/>
      <c r="H64" s="2496"/>
      <c r="I64" s="138"/>
      <c r="J64" s="3115"/>
      <c r="K64" s="2498" t="s">
        <v>2245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15"/>
      <c r="K65" s="2498" t="s">
        <v>2248</v>
      </c>
      <c r="L65" s="1751"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5" t="s">
        <v>1371</v>
      </c>
      <c r="F66" s="2488"/>
      <c r="G66" s="2488"/>
      <c r="H66" s="2496"/>
      <c r="I66" s="138"/>
      <c r="J66" s="3115"/>
      <c r="K66" s="2498" t="s">
        <v>2250</v>
      </c>
      <c r="L66" s="1751" t="e">
        <f>M49*0.5%</f>
        <v>#VALUE!</v>
      </c>
      <c r="M66" s="24" t="e">
        <f>IF(L66&gt;0.5,0.5,ROUND(L66,0))</f>
        <v>#VALUE!</v>
      </c>
      <c r="N66" s="138" t="s">
        <v>2251</v>
      </c>
      <c r="Z66" s="2422"/>
      <c r="AI66" s="2423"/>
    </row>
    <row r="67" spans="1:35" ht="14.25" customHeight="1">
      <c r="A67" s="203" t="s">
        <v>773</v>
      </c>
      <c r="B67" s="204" t="s">
        <v>2252</v>
      </c>
      <c r="C67" s="207">
        <f ca="1">C63-C66</f>
        <v>788</v>
      </c>
      <c r="D67" s="200" t="s">
        <v>32</v>
      </c>
      <c r="E67" s="201"/>
      <c r="F67" s="2488"/>
      <c r="G67" s="2488"/>
      <c r="H67" s="2496"/>
      <c r="I67" s="138"/>
      <c r="J67" s="3115"/>
      <c r="K67" s="2498" t="s">
        <v>2253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44</v>
      </c>
      <c r="D68" s="211">
        <f>'数据-取费表'!B41</f>
        <v>5.6000000000000001E-2</v>
      </c>
      <c r="E68" s="212"/>
      <c r="F68" s="2488"/>
      <c r="G68" s="2488"/>
      <c r="H68" s="2496"/>
      <c r="I68" s="138"/>
      <c r="J68" s="3115"/>
      <c r="K68" s="2498" t="s">
        <v>2255</v>
      </c>
      <c r="L68" s="1751"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7"/>
      <c r="G69" s="2167"/>
      <c r="H69" s="2166"/>
      <c r="I69" s="2417"/>
      <c r="J69" s="3115"/>
      <c r="K69" s="2498" t="s">
        <v>2256</v>
      </c>
      <c r="L69" s="2504"/>
      <c r="M69" s="24" t="e">
        <f>ROUND(SUM(M63:M68),0)</f>
        <v>#VALUE!</v>
      </c>
      <c r="N69" s="1752"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59" t="s">
        <v>2257</v>
      </c>
      <c r="B70" s="3160"/>
      <c r="C70" s="3160"/>
      <c r="D70" s="3160"/>
      <c r="E70" s="3160"/>
      <c r="F70" s="3160"/>
      <c r="G70" s="3160"/>
      <c r="H70" s="316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0" t="s">
        <v>2238</v>
      </c>
      <c r="B71" s="3151"/>
      <c r="C71" s="1803"/>
      <c r="D71" s="1803"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788</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5</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56" t="s">
        <v>2266</v>
      </c>
      <c r="F76" s="3155"/>
      <c r="G76" s="3155"/>
      <c r="H76" s="315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5</v>
      </c>
      <c r="D78" s="226">
        <f>'数据-取费表'!B43</f>
        <v>6.000000000000001E-3</v>
      </c>
      <c r="E78" s="3147" t="s">
        <v>2271</v>
      </c>
      <c r="F78" s="3148"/>
      <c r="G78" s="3148"/>
      <c r="H78" s="314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783</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156.6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468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59" t="s">
        <v>2275</v>
      </c>
      <c r="B83" s="3160"/>
      <c r="C83" s="3160"/>
      <c r="D83" s="3160"/>
      <c r="E83" s="3160"/>
      <c r="F83" s="3160"/>
      <c r="G83" s="3160"/>
      <c r="H83" s="316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0" t="s">
        <v>2238</v>
      </c>
      <c r="B84" s="3151"/>
      <c r="C84" s="1803"/>
      <c r="D84" s="1803"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788</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5</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9"/>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47" t="s">
        <v>2284</v>
      </c>
      <c r="F91" s="3148"/>
      <c r="G91" s="3148"/>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47" t="s">
        <v>2288</v>
      </c>
      <c r="F92" s="3148"/>
      <c r="G92" s="3148"/>
      <c r="H92" s="314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5</v>
      </c>
      <c r="D93" s="226">
        <f>'数据-取费表'!B43</f>
        <v>6.000000000000001E-3</v>
      </c>
      <c r="E93" s="3147" t="s">
        <v>2271</v>
      </c>
      <c r="F93" s="3148"/>
      <c r="G93" s="3148"/>
      <c r="H93" s="314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95" t="s">
        <v>2292</v>
      </c>
      <c r="F94" s="3196"/>
      <c r="G94" s="3196"/>
      <c r="H94" s="319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783</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156.6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468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7"/>
      <c r="F98" s="2167"/>
      <c r="G98" s="2167"/>
      <c r="H98" s="2166"/>
      <c r="I98" s="138"/>
    </row>
    <row r="99" spans="1:35" ht="21.75" customHeight="1" thickBot="1">
      <c r="A99" s="2473" t="s">
        <v>2293</v>
      </c>
      <c r="B99" s="2417"/>
      <c r="C99" s="2417"/>
      <c r="D99" s="2417"/>
      <c r="E99" s="2167"/>
      <c r="F99" s="2167"/>
      <c r="G99" s="2167"/>
      <c r="H99" s="2166"/>
      <c r="I99" s="138"/>
    </row>
    <row r="100" spans="1:35" ht="18.75" customHeight="1">
      <c r="A100" s="3095" t="s">
        <v>2294</v>
      </c>
      <c r="B100" s="3096"/>
      <c r="C100" s="3096"/>
      <c r="D100" s="3131"/>
      <c r="E100" s="3096" t="s">
        <v>2295</v>
      </c>
      <c r="F100" s="3096"/>
      <c r="G100" s="3096"/>
      <c r="H100" s="3131"/>
      <c r="I100" s="138"/>
    </row>
    <row r="101" spans="1:35" ht="18.75" customHeight="1">
      <c r="A101" s="3139" t="s">
        <v>2296</v>
      </c>
      <c r="B101" s="3140"/>
      <c r="C101" s="736" t="str">
        <f>C4</f>
        <v>比较法-办公</v>
      </c>
      <c r="D101" s="737" t="str">
        <f>D4</f>
        <v>收益法（办公）</v>
      </c>
      <c r="E101" s="3111" t="s">
        <v>2297</v>
      </c>
      <c r="F101" s="3112"/>
      <c r="G101" s="2519" t="s">
        <v>2298</v>
      </c>
      <c r="H101" s="1047">
        <f ca="1">H118</f>
        <v>827</v>
      </c>
      <c r="I101" s="138"/>
    </row>
    <row r="102" spans="1:35" ht="18.75" customHeight="1">
      <c r="A102" s="3141" t="s">
        <v>2299</v>
      </c>
      <c r="B102" s="2519" t="s">
        <v>2298</v>
      </c>
      <c r="C102" s="736">
        <f ca="1">C19</f>
        <v>903</v>
      </c>
      <c r="D102" s="737">
        <f ca="1">D19</f>
        <v>751</v>
      </c>
      <c r="E102" s="3111"/>
      <c r="F102" s="3112"/>
      <c r="G102" s="2519" t="s">
        <v>2300</v>
      </c>
      <c r="H102" s="371">
        <f ca="1">I118</f>
        <v>2267</v>
      </c>
      <c r="I102" s="138"/>
    </row>
    <row r="103" spans="1:35" ht="42.75" customHeight="1">
      <c r="A103" s="3141"/>
      <c r="B103" s="2519" t="s">
        <v>2300</v>
      </c>
      <c r="C103" s="738">
        <f ca="1">C20</f>
        <v>33302</v>
      </c>
      <c r="D103" s="739">
        <f ca="1">D20</f>
        <v>27698</v>
      </c>
      <c r="E103" s="3105" t="s">
        <v>2301</v>
      </c>
      <c r="F103" s="3106"/>
      <c r="G103" s="2520" t="s">
        <v>2302</v>
      </c>
      <c r="H103" s="1047">
        <f>IF(D36="正常操作",H104+H105+H106,H105+H106)</f>
        <v>0</v>
      </c>
      <c r="I103" s="138"/>
    </row>
    <row r="104" spans="1:35" ht="18.75" customHeight="1">
      <c r="A104" s="3141" t="s">
        <v>2303</v>
      </c>
      <c r="B104" s="2521" t="s">
        <v>2298</v>
      </c>
      <c r="C104" s="740">
        <f ca="1">H118</f>
        <v>827</v>
      </c>
      <c r="D104" s="741"/>
      <c r="E104" s="2267" t="s">
        <v>2304</v>
      </c>
      <c r="F104" s="2259"/>
      <c r="G104" s="2520" t="s">
        <v>2302</v>
      </c>
      <c r="H104" s="1048">
        <f>IF(D36="同一抵押权人同一抵押物续贷",C36&amp;"（未扣减，详见特别提示）",C36)</f>
        <v>0</v>
      </c>
      <c r="I104" s="138"/>
    </row>
    <row r="105" spans="1:35" ht="18.75" customHeight="1" thickBot="1">
      <c r="A105" s="3153"/>
      <c r="B105" s="2522" t="s">
        <v>2300</v>
      </c>
      <c r="C105" s="742">
        <f ca="1">I118</f>
        <v>2267</v>
      </c>
      <c r="D105" s="743"/>
      <c r="E105" s="2267" t="s">
        <v>2305</v>
      </c>
      <c r="F105" s="2259"/>
      <c r="G105" s="2520" t="s">
        <v>2302</v>
      </c>
      <c r="H105" s="1048">
        <f>C37</f>
        <v>0</v>
      </c>
      <c r="I105" s="138"/>
    </row>
    <row r="106" spans="1:35" ht="18.75" customHeight="1">
      <c r="A106" s="2417" t="s">
        <v>2306</v>
      </c>
      <c r="B106" s="2417"/>
      <c r="C106" s="2417"/>
      <c r="D106" s="2417"/>
      <c r="E106" s="2523" t="s">
        <v>2307</v>
      </c>
      <c r="F106" s="2259"/>
      <c r="G106" s="2520" t="s">
        <v>2302</v>
      </c>
      <c r="H106" s="1048">
        <f>C38</f>
        <v>0</v>
      </c>
      <c r="I106" s="138"/>
    </row>
    <row r="107" spans="1:35" ht="18.75" customHeight="1">
      <c r="A107" s="138"/>
      <c r="B107" s="138"/>
      <c r="C107" s="138"/>
      <c r="D107" s="138"/>
      <c r="E107" s="3142" t="str">
        <f>IF(项目基本情况!E8="已注销","——","3.房地产抵押价值")</f>
        <v>3.房地产抵押价值</v>
      </c>
      <c r="F107" s="3112"/>
      <c r="G107" s="2519" t="s">
        <v>2298</v>
      </c>
      <c r="H107" s="1047">
        <f ca="1">IF(E107="——","——",H101-H103)</f>
        <v>827</v>
      </c>
      <c r="I107" s="138"/>
    </row>
    <row r="108" spans="1:35" ht="18.75" customHeight="1">
      <c r="A108" s="138"/>
      <c r="B108" s="138"/>
      <c r="C108" s="138"/>
      <c r="D108" s="138"/>
      <c r="E108" s="3142"/>
      <c r="F108" s="3112"/>
      <c r="G108" s="2519" t="s">
        <v>2300</v>
      </c>
      <c r="H108" s="371">
        <f ca="1">ROUND(H107*10000/'数据-汇总表'!E3,0)</f>
        <v>2267</v>
      </c>
      <c r="I108" s="138"/>
    </row>
    <row r="109" spans="1:35" ht="18.75" customHeight="1">
      <c r="A109" s="138"/>
      <c r="B109" s="138"/>
      <c r="C109" s="138"/>
      <c r="D109" s="138"/>
      <c r="E109" s="3142" t="str">
        <f>IF(项目基本情况!E8="已注销及未注销","4.抵押担保权已注销时的房地产抵押价值",IF(项目基本情况!E8="已注销","3.抵押担保权已注销时的房地产抵押价值","——"))</f>
        <v>——</v>
      </c>
      <c r="F109" s="3112"/>
      <c r="G109" s="2519" t="s">
        <v>2298</v>
      </c>
      <c r="H109" s="348" t="str">
        <f>IF(E109="——","——",H101-H105-H106)</f>
        <v>——</v>
      </c>
      <c r="I109" s="138"/>
    </row>
    <row r="110" spans="1:35" ht="18.75" customHeight="1">
      <c r="A110" s="138"/>
      <c r="B110" s="138"/>
      <c r="C110" s="138"/>
      <c r="D110" s="138"/>
      <c r="E110" s="3142"/>
      <c r="F110" s="3112"/>
      <c r="G110" s="2519" t="s">
        <v>2300</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19" t="s">
        <v>2298</v>
      </c>
      <c r="H111" s="1047" t="str">
        <f>IF(E111="——","——",N59)</f>
        <v>——</v>
      </c>
      <c r="I111" s="138"/>
    </row>
    <row r="112" spans="1:35" ht="18.75" customHeight="1" thickBot="1">
      <c r="A112" s="138"/>
      <c r="B112" s="138"/>
      <c r="C112" s="138"/>
      <c r="D112" s="138"/>
      <c r="E112" s="3145"/>
      <c r="F112" s="3146"/>
      <c r="G112" s="2524" t="s">
        <v>2300</v>
      </c>
      <c r="H112" s="790" t="str">
        <f>IF(E111="——","——",N61)</f>
        <v>——</v>
      </c>
      <c r="I112" s="138"/>
    </row>
    <row r="113" spans="1:11" ht="18.75" customHeight="1">
      <c r="A113" s="138"/>
      <c r="B113" s="138"/>
      <c r="C113" s="138"/>
      <c r="D113" s="138"/>
      <c r="E113" s="3154" t="s">
        <v>2306</v>
      </c>
      <c r="F113" s="3154"/>
      <c r="G113" s="3154"/>
      <c r="H113" s="3154"/>
      <c r="I113" s="138"/>
    </row>
    <row r="114" spans="1:11" ht="3.75" customHeight="1">
      <c r="A114" s="2417"/>
      <c r="B114" s="2417"/>
      <c r="C114" s="2417"/>
      <c r="D114" s="2417"/>
      <c r="E114" s="2495"/>
      <c r="F114" s="2495"/>
      <c r="G114" s="2495"/>
      <c r="H114" s="2495"/>
      <c r="I114" s="2417"/>
    </row>
    <row r="115" spans="1:11" ht="18.75" customHeight="1">
      <c r="A115" s="3167" t="s">
        <v>2308</v>
      </c>
      <c r="B115" s="3168"/>
      <c r="C115" s="3168"/>
      <c r="D115" s="3168"/>
      <c r="E115" s="3168"/>
      <c r="F115" s="3168"/>
      <c r="G115" s="3168"/>
      <c r="H115" s="3168"/>
      <c r="I115" s="3169"/>
    </row>
    <row r="116" spans="1:11" ht="27" customHeight="1">
      <c r="A116" s="3074" t="s">
        <v>2309</v>
      </c>
      <c r="B116" s="3121" t="s">
        <v>2310</v>
      </c>
      <c r="C116" s="3121" t="s">
        <v>2311</v>
      </c>
      <c r="D116" s="3127" t="s">
        <v>2312</v>
      </c>
      <c r="E116" s="3128"/>
      <c r="F116" s="3163" t="s">
        <v>2313</v>
      </c>
      <c r="G116" s="3163"/>
      <c r="H116" s="3074" t="s">
        <v>2314</v>
      </c>
      <c r="I116" s="3074"/>
    </row>
    <row r="117" spans="1:11" ht="18.75" customHeight="1">
      <c r="A117" s="3074"/>
      <c r="B117" s="3122"/>
      <c r="C117" s="3122"/>
      <c r="D117" s="1797" t="s">
        <v>2315</v>
      </c>
      <c r="E117" s="1797" t="s">
        <v>2316</v>
      </c>
      <c r="F117" s="1797" t="s">
        <v>2315</v>
      </c>
      <c r="G117" s="1797" t="s">
        <v>2317</v>
      </c>
      <c r="H117" s="1797" t="s">
        <v>2315</v>
      </c>
      <c r="I117" s="1797" t="s">
        <v>2317</v>
      </c>
    </row>
    <row r="118" spans="1:11" ht="24.75" customHeight="1">
      <c r="A118" s="2525" t="str">
        <f>项目基本情况!S2</f>
        <v>北京市朝阳区朝阳路71号房地产</v>
      </c>
      <c r="B118" s="1797">
        <f>M18</f>
        <v>3647.3</v>
      </c>
      <c r="C118" s="1797">
        <f>M19</f>
        <v>1042.42</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827</v>
      </c>
      <c r="I118" s="1797">
        <f ca="1">ROUND(IF(D32="楼面单价",C32,H118*10000/B118),0)</f>
        <v>2267</v>
      </c>
    </row>
    <row r="119" spans="1:11" ht="18.75" customHeight="1">
      <c r="A119" s="3074" t="s">
        <v>2318</v>
      </c>
      <c r="B119" s="3074"/>
      <c r="C119" s="3074"/>
      <c r="D119" s="3123" t="e">
        <f ca="1">NUMBERSTRING(INT(D118*10000),2)&amp;"元整"</f>
        <v>#REF!</v>
      </c>
      <c r="E119" s="3124"/>
      <c r="F119" s="3123" t="e">
        <f ca="1">NUMBERSTRING(INT(F118*10000),2)&amp;"元整"</f>
        <v>#REF!</v>
      </c>
      <c r="G119" s="3124"/>
      <c r="H119" s="3123" t="str">
        <f ca="1">NUMBERSTRING(INT(H118*10000),2)&amp;"元整"</f>
        <v>捌佰贰拾柒万元整</v>
      </c>
      <c r="I119" s="3124"/>
    </row>
    <row r="120" spans="1:11" ht="18.75" customHeight="1">
      <c r="A120" s="3118" t="str">
        <f>IF(项目基本情况!B9="房地产市场价值","",MID(E103,3,LEN(E103)-2))</f>
        <v/>
      </c>
      <c r="B120" s="3119"/>
      <c r="C120" s="3120"/>
      <c r="D120" s="3118">
        <f>H103</f>
        <v>0</v>
      </c>
      <c r="E120" s="3119"/>
      <c r="F120" s="3119"/>
      <c r="G120" s="3119"/>
      <c r="H120" s="3119"/>
      <c r="I120" s="3120"/>
      <c r="K120" s="2422" t="str">
        <f>IF(D120=0,"故，本次评估不存在"&amp;A120,"故，本次评估"&amp;A120&amp;"为人民币"&amp;D120&amp;"万元整。")</f>
        <v>故，本次评估不存在</v>
      </c>
    </row>
    <row r="121" spans="1:11" ht="18.75" customHeight="1">
      <c r="A121" s="3164" t="s">
        <v>2318</v>
      </c>
      <c r="B121" s="3165"/>
      <c r="C121" s="3166"/>
      <c r="D121" s="3123" t="str">
        <f>IF(D120=0,"零元整",NUMBERSTRING(INT(D120*10000),2)&amp;"元整")</f>
        <v>零元整</v>
      </c>
      <c r="E121" s="3125"/>
      <c r="F121" s="3125"/>
      <c r="G121" s="3125"/>
      <c r="H121" s="3125"/>
      <c r="I121" s="3124"/>
    </row>
    <row r="122" spans="1:11" ht="18.75" customHeight="1">
      <c r="A122" s="3129" t="str">
        <f>IF(项目基本情况!B9="房地产市场价值","",MID(E107,3,LEN(E107)-2))</f>
        <v/>
      </c>
      <c r="B122" s="3129"/>
      <c r="C122" s="3129"/>
      <c r="D122" s="3118">
        <f ca="1">H107</f>
        <v>827</v>
      </c>
      <c r="E122" s="3119"/>
      <c r="F122" s="3119"/>
      <c r="G122" s="3119"/>
      <c r="H122" s="3119"/>
      <c r="I122" s="3120"/>
    </row>
    <row r="123" spans="1:11" ht="18.75" customHeight="1">
      <c r="A123" s="3074" t="s">
        <v>2318</v>
      </c>
      <c r="B123" s="3074"/>
      <c r="C123" s="3074"/>
      <c r="D123" s="3123" t="str">
        <f ca="1">NUMBERSTRING(INT(D122*10000),2)&amp;"元整"</f>
        <v>捌佰贰拾柒万元整</v>
      </c>
      <c r="E123" s="3125"/>
      <c r="F123" s="3125"/>
      <c r="G123" s="3125"/>
      <c r="H123" s="3125"/>
      <c r="I123" s="3124"/>
    </row>
    <row r="124" spans="1:11" ht="18.75" customHeight="1">
      <c r="A124" s="3129" t="str">
        <f>IF(项目基本情况!B9="房地产市场价值","",MID(E109,3,LEN(E109)-2))</f>
        <v/>
      </c>
      <c r="B124" s="3129"/>
      <c r="C124" s="3129"/>
      <c r="D124" s="3118" t="str">
        <f>H109</f>
        <v>——</v>
      </c>
      <c r="E124" s="3119"/>
      <c r="F124" s="3119"/>
      <c r="G124" s="3119"/>
      <c r="H124" s="3119"/>
      <c r="I124" s="3120"/>
    </row>
    <row r="125" spans="1:11" ht="18.75" customHeight="1">
      <c r="A125" s="3074" t="s">
        <v>2318</v>
      </c>
      <c r="B125" s="3074"/>
      <c r="C125" s="3074"/>
      <c r="D125" s="3123" t="e">
        <f>NUMBERSTRING(INT(D124*10000),2)&amp;"元整"</f>
        <v>#VALUE!</v>
      </c>
      <c r="E125" s="3125"/>
      <c r="F125" s="3125"/>
      <c r="G125" s="3125"/>
      <c r="H125" s="3125"/>
      <c r="I125" s="3124"/>
    </row>
    <row r="126" spans="1:11" ht="18.75" customHeight="1">
      <c r="A126" s="3129" t="str">
        <f>IF(项目基本情况!B9="房地产市场价值","",MID(E111,3,LEN(E111)-2))</f>
        <v/>
      </c>
      <c r="B126" s="3129"/>
      <c r="C126" s="3129"/>
      <c r="D126" s="3118" t="str">
        <f>H111</f>
        <v>——</v>
      </c>
      <c r="E126" s="3119"/>
      <c r="F126" s="3119"/>
      <c r="G126" s="3119"/>
      <c r="H126" s="3119"/>
      <c r="I126" s="3120"/>
    </row>
    <row r="127" spans="1:11" ht="18.75" customHeight="1">
      <c r="A127" s="3074" t="s">
        <v>2318</v>
      </c>
      <c r="B127" s="3074"/>
      <c r="C127" s="3074"/>
      <c r="D127" s="3123" t="e">
        <f>NUMBERSTRING(INT(D126*10000),2)&amp;"元整"</f>
        <v>#VALUE!</v>
      </c>
      <c r="E127" s="3125"/>
      <c r="F127" s="3125"/>
      <c r="G127" s="3125"/>
      <c r="H127" s="3125"/>
      <c r="I127" s="3124"/>
    </row>
    <row r="128" spans="1:11" ht="21.75" customHeight="1">
      <c r="A128" s="3126" t="s">
        <v>2319</v>
      </c>
      <c r="B128" s="3126"/>
      <c r="C128" s="3126"/>
      <c r="D128" s="3126"/>
      <c r="E128" s="3126"/>
      <c r="F128" s="3126"/>
      <c r="G128" s="3126"/>
      <c r="H128" s="3126"/>
      <c r="I128" s="3126"/>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8" t="str">
        <f>项目基本情况!B1</f>
        <v>北京市朝阳区朝阳路71号房地产市场价值预评估</v>
      </c>
      <c r="C37" s="3008"/>
      <c r="D37" s="3008"/>
      <c r="E37" s="3008"/>
      <c r="F37" s="3008"/>
      <c r="G37" s="3008"/>
      <c r="H37" s="3008"/>
      <c r="I37" s="3008"/>
    </row>
    <row r="38" spans="1:9">
      <c r="A38" s="1018"/>
      <c r="B38" s="1018"/>
    </row>
    <row r="39" spans="1:9">
      <c r="A39" s="1016" t="s">
        <v>818</v>
      </c>
      <c r="B39" s="1016" t="s">
        <v>820</v>
      </c>
    </row>
    <row r="40" spans="1:9">
      <c r="A40" s="1016"/>
      <c r="B40" s="1944" t="str">
        <f>项目基本情况!B5</f>
        <v>北京国锐房地产开发有限公司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9"/>
      <c r="C1" s="242"/>
      <c r="D1" s="242"/>
      <c r="E1" s="242"/>
      <c r="F1" s="242"/>
      <c r="G1" s="1381">
        <f>MATCH(B1,'数据-取费表'!A6:A16,0)+5</f>
        <v>9</v>
      </c>
    </row>
    <row r="2" spans="1:9" s="244" customFormat="1" ht="18" customHeight="1">
      <c r="A2" s="245" t="s">
        <v>2328</v>
      </c>
      <c r="B2" s="246">
        <f ca="1">IF(D2="——",C52,C52-E2)</f>
        <v>1495</v>
      </c>
      <c r="C2" s="243" t="s">
        <v>2329</v>
      </c>
      <c r="D2" s="2548" t="s">
        <v>70</v>
      </c>
      <c r="E2" s="1442"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4099</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51" t="s">
        <v>2338</v>
      </c>
      <c r="B6" s="259" t="s">
        <v>2339</v>
      </c>
      <c r="C6" s="260"/>
      <c r="D6" s="261"/>
      <c r="E6" s="262"/>
      <c r="F6" s="262"/>
      <c r="G6" s="263"/>
    </row>
    <row r="7" spans="1:9" s="258" customFormat="1" ht="13.5" customHeight="1">
      <c r="A7" s="951" t="s">
        <v>2340</v>
      </c>
      <c r="B7" s="259" t="s">
        <v>2341</v>
      </c>
      <c r="C7" s="264">
        <f>ROUND(C6*F7,0)</f>
        <v>0</v>
      </c>
      <c r="D7" s="264"/>
      <c r="E7" s="262"/>
      <c r="F7" s="265">
        <f>'数据-取费表'!B48+'数据-取费表'!B49</f>
        <v>3.0499999999999999E-2</v>
      </c>
      <c r="G7" s="263"/>
    </row>
    <row r="8" spans="1:9" s="267" customFormat="1">
      <c r="A8" s="951" t="s">
        <v>2342</v>
      </c>
      <c r="B8" s="259" t="s">
        <v>2343</v>
      </c>
      <c r="C8" s="264">
        <f>IF(G8="已包含在土地购买价格中","0",IF(B1="",'数据-取费表'!B29,IF(G9="全部缴纳",C9+C10,H9)))</f>
        <v>0</v>
      </c>
      <c r="D8" s="266"/>
      <c r="E8" s="264"/>
      <c r="F8" s="265"/>
      <c r="G8" s="2551"/>
    </row>
    <row r="9" spans="1:9" s="258" customFormat="1" ht="13.5" customHeight="1">
      <c r="A9" s="952" t="s">
        <v>800</v>
      </c>
      <c r="B9" s="268" t="s">
        <v>2344</v>
      </c>
      <c r="C9" s="269">
        <f ca="1">ROUND(D9*E9/10000,0)</f>
        <v>0</v>
      </c>
      <c r="D9" s="1034">
        <f ca="1">IF(B1="",'数据-汇总表'!E5,IF(INDIRECT("'数据-取费表'!c"&amp;$G$1)="住宅",INDIRECT("'数据-取费表'!k"&amp;$G$1),0))</f>
        <v>0</v>
      </c>
      <c r="E9" s="269">
        <f>'数据-取费表'!B27</f>
        <v>200</v>
      </c>
      <c r="F9" s="265"/>
      <c r="G9" s="2552"/>
      <c r="H9" s="1392"/>
      <c r="I9" s="2553" t="s">
        <v>2345</v>
      </c>
    </row>
    <row r="10" spans="1:9" s="258" customFormat="1" ht="13.5" customHeight="1">
      <c r="A10" s="952" t="s">
        <v>801</v>
      </c>
      <c r="B10" s="268" t="s">
        <v>2346</v>
      </c>
      <c r="C10" s="269">
        <f ca="1">ROUND(D10*E10/10000,0)</f>
        <v>44</v>
      </c>
      <c r="D10" s="1034">
        <f ca="1">IF(B1="",'数据-汇总表'!E6,IF(INDIRECT("'数据-取费表'!c"&amp;$G$1)="住宅",INDIRECT("'数据-取费表'!s"&amp;$G$1),INDIRECT("'数据-取费表'!k"&amp;$G$1)+INDIRECT("'数据-取费表'!s"&amp;$G$1)))</f>
        <v>3647.3</v>
      </c>
      <c r="E10" s="269">
        <f>'数据-取费表'!B28</f>
        <v>120</v>
      </c>
      <c r="F10" s="265"/>
      <c r="G10" s="270"/>
    </row>
    <row r="11" spans="1:9" s="258" customFormat="1" ht="13.5" hidden="1" customHeight="1">
      <c r="A11" s="271" t="s">
        <v>7</v>
      </c>
      <c r="B11" s="259" t="s">
        <v>2347</v>
      </c>
      <c r="C11" s="255"/>
      <c r="D11" s="1036"/>
      <c r="E11" s="262"/>
      <c r="F11" s="262"/>
      <c r="G11" s="263"/>
    </row>
    <row r="12" spans="1:9" s="258" customFormat="1" ht="13.5" hidden="1" customHeight="1">
      <c r="A12" s="271" t="s">
        <v>8</v>
      </c>
      <c r="B12" s="259" t="s">
        <v>2348</v>
      </c>
      <c r="C12" s="255">
        <v>0</v>
      </c>
      <c r="D12" s="1036"/>
      <c r="E12" s="272"/>
      <c r="F12" s="265">
        <v>3.0499999999999999E-2</v>
      </c>
      <c r="G12" s="263"/>
    </row>
    <row r="13" spans="1:9" s="258" customFormat="1" ht="13.5" hidden="1" customHeight="1">
      <c r="A13" s="271" t="s">
        <v>9</v>
      </c>
      <c r="B13" s="259" t="s">
        <v>2349</v>
      </c>
      <c r="C13" s="255"/>
      <c r="D13" s="1036"/>
      <c r="E13" s="262"/>
      <c r="F13" s="262"/>
      <c r="G13" s="263"/>
    </row>
    <row r="14" spans="1:9" s="258" customFormat="1" ht="13.5" hidden="1" customHeight="1">
      <c r="A14" s="271" t="s">
        <v>10</v>
      </c>
      <c r="B14" s="259" t="s">
        <v>2350</v>
      </c>
      <c r="C14" s="255"/>
      <c r="D14" s="1036"/>
      <c r="E14" s="262"/>
      <c r="F14" s="262"/>
      <c r="G14" s="263" t="s">
        <v>2351</v>
      </c>
    </row>
    <row r="15" spans="1:9" s="258" customFormat="1" ht="13.5" hidden="1" customHeight="1">
      <c r="A15" s="271" t="s">
        <v>11</v>
      </c>
      <c r="B15" s="259" t="s">
        <v>2352</v>
      </c>
      <c r="C15" s="264"/>
      <c r="D15" s="1036"/>
      <c r="E15" s="262"/>
      <c r="F15" s="262"/>
      <c r="G15" s="263" t="s">
        <v>2353</v>
      </c>
    </row>
    <row r="16" spans="1:9" s="258" customFormat="1" ht="13.5" hidden="1" customHeight="1">
      <c r="A16" s="271" t="s">
        <v>12</v>
      </c>
      <c r="B16" s="259" t="s">
        <v>2350</v>
      </c>
      <c r="C16" s="264"/>
      <c r="D16" s="1036"/>
      <c r="E16" s="262"/>
      <c r="F16" s="262"/>
      <c r="G16" s="263"/>
    </row>
    <row r="17" spans="1:7" s="258" customFormat="1" ht="13.5" hidden="1" customHeight="1">
      <c r="A17" s="271" t="s">
        <v>13</v>
      </c>
      <c r="B17" s="259" t="s">
        <v>2354</v>
      </c>
      <c r="C17" s="273"/>
      <c r="D17" s="1037"/>
      <c r="E17" s="273"/>
      <c r="F17" s="273"/>
      <c r="G17" s="263" t="s">
        <v>2353</v>
      </c>
    </row>
    <row r="18" spans="1:7" s="258" customFormat="1" ht="13.5" hidden="1" customHeight="1">
      <c r="A18" s="271" t="s">
        <v>14</v>
      </c>
      <c r="B18" s="259" t="s">
        <v>2355</v>
      </c>
      <c r="C18" s="264">
        <v>0</v>
      </c>
      <c r="D18" s="1036"/>
      <c r="E18" s="262"/>
      <c r="F18" s="265">
        <v>3.0499999999999999E-2</v>
      </c>
      <c r="G18" s="263" t="s">
        <v>2356</v>
      </c>
    </row>
    <row r="19" spans="1:7" s="267" customFormat="1" ht="13.5" customHeight="1">
      <c r="A19" s="299" t="s">
        <v>2357</v>
      </c>
      <c r="B19" s="254" t="s">
        <v>2358</v>
      </c>
      <c r="C19" s="255">
        <f ca="1">IF(G19="已包含在土地取得成本中","0",ROUND(D19*E19/10000,0))</f>
        <v>73</v>
      </c>
      <c r="D19" s="1038">
        <f ca="1">D9+D10</f>
        <v>3647.3</v>
      </c>
      <c r="E19" s="255">
        <f>'数据-取费表'!B31</f>
        <v>200</v>
      </c>
      <c r="F19" s="275"/>
      <c r="G19" s="2551"/>
    </row>
    <row r="20" spans="1:7" s="258" customFormat="1" ht="13.5" customHeight="1">
      <c r="A20" s="299" t="s">
        <v>2359</v>
      </c>
      <c r="B20" s="254" t="s">
        <v>2360</v>
      </c>
      <c r="C20" s="276">
        <f ca="1">ROUND((C5+C19)*F20,0)</f>
        <v>1</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6">
        <f ca="1">ROUND(SUM(C23:C25),0)</f>
        <v>5</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3" t="s">
        <v>2368</v>
      </c>
      <c r="B23" s="259" t="s">
        <v>2369</v>
      </c>
      <c r="C23" s="1357">
        <f ca="1">ROUND(IF('数据-取费表'!B22&lt;=1,C5*F22*'数据-取费表'!B23,C5*(POWER((1+F22),'数据-取费表'!B23)-1)),0)</f>
        <v>0</v>
      </c>
      <c r="D23" s="282"/>
      <c r="E23" s="282"/>
      <c r="F23" s="283"/>
      <c r="G23" s="284" t="s">
        <v>2370</v>
      </c>
    </row>
    <row r="24" spans="1:7" s="258" customFormat="1" ht="13.5" customHeight="1">
      <c r="A24" s="953" t="s">
        <v>2371</v>
      </c>
      <c r="B24" s="259" t="s">
        <v>2372</v>
      </c>
      <c r="C24" s="1357">
        <f ca="1">ROUND(IF('数据-取费表'!B22&lt;=1,C19*F22*('数据-取费表'!B19/2+'数据-取费表'!B21),C19*(POWER((1+F22),('数据-取费表'!B19/2+'数据-取费表'!B21))-1)),0)</f>
        <v>5</v>
      </c>
      <c r="D24" s="282"/>
      <c r="E24" s="282"/>
      <c r="F24" s="283"/>
      <c r="G24" s="284" t="s">
        <v>2373</v>
      </c>
    </row>
    <row r="25" spans="1:7" s="258" customFormat="1" ht="24">
      <c r="A25" s="953" t="s">
        <v>2374</v>
      </c>
      <c r="B25" s="259" t="s">
        <v>2375</v>
      </c>
      <c r="C25" s="1357">
        <f ca="1">ROUND(IF('数据-取费表'!B22&lt;=1,C20*F22*'数据-取费表'!B23/2,C20*(POWER((1+F22),'数据-取费表'!B23/2)-1)),0)</f>
        <v>0</v>
      </c>
      <c r="D25" s="282"/>
      <c r="E25" s="285"/>
      <c r="F25" s="283"/>
      <c r="G25" s="286" t="s">
        <v>2376</v>
      </c>
    </row>
    <row r="26" spans="1:7" s="258" customFormat="1">
      <c r="A26" s="953"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15</v>
      </c>
      <c r="D27" s="279">
        <f ca="1">C29</f>
        <v>4.0000000000000001E-3</v>
      </c>
      <c r="E27" s="280" t="s">
        <v>2380</v>
      </c>
      <c r="F27" s="290">
        <f ca="1">IF(B1="",'数据-取费表'!Q16,INDIRECT("'数据-取费表'!q"&amp;$G$1))</f>
        <v>0.2</v>
      </c>
      <c r="G27" s="291" t="s">
        <v>2381</v>
      </c>
    </row>
    <row r="28" spans="1:7" s="258" customFormat="1" ht="13.5" customHeight="1">
      <c r="A28" s="953" t="s">
        <v>791</v>
      </c>
      <c r="B28" s="292" t="s">
        <v>2382</v>
      </c>
      <c r="C28" s="293">
        <f ca="1">ROUND((C5+C19+C20)*F27*'数据-取费表'!B21/'数据-取费表'!B20,0)</f>
        <v>15</v>
      </c>
      <c r="D28" s="279"/>
      <c r="E28" s="280"/>
      <c r="F28" s="290"/>
      <c r="G28" s="291"/>
    </row>
    <row r="29" spans="1:7" s="258" customFormat="1" ht="13.5" customHeight="1">
      <c r="A29" s="953"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102</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1199</v>
      </c>
      <c r="D33" s="276"/>
      <c r="E33" s="256"/>
      <c r="F33" s="285"/>
      <c r="G33" s="278"/>
    </row>
    <row r="34" spans="1:7" s="302" customFormat="1" ht="13.5" customHeight="1">
      <c r="A34" s="953" t="s">
        <v>791</v>
      </c>
      <c r="B34" s="259" t="s">
        <v>2391</v>
      </c>
      <c r="C34" s="264">
        <f ca="1">IF(B1="",IF(F34=100%,'数据-取费表'!M16,'数据-取费表'!O16),IF(F34=100%,INDIRECT("'数据-取费表'!m"&amp;$G$1)+INDIRECT("'数据-取费表'!t"&amp;$G$1),INDIRECT("'数据-取费表'!o"&amp;$G$1)+INDIRECT("'数据-取费表'!aq"&amp;$G$1)))</f>
        <v>1078</v>
      </c>
      <c r="D34" s="261"/>
      <c r="E34" s="264"/>
      <c r="F34" s="301">
        <f ca="1">IF('数据-取费表'!B24=0,1,IF(B1="",'数据-取费表'!N16,INDIRECT("'数据-取费表'!n"&amp;$G$1)))</f>
        <v>1</v>
      </c>
      <c r="G34" s="263" t="s">
        <v>2392</v>
      </c>
    </row>
    <row r="35" spans="1:7" ht="13.5" customHeight="1">
      <c r="A35" s="953" t="s">
        <v>796</v>
      </c>
      <c r="B35" s="259" t="s">
        <v>2393</v>
      </c>
      <c r="C35" s="264">
        <f ca="1">ROUND(C34*F35,0)</f>
        <v>32</v>
      </c>
      <c r="D35" s="264"/>
      <c r="E35" s="264"/>
      <c r="F35" s="303">
        <f>'数据-取费表'!B33</f>
        <v>0.03</v>
      </c>
      <c r="G35" s="263" t="s">
        <v>2394</v>
      </c>
    </row>
    <row r="36" spans="1:7" ht="24">
      <c r="A36" s="953"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3" t="s">
        <v>798</v>
      </c>
      <c r="B37" s="259" t="s">
        <v>2397</v>
      </c>
      <c r="C37" s="293">
        <f ca="1">ROUND(E37*D37*F34/10000,0)</f>
        <v>73</v>
      </c>
      <c r="D37" s="261">
        <f ca="1">D19</f>
        <v>3647.3</v>
      </c>
      <c r="E37" s="293">
        <f>'数据-取费表'!B35</f>
        <v>200</v>
      </c>
      <c r="F37" s="303"/>
      <c r="G37" s="305" t="s">
        <v>2398</v>
      </c>
    </row>
    <row r="38" spans="1:7" ht="13.5" customHeight="1">
      <c r="A38" s="953" t="s">
        <v>799</v>
      </c>
      <c r="B38" s="259" t="s">
        <v>2399</v>
      </c>
      <c r="C38" s="264">
        <f ca="1">ROUND(C34*F38,0)</f>
        <v>16</v>
      </c>
      <c r="D38" s="264"/>
      <c r="E38" s="264"/>
      <c r="F38" s="303">
        <f>'数据-取费表'!B36</f>
        <v>1.52E-2</v>
      </c>
      <c r="G38" s="263" t="s">
        <v>2394</v>
      </c>
    </row>
    <row r="39" spans="1:7" s="258" customFormat="1" ht="13.5" customHeight="1">
      <c r="A39" s="299" t="s">
        <v>2400</v>
      </c>
      <c r="B39" s="254" t="s">
        <v>2401</v>
      </c>
      <c r="C39" s="276">
        <f ca="1">ROUND(C33*F20,0)</f>
        <v>24</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43</v>
      </c>
      <c r="D41" s="279">
        <f ca="1">C44</f>
        <v>6.9999999999999999E-4</v>
      </c>
      <c r="E41" s="280" t="s">
        <v>2405</v>
      </c>
      <c r="F41" s="281"/>
      <c r="G41" s="278" t="str">
        <f>IF('数据-取费表'!B22&lt;=1,"单利计息","复利计息")</f>
        <v>复利计息</v>
      </c>
    </row>
    <row r="42" spans="1:7" ht="13.5" customHeight="1">
      <c r="A42" s="953" t="s">
        <v>791</v>
      </c>
      <c r="B42" s="259" t="s">
        <v>2409</v>
      </c>
      <c r="C42" s="282">
        <f ca="1">ROUND(IF('数据-取费表'!B22&lt;=1,C33*F22*'数据-取费表'!B21/2,C33*(POWER((1+F22),'数据-取费表'!B21/2)-1)),0)</f>
        <v>42</v>
      </c>
      <c r="D42" s="282"/>
      <c r="E42" s="282"/>
      <c r="F42" s="283"/>
      <c r="G42" s="3198" t="s">
        <v>2410</v>
      </c>
    </row>
    <row r="43" spans="1:7" ht="13.5" customHeight="1">
      <c r="A43" s="953" t="s">
        <v>792</v>
      </c>
      <c r="B43" s="259" t="s">
        <v>2411</v>
      </c>
      <c r="C43" s="282">
        <f ca="1">ROUND(IF('数据-取费表'!B22&lt;=1,C39*F22*'数据-取费表'!B21/2,C39*(POWER((1+F22),'数据-取费表'!B21/2)-1)),0)</f>
        <v>1</v>
      </c>
      <c r="D43" s="282"/>
      <c r="E43" s="282"/>
      <c r="F43" s="283"/>
      <c r="G43" s="3199"/>
    </row>
    <row r="44" spans="1:7" ht="13.5" customHeight="1">
      <c r="A44" s="953" t="s">
        <v>793</v>
      </c>
      <c r="B44" s="259" t="s">
        <v>2412</v>
      </c>
      <c r="C44" s="282">
        <f ca="1">ROUND(IF('数据-取费表'!B22&lt;=1,C40*F22*'数据-取费表'!B21/2,C40*(POWER((1+F22),'数据-取费表'!B21/2)-1)),4)</f>
        <v>6.9999999999999999E-4</v>
      </c>
      <c r="D44" s="282"/>
      <c r="E44" s="282"/>
      <c r="F44" s="283"/>
      <c r="G44" s="3200"/>
    </row>
    <row r="45" spans="1:7" s="258" customFormat="1" ht="13.5" customHeight="1">
      <c r="A45" s="299" t="s">
        <v>2413</v>
      </c>
      <c r="B45" s="288" t="s">
        <v>2379</v>
      </c>
      <c r="C45" s="289">
        <f ca="1">C46</f>
        <v>245</v>
      </c>
      <c r="D45" s="279">
        <f ca="1">C47</f>
        <v>4.0000000000000001E-3</v>
      </c>
      <c r="E45" s="280" t="s">
        <v>2405</v>
      </c>
      <c r="F45" s="290"/>
      <c r="G45" s="291" t="s">
        <v>2414</v>
      </c>
    </row>
    <row r="46" spans="1:7" s="258" customFormat="1" ht="13.5" customHeight="1">
      <c r="A46" s="953" t="s">
        <v>791</v>
      </c>
      <c r="B46" s="292" t="s">
        <v>2415</v>
      </c>
      <c r="C46" s="293">
        <f ca="1">ROUND((C33+C39)*F27,0)</f>
        <v>245</v>
      </c>
      <c r="D46" s="307"/>
      <c r="E46" s="280"/>
      <c r="F46" s="290"/>
      <c r="G46" s="291"/>
    </row>
    <row r="47" spans="1:7" s="258" customFormat="1" ht="13.5" customHeight="1">
      <c r="A47" s="953" t="s">
        <v>792</v>
      </c>
      <c r="B47" s="292" t="s">
        <v>2416</v>
      </c>
      <c r="C47" s="282">
        <f ca="1">ROUND(C40*F27,4)</f>
        <v>4.0000000000000001E-3</v>
      </c>
      <c r="D47" s="307"/>
      <c r="E47" s="280"/>
      <c r="F47" s="290"/>
      <c r="G47" s="291"/>
    </row>
    <row r="48" spans="1:7" s="258" customFormat="1" ht="13.5" customHeight="1">
      <c r="A48" s="299" t="s">
        <v>2378</v>
      </c>
      <c r="B48" s="254" t="s">
        <v>2417</v>
      </c>
      <c r="C48" s="1730">
        <f>ROUND(F30/(1+'数据-取费表'!C42),4)</f>
        <v>5.33E-2</v>
      </c>
      <c r="D48" s="280" t="s">
        <v>2405</v>
      </c>
      <c r="E48" s="276"/>
      <c r="F48" s="281"/>
      <c r="G48" s="278" t="s">
        <v>2418</v>
      </c>
    </row>
    <row r="49" spans="1:7" ht="16.5" customHeight="1">
      <c r="A49" s="299" t="s">
        <v>2384</v>
      </c>
      <c r="B49" s="254" t="s">
        <v>2419</v>
      </c>
      <c r="C49" s="276">
        <f ca="1">ROUND((C33+C39+C41+C45)/(1-C40-D41-D45-C48),0)</f>
        <v>1639</v>
      </c>
      <c r="D49" s="276"/>
      <c r="E49" s="276"/>
      <c r="F49" s="308"/>
      <c r="G49" s="278" t="s">
        <v>2420</v>
      </c>
    </row>
    <row r="50" spans="1:7" s="302" customFormat="1" ht="24">
      <c r="A50" s="299" t="s">
        <v>2421</v>
      </c>
      <c r="B50" s="254" t="s">
        <v>2422</v>
      </c>
      <c r="C50" s="276"/>
      <c r="D50" s="276"/>
      <c r="E50" s="276"/>
      <c r="F50" s="308">
        <f>IF('数据-取费表'!B24=0,'数据-取费表'!N16,1)</f>
        <v>0.85</v>
      </c>
      <c r="G50" s="291" t="s">
        <v>2423</v>
      </c>
    </row>
    <row r="51" spans="1:7" ht="16.5" customHeight="1">
      <c r="A51" s="299" t="s">
        <v>2424</v>
      </c>
      <c r="B51" s="254" t="s">
        <v>2425</v>
      </c>
      <c r="C51" s="276">
        <f ca="1">ROUND(C49*F50,0)</f>
        <v>1393</v>
      </c>
      <c r="D51" s="276"/>
      <c r="E51" s="276"/>
      <c r="F51" s="308"/>
      <c r="G51" s="278" t="s">
        <v>2426</v>
      </c>
    </row>
    <row r="52" spans="1:7" s="252" customFormat="1" ht="16.5" thickBot="1">
      <c r="A52" s="309" t="s">
        <v>2427</v>
      </c>
      <c r="B52" s="310"/>
      <c r="C52" s="311">
        <f ca="1">C31+C51</f>
        <v>1495</v>
      </c>
      <c r="D52" s="310"/>
      <c r="E52" s="310"/>
      <c r="F52" s="310"/>
      <c r="G52" s="312"/>
    </row>
    <row r="55" spans="1:7" ht="15">
      <c r="B55" s="314" t="s">
        <v>2428</v>
      </c>
      <c r="C55" s="315"/>
    </row>
    <row r="56" spans="1:7">
      <c r="B56" s="317" t="s">
        <v>1514</v>
      </c>
      <c r="C56" s="319">
        <f ca="1">1-C57</f>
        <v>6.7999999999999949E-2</v>
      </c>
    </row>
    <row r="57" spans="1:7">
      <c r="B57" s="317" t="s">
        <v>1515</v>
      </c>
      <c r="C57" s="318">
        <f ca="1">ROUND(C51/C52,3)</f>
        <v>0.93200000000000005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9"/>
      <c r="C1" s="2554" t="s">
        <v>2429</v>
      </c>
      <c r="D1" s="242"/>
      <c r="E1" s="242"/>
      <c r="F1" s="242"/>
      <c r="G1" s="1381">
        <f>MATCH(B1,'数据-取费表'!A6:A16,0)+5</f>
        <v>9</v>
      </c>
      <c r="H1" s="1284" t="str">
        <f>IF(ISERROR(FIND("住宅",B1)),"非住宅","住宅")</f>
        <v>非住宅</v>
      </c>
    </row>
    <row r="2" spans="1:8" s="244" customFormat="1" ht="18" customHeight="1">
      <c r="A2" s="245" t="s">
        <v>2328</v>
      </c>
      <c r="B2" s="246">
        <f ca="1">ROUND(IF(D2="——",C52/10000,C52/10000-E2),0)</f>
        <v>1558</v>
      </c>
      <c r="C2" s="243" t="s">
        <v>2329</v>
      </c>
      <c r="D2" s="2548" t="s">
        <v>70</v>
      </c>
      <c r="E2" s="1442"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4272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437676</v>
      </c>
      <c r="D5" s="255" t="s">
        <v>2335</v>
      </c>
      <c r="E5" s="256" t="s">
        <v>2336</v>
      </c>
      <c r="F5" s="256" t="s">
        <v>2337</v>
      </c>
      <c r="G5" s="257"/>
    </row>
    <row r="6" spans="1:8" s="258" customFormat="1" ht="13.5" customHeight="1">
      <c r="A6" s="951" t="s">
        <v>2338</v>
      </c>
      <c r="B6" s="259" t="s">
        <v>2339</v>
      </c>
      <c r="C6" s="260"/>
      <c r="D6" s="261"/>
      <c r="E6" s="262"/>
      <c r="F6" s="262"/>
      <c r="G6" s="263"/>
    </row>
    <row r="7" spans="1:8" s="258" customFormat="1" ht="13.5" customHeight="1">
      <c r="A7" s="951" t="s">
        <v>2340</v>
      </c>
      <c r="B7" s="259" t="s">
        <v>2341</v>
      </c>
      <c r="C7" s="264">
        <f>ROUND(C6*F7,0)</f>
        <v>0</v>
      </c>
      <c r="D7" s="264"/>
      <c r="E7" s="262"/>
      <c r="F7" s="265">
        <f>'数据-取费表'!B48+'数据-取费表'!B49</f>
        <v>3.0499999999999999E-2</v>
      </c>
      <c r="G7" s="263"/>
    </row>
    <row r="8" spans="1:8" s="267" customFormat="1">
      <c r="A8" s="951" t="s">
        <v>2342</v>
      </c>
      <c r="B8" s="259" t="s">
        <v>2343</v>
      </c>
      <c r="C8" s="264">
        <f ca="1">IF(G8="已包含在土地购买价格中",0,C9+C10)</f>
        <v>437676</v>
      </c>
      <c r="D8" s="266"/>
      <c r="E8" s="264"/>
      <c r="F8" s="265"/>
      <c r="G8" s="2551"/>
    </row>
    <row r="9" spans="1:8" s="258" customFormat="1" ht="13.5" customHeight="1">
      <c r="A9" s="952" t="s">
        <v>800</v>
      </c>
      <c r="B9" s="268" t="s">
        <v>2344</v>
      </c>
      <c r="C9" s="269">
        <f ca="1">ROUND(D9*E9,0)</f>
        <v>0</v>
      </c>
      <c r="D9" s="1034">
        <f ca="1">IF(B1="",'数据-汇总表'!E5,IF(INDIRECT("'数据-取费表'!c"&amp;$G$1)="住宅",INDIRECT("'数据-取费表'!k"&amp;$G$1),0))</f>
        <v>0</v>
      </c>
      <c r="E9" s="269">
        <f>'数据-取费表'!B27</f>
        <v>200</v>
      </c>
      <c r="F9" s="265"/>
      <c r="G9" s="270"/>
    </row>
    <row r="10" spans="1:8" s="258" customFormat="1" ht="13.5" customHeight="1">
      <c r="A10" s="952" t="s">
        <v>801</v>
      </c>
      <c r="B10" s="268" t="s">
        <v>2346</v>
      </c>
      <c r="C10" s="269">
        <f ca="1">ROUND(D10*E10,0)</f>
        <v>437676</v>
      </c>
      <c r="D10" s="1034">
        <f ca="1">IF(B1="",'数据-汇总表'!E6,IF(INDIRECT("'数据-取费表'!c"&amp;$G$1)="住宅",INDIRECT("'数据-取费表'!s"&amp;$G$1),INDIRECT("'数据-取费表'!k"&amp;$G$1)+INDIRECT("'数据-取费表'!s"&amp;$G$1)))</f>
        <v>3647.3</v>
      </c>
      <c r="E10" s="269">
        <f>'数据-取费表'!B28</f>
        <v>120</v>
      </c>
      <c r="F10" s="265"/>
      <c r="G10" s="270"/>
    </row>
    <row r="11" spans="1:8" s="258" customFormat="1" ht="13.5" hidden="1" customHeight="1">
      <c r="A11" s="271" t="s">
        <v>7</v>
      </c>
      <c r="B11" s="259" t="s">
        <v>2347</v>
      </c>
      <c r="C11" s="255"/>
      <c r="D11" s="1036"/>
      <c r="E11" s="262"/>
      <c r="F11" s="262"/>
      <c r="G11" s="263"/>
    </row>
    <row r="12" spans="1:8" s="258" customFormat="1" ht="13.5" hidden="1" customHeight="1">
      <c r="A12" s="271" t="s">
        <v>8</v>
      </c>
      <c r="B12" s="259" t="s">
        <v>2430</v>
      </c>
      <c r="C12" s="255">
        <v>0</v>
      </c>
      <c r="D12" s="1036"/>
      <c r="E12" s="272"/>
      <c r="F12" s="265">
        <v>3.0499999999999999E-2</v>
      </c>
      <c r="G12" s="263"/>
    </row>
    <row r="13" spans="1:8" s="258" customFormat="1" ht="13.5" hidden="1" customHeight="1">
      <c r="A13" s="271" t="s">
        <v>9</v>
      </c>
      <c r="B13" s="259" t="s">
        <v>2431</v>
      </c>
      <c r="C13" s="255"/>
      <c r="D13" s="1036"/>
      <c r="E13" s="262"/>
      <c r="F13" s="262"/>
      <c r="G13" s="263"/>
    </row>
    <row r="14" spans="1:8" s="258" customFormat="1" ht="13.5" hidden="1" customHeight="1">
      <c r="A14" s="271" t="s">
        <v>10</v>
      </c>
      <c r="B14" s="259" t="s">
        <v>2343</v>
      </c>
      <c r="C14" s="255"/>
      <c r="D14" s="1036"/>
      <c r="E14" s="262"/>
      <c r="F14" s="262"/>
      <c r="G14" s="263" t="s">
        <v>2432</v>
      </c>
    </row>
    <row r="15" spans="1:8" s="258" customFormat="1" ht="13.5" hidden="1" customHeight="1">
      <c r="A15" s="271" t="s">
        <v>11</v>
      </c>
      <c r="B15" s="259" t="s">
        <v>2433</v>
      </c>
      <c r="C15" s="264"/>
      <c r="D15" s="1036"/>
      <c r="E15" s="262"/>
      <c r="F15" s="262"/>
      <c r="G15" s="263" t="s">
        <v>2434</v>
      </c>
    </row>
    <row r="16" spans="1:8" s="258" customFormat="1" ht="13.5" hidden="1" customHeight="1">
      <c r="A16" s="271" t="s">
        <v>12</v>
      </c>
      <c r="B16" s="259" t="s">
        <v>2343</v>
      </c>
      <c r="C16" s="264"/>
      <c r="D16" s="1036"/>
      <c r="E16" s="262"/>
      <c r="F16" s="262"/>
      <c r="G16" s="263"/>
    </row>
    <row r="17" spans="1:7" s="258" customFormat="1" ht="13.5" hidden="1" customHeight="1">
      <c r="A17" s="271" t="s">
        <v>13</v>
      </c>
      <c r="B17" s="259" t="s">
        <v>2435</v>
      </c>
      <c r="C17" s="273"/>
      <c r="D17" s="1037"/>
      <c r="E17" s="273"/>
      <c r="F17" s="273"/>
      <c r="G17" s="263" t="s">
        <v>2434</v>
      </c>
    </row>
    <row r="18" spans="1:7" s="258" customFormat="1" ht="13.5" hidden="1" customHeight="1">
      <c r="A18" s="271" t="s">
        <v>14</v>
      </c>
      <c r="B18" s="259" t="s">
        <v>2436</v>
      </c>
      <c r="C18" s="264">
        <v>0</v>
      </c>
      <c r="D18" s="1036"/>
      <c r="E18" s="262"/>
      <c r="F18" s="265">
        <v>3.0499999999999999E-2</v>
      </c>
      <c r="G18" s="263" t="s">
        <v>2437</v>
      </c>
    </row>
    <row r="19" spans="1:7" s="267" customFormat="1" ht="13.5" customHeight="1">
      <c r="A19" s="299" t="s">
        <v>2438</v>
      </c>
      <c r="B19" s="254" t="s">
        <v>2439</v>
      </c>
      <c r="C19" s="255">
        <f ca="1">IF(G19="已包含在土地取得成本中","0",ROUND(D19*E19,0))</f>
        <v>729460</v>
      </c>
      <c r="D19" s="1038">
        <f ca="1">D9+D10</f>
        <v>3647.3</v>
      </c>
      <c r="E19" s="255">
        <f>'数据-取费表'!B31</f>
        <v>200</v>
      </c>
      <c r="F19" s="275"/>
      <c r="G19" s="2551"/>
    </row>
    <row r="20" spans="1:7" s="258" customFormat="1" ht="13.5" customHeight="1">
      <c r="A20" s="299" t="s">
        <v>2440</v>
      </c>
      <c r="B20" s="254" t="s">
        <v>2441</v>
      </c>
      <c r="C20" s="276">
        <f ca="1">ROUND((C5+C19)*F20,0)</f>
        <v>23343</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2">
        <f ca="1">ROUND(SUM(C23:C25),0)</f>
        <v>84965</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53" t="s">
        <v>2338</v>
      </c>
      <c r="B23" s="259" t="s">
        <v>2449</v>
      </c>
      <c r="C23" s="1383">
        <f ca="1">ROUND(IF('数据-取费表'!B22&lt;=1,C5*F22*'数据-取费表'!B22,C5*(POWER((1+F22),'数据-取费表'!B22)-1)),0)</f>
        <v>31552</v>
      </c>
      <c r="D23" s="282"/>
      <c r="E23" s="282"/>
      <c r="F23" s="283"/>
      <c r="G23" s="284" t="s">
        <v>2450</v>
      </c>
    </row>
    <row r="24" spans="1:7" s="258" customFormat="1" ht="13.5" customHeight="1">
      <c r="A24" s="953" t="s">
        <v>2340</v>
      </c>
      <c r="B24" s="259" t="s">
        <v>2451</v>
      </c>
      <c r="C24" s="1383">
        <f ca="1">ROUND(IF('数据-取费表'!B22&lt;=1,C19*F22*('数据-取费表'!B19/2+'数据-取费表'!B20),C19*(POWER((1+F22),('数据-取费表'!B19/2+'数据-取费表'!B20))-1)),0)</f>
        <v>52586</v>
      </c>
      <c r="D24" s="282"/>
      <c r="E24" s="282"/>
      <c r="F24" s="283"/>
      <c r="G24" s="284" t="s">
        <v>2452</v>
      </c>
    </row>
    <row r="25" spans="1:7" s="258" customFormat="1" ht="24">
      <c r="A25" s="953" t="s">
        <v>2342</v>
      </c>
      <c r="B25" s="259" t="s">
        <v>2453</v>
      </c>
      <c r="C25" s="1383">
        <f ca="1">ROUND(IF('数据-取费表'!B22&lt;=1,C20*F22*'数据-取费表'!B22/2,C20*(POWER((1+F22),'数据-取费表'!B22/2)-1)),0)</f>
        <v>827</v>
      </c>
      <c r="D25" s="282"/>
      <c r="E25" s="285"/>
      <c r="F25" s="283"/>
      <c r="G25" s="286" t="s">
        <v>2454</v>
      </c>
    </row>
    <row r="26" spans="1:7" s="258" customFormat="1">
      <c r="A26" s="953"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238096</v>
      </c>
      <c r="D27" s="279">
        <f ca="1">C29</f>
        <v>4.0000000000000001E-3</v>
      </c>
      <c r="E27" s="280" t="s">
        <v>2380</v>
      </c>
      <c r="F27" s="290">
        <f ca="1">IF(B1="",'数据-取费表'!Q16,INDIRECT("'数据-取费表'!q"&amp;$G$1))</f>
        <v>0.2</v>
      </c>
      <c r="G27" s="291" t="s">
        <v>2381</v>
      </c>
    </row>
    <row r="28" spans="1:7" s="258" customFormat="1" ht="13.5" customHeight="1">
      <c r="A28" s="953" t="s">
        <v>791</v>
      </c>
      <c r="B28" s="292" t="s">
        <v>2382</v>
      </c>
      <c r="C28" s="293">
        <f ca="1">ROUND((C5+C19+C20)*F27,0)</f>
        <v>238096</v>
      </c>
      <c r="D28" s="279"/>
      <c r="E28" s="280"/>
      <c r="F28" s="290"/>
      <c r="G28" s="291"/>
    </row>
    <row r="29" spans="1:7" s="258" customFormat="1" ht="13.5" customHeight="1">
      <c r="A29" s="953"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1641584</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11996737</v>
      </c>
      <c r="D33" s="276"/>
      <c r="E33" s="256"/>
      <c r="F33" s="285"/>
      <c r="G33" s="278"/>
    </row>
    <row r="34" spans="1:7" s="302" customFormat="1" ht="13.5" customHeight="1">
      <c r="A34" s="953" t="s">
        <v>791</v>
      </c>
      <c r="B34" s="259" t="s">
        <v>2391</v>
      </c>
      <c r="C34" s="264">
        <f ca="1">ROUND(IF(B1="",SUMPRODUCT('数据-取费表'!K6:K14,'数据-取费表'!L6:L14),INDIRECT("'数据-取费表'!l"&amp;$G$1)*INDIRECT("'数据-取费表'!k"&amp;$G$1)+'数据-取费表'!L14*INDIRECT("'数据-取费表'!S"&amp;$G$1)),0)</f>
        <v>10780020</v>
      </c>
      <c r="D34" s="261"/>
      <c r="E34" s="264"/>
      <c r="F34" s="301"/>
      <c r="G34" s="263"/>
    </row>
    <row r="35" spans="1:7" ht="13.5" customHeight="1">
      <c r="A35" s="953" t="s">
        <v>796</v>
      </c>
      <c r="B35" s="259" t="s">
        <v>2393</v>
      </c>
      <c r="C35" s="264">
        <f ca="1">ROUND(C34*F35,0)</f>
        <v>323401</v>
      </c>
      <c r="D35" s="264"/>
      <c r="E35" s="264"/>
      <c r="F35" s="303">
        <f>'数据-取费表'!B33</f>
        <v>0.03</v>
      </c>
      <c r="G35" s="263" t="s">
        <v>2394</v>
      </c>
    </row>
    <row r="36" spans="1:7" ht="24">
      <c r="A36" s="953"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3" t="s">
        <v>798</v>
      </c>
      <c r="B37" s="259" t="s">
        <v>2397</v>
      </c>
      <c r="C37" s="293">
        <f ca="1">ROUND(E37*D37,0)</f>
        <v>729460</v>
      </c>
      <c r="D37" s="261">
        <f ca="1">D19</f>
        <v>3647.3</v>
      </c>
      <c r="E37" s="293">
        <f>'数据-取费表'!B35</f>
        <v>200</v>
      </c>
      <c r="F37" s="303"/>
      <c r="G37" s="305"/>
    </row>
    <row r="38" spans="1:7" ht="13.5" customHeight="1">
      <c r="A38" s="953" t="s">
        <v>799</v>
      </c>
      <c r="B38" s="259" t="s">
        <v>2399</v>
      </c>
      <c r="C38" s="264">
        <f ca="1">ROUND(C34*F38,0)</f>
        <v>163856</v>
      </c>
      <c r="D38" s="264"/>
      <c r="E38" s="264"/>
      <c r="F38" s="303">
        <f>'数据-取费表'!B36</f>
        <v>1.52E-2</v>
      </c>
      <c r="G38" s="263" t="s">
        <v>2394</v>
      </c>
    </row>
    <row r="39" spans="1:7" s="258" customFormat="1" ht="13.5" customHeight="1">
      <c r="A39" s="299" t="s">
        <v>2400</v>
      </c>
      <c r="B39" s="254" t="s">
        <v>2401</v>
      </c>
      <c r="C39" s="276">
        <f ca="1">ROUND(C33*F20,0)</f>
        <v>239935</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433393</v>
      </c>
      <c r="D41" s="279">
        <f ca="1">C44</f>
        <v>6.9999999999999999E-4</v>
      </c>
      <c r="E41" s="280" t="s">
        <v>2405</v>
      </c>
      <c r="F41" s="281"/>
      <c r="G41" s="278" t="str">
        <f>IF('数据-取费表'!B22&lt;=1,"单利计息","复利计息")</f>
        <v>复利计息</v>
      </c>
    </row>
    <row r="42" spans="1:7" ht="13.5" customHeight="1">
      <c r="A42" s="953" t="s">
        <v>791</v>
      </c>
      <c r="B42" s="259" t="s">
        <v>2409</v>
      </c>
      <c r="C42" s="282">
        <f ca="1">ROUND(IF('数据-取费表'!B22&lt;=1,C33*F22*'数据-取费表'!B20/2,C33*(POWER((1+F22),'数据-取费表'!B20/2)-1)),0)</f>
        <v>424895</v>
      </c>
      <c r="D42" s="282"/>
      <c r="E42" s="282"/>
      <c r="F42" s="283"/>
      <c r="G42" s="3198" t="s">
        <v>2457</v>
      </c>
    </row>
    <row r="43" spans="1:7" ht="13.5" customHeight="1">
      <c r="A43" s="953" t="s">
        <v>792</v>
      </c>
      <c r="B43" s="259" t="s">
        <v>2411</v>
      </c>
      <c r="C43" s="282">
        <f ca="1">ROUND(IF('数据-取费表'!B22&lt;=1,C39*F22*'数据-取费表'!B20/2,C39*(POWER((1+F22),'数据-取费表'!B20/2)-1)),0)</f>
        <v>8498</v>
      </c>
      <c r="D43" s="282"/>
      <c r="E43" s="282"/>
      <c r="F43" s="283"/>
      <c r="G43" s="3199"/>
    </row>
    <row r="44" spans="1:7" ht="13.5" customHeight="1">
      <c r="A44" s="953" t="s">
        <v>793</v>
      </c>
      <c r="B44" s="259" t="s">
        <v>2412</v>
      </c>
      <c r="C44" s="282">
        <f ca="1">ROUND(IF('数据-取费表'!B22&lt;=1,C40*F22*'数据-取费表'!B20/2,C40*(POWER((1+F22),'数据-取费表'!B20/2)-1)),4)</f>
        <v>6.9999999999999999E-4</v>
      </c>
      <c r="D44" s="282"/>
      <c r="E44" s="282"/>
      <c r="F44" s="283"/>
      <c r="G44" s="3200"/>
    </row>
    <row r="45" spans="1:7" s="258" customFormat="1" ht="13.5" customHeight="1">
      <c r="A45" s="299" t="s">
        <v>2413</v>
      </c>
      <c r="B45" s="288" t="s">
        <v>2379</v>
      </c>
      <c r="C45" s="289">
        <f ca="1">C46</f>
        <v>2447334</v>
      </c>
      <c r="D45" s="279">
        <f ca="1">C47</f>
        <v>4.0000000000000001E-3</v>
      </c>
      <c r="E45" s="280" t="s">
        <v>2405</v>
      </c>
      <c r="F45" s="290"/>
      <c r="G45" s="291" t="s">
        <v>2414</v>
      </c>
    </row>
    <row r="46" spans="1:7" s="258" customFormat="1" ht="13.5" customHeight="1">
      <c r="A46" s="953" t="s">
        <v>791</v>
      </c>
      <c r="B46" s="292" t="s">
        <v>2415</v>
      </c>
      <c r="C46" s="293">
        <f ca="1">ROUND((C33+C39)*F27,0)</f>
        <v>2447334</v>
      </c>
      <c r="D46" s="307"/>
      <c r="E46" s="280"/>
      <c r="F46" s="290"/>
      <c r="G46" s="291"/>
    </row>
    <row r="47" spans="1:7" s="258" customFormat="1" ht="13.5" customHeight="1">
      <c r="A47" s="953"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16396311</v>
      </c>
      <c r="D49" s="276"/>
      <c r="E49" s="276"/>
      <c r="F49" s="308"/>
      <c r="G49" s="278" t="s">
        <v>2420</v>
      </c>
    </row>
    <row r="50" spans="1:7" s="302" customFormat="1">
      <c r="A50" s="299" t="s">
        <v>2421</v>
      </c>
      <c r="B50" s="254" t="s">
        <v>2422</v>
      </c>
      <c r="C50" s="276"/>
      <c r="D50" s="276"/>
      <c r="E50" s="276"/>
      <c r="F50" s="308">
        <f>IF('数据-取费表'!B24=0,'数据-取费表'!N16,1)</f>
        <v>0.85</v>
      </c>
      <c r="G50" s="291"/>
    </row>
    <row r="51" spans="1:7" ht="16.5" customHeight="1">
      <c r="A51" s="299" t="s">
        <v>2424</v>
      </c>
      <c r="B51" s="254" t="s">
        <v>2459</v>
      </c>
      <c r="C51" s="276">
        <f ca="1">ROUND(C49*F50,0)</f>
        <v>13936864</v>
      </c>
      <c r="D51" s="276"/>
      <c r="E51" s="276"/>
      <c r="F51" s="308"/>
      <c r="G51" s="278" t="s">
        <v>2426</v>
      </c>
    </row>
    <row r="52" spans="1:7" s="252" customFormat="1" ht="16.5" thickBot="1">
      <c r="A52" s="309" t="s">
        <v>2427</v>
      </c>
      <c r="B52" s="310"/>
      <c r="C52" s="311">
        <f ca="1">C31+C51</f>
        <v>15578448</v>
      </c>
      <c r="D52" s="310"/>
      <c r="E52" s="310"/>
      <c r="F52" s="310"/>
      <c r="G52" s="312"/>
    </row>
    <row r="55" spans="1:7" ht="15">
      <c r="B55" s="314" t="s">
        <v>2428</v>
      </c>
      <c r="C55" s="315"/>
    </row>
    <row r="56" spans="1:7">
      <c r="B56" s="317" t="s">
        <v>1514</v>
      </c>
      <c r="C56" s="319">
        <f ca="1">1-C57</f>
        <v>0.10499999999999998</v>
      </c>
    </row>
    <row r="57" spans="1:7">
      <c r="B57" s="317" t="s">
        <v>1515</v>
      </c>
      <c r="C57" s="318">
        <f ca="1">ROUND(C51/C52,3)</f>
        <v>0.89500000000000002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2460</v>
      </c>
      <c r="B1" s="1583"/>
      <c r="C1" s="1584"/>
      <c r="D1" s="1582"/>
      <c r="E1" s="320"/>
      <c r="F1" s="320"/>
      <c r="G1" s="1583"/>
      <c r="H1" s="320"/>
      <c r="I1" s="320"/>
      <c r="J1" s="320"/>
      <c r="K1" s="320">
        <f>MATCH(C1,'数据-取费表'!A6:A16,0)+5</f>
        <v>9</v>
      </c>
    </row>
    <row r="2" spans="1:33" ht="18" customHeight="1">
      <c r="A2" s="245" t="s">
        <v>2328</v>
      </c>
      <c r="B2" s="248">
        <f ca="1">C32</f>
        <v>-52</v>
      </c>
      <c r="C2" s="320" t="s">
        <v>2461</v>
      </c>
      <c r="D2" s="320"/>
      <c r="E2" s="320"/>
      <c r="F2" s="320"/>
      <c r="G2" s="320"/>
      <c r="H2" s="320"/>
      <c r="I2" s="320"/>
      <c r="J2" s="320"/>
      <c r="K2" s="320"/>
    </row>
    <row r="3" spans="1:33" ht="18" customHeight="1" thickBot="1">
      <c r="A3" s="247" t="s">
        <v>2330</v>
      </c>
      <c r="B3" s="248">
        <f ca="1">ROUND(B2*10000/IF(C1="",'数据-汇总表'!E3,INDIRECT("'数据-取费表'!K"&amp;$K$1)),0)</f>
        <v>-143</v>
      </c>
      <c r="C3" s="320" t="s">
        <v>2462</v>
      </c>
      <c r="D3" s="320"/>
      <c r="E3" s="320"/>
      <c r="F3" s="320"/>
      <c r="G3" s="320"/>
      <c r="H3" s="320"/>
      <c r="I3" s="320"/>
      <c r="J3" s="320"/>
      <c r="K3" s="320"/>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5" t="s">
        <v>2466</v>
      </c>
      <c r="D5" s="2555" t="s">
        <v>2467</v>
      </c>
      <c r="E5" s="2555" t="s">
        <v>2468</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2472</v>
      </c>
      <c r="B8" s="177"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2482</v>
      </c>
      <c r="C12" s="24">
        <f ca="1">ROUND(C11*F12,0)</f>
        <v>0</v>
      </c>
      <c r="D12" s="975"/>
      <c r="E12" s="375"/>
      <c r="F12" s="978">
        <f>'数据-取费表'!B33</f>
        <v>0.03</v>
      </c>
      <c r="G12" s="8" t="s">
        <v>2483</v>
      </c>
      <c r="H12" s="970"/>
      <c r="I12" s="970"/>
      <c r="J12" s="970"/>
      <c r="K12" s="971"/>
    </row>
    <row r="13" spans="1:33" s="977" customFormat="1" ht="13.5" customHeight="1">
      <c r="A13" s="973" t="s">
        <v>1336</v>
      </c>
      <c r="B13" s="974" t="s">
        <v>2484</v>
      </c>
      <c r="C13" s="24">
        <f ca="1">ROUND(IF(C1="",SUMIF('数据-取费表'!C:C,"住宅",'数据-取费表'!P:P)*F13,IF(INDIRECT("'数据-取费表'!c"&amp;$K$1)="住宅",INDIRECT("'数据-取费表'!P"&amp;$K$1)*F13,0)),0)</f>
        <v>0</v>
      </c>
      <c r="D13" s="1035"/>
      <c r="E13" s="375"/>
      <c r="F13" s="978">
        <f>'数据-取费表'!B34</f>
        <v>0</v>
      </c>
      <c r="G13" s="8" t="s">
        <v>2485</v>
      </c>
      <c r="H13" s="970"/>
      <c r="I13" s="970"/>
      <c r="J13" s="970"/>
      <c r="K13" s="971"/>
    </row>
    <row r="14" spans="1:33" s="979" customFormat="1" ht="13.5" customHeight="1">
      <c r="A14" s="973" t="s">
        <v>1337</v>
      </c>
      <c r="B14" s="974" t="s">
        <v>2486</v>
      </c>
      <c r="C14" s="24">
        <f ca="1">ROUND(D14*E14*F11/10000,0)</f>
        <v>0</v>
      </c>
      <c r="D14" s="1035">
        <f ca="1">IF(C1="",'数据-汇总表'!E3,INDIRECT("'数据-取费表'!K"&amp;$K$1)+INDIRECT("'数据-取费表'!S"&amp;$K$1))</f>
        <v>3647.3</v>
      </c>
      <c r="E14" s="24">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0</v>
      </c>
      <c r="D15" s="980"/>
      <c r="E15" s="985"/>
      <c r="F15" s="986">
        <f>'数据-取费表'!B36</f>
        <v>1.52E-2</v>
      </c>
      <c r="G15" s="140"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4">
        <f ca="1">ROUND(D17*E17/10000,0)</f>
        <v>0</v>
      </c>
      <c r="D17" s="1035">
        <f ca="1">D14</f>
        <v>3647.3</v>
      </c>
      <c r="E17" s="24">
        <f>'数据-取费表'!B32</f>
        <v>0</v>
      </c>
      <c r="F17" s="980"/>
      <c r="G17" s="140" t="s">
        <v>2492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24">
        <f ca="1">C19+C20-IF(C1="",'数据-取费表'!B29,IF(G18="已全部缴纳",C19+C20,H18))</f>
        <v>44</v>
      </c>
      <c r="D18" s="1035"/>
      <c r="E18" s="24"/>
      <c r="F18" s="978"/>
      <c r="G18" s="2557"/>
      <c r="H18" s="1579"/>
      <c r="I18" s="2558" t="s">
        <v>2494</v>
      </c>
      <c r="J18" s="981"/>
      <c r="K18" s="982"/>
    </row>
    <row r="19" spans="1:33" s="977" customFormat="1" ht="13.5" customHeight="1">
      <c r="A19" s="973" t="s">
        <v>805</v>
      </c>
      <c r="B19" s="974" t="s">
        <v>2495</v>
      </c>
      <c r="C19" s="24">
        <f ca="1">ROUND(D19*E19/10000,0)</f>
        <v>0</v>
      </c>
      <c r="D19" s="1035">
        <f ca="1">IF(C1="",'数据-汇总表'!E5,IF(INDIRECT("'数据-取费表'!c"&amp;$K$1)="住宅",INDIRECT("'数据-取费表'!k"&amp;$K$1),0))</f>
        <v>0</v>
      </c>
      <c r="E19" s="24">
        <f>'数据-取费表'!B27</f>
        <v>200</v>
      </c>
      <c r="F19" s="978"/>
      <c r="G19" s="15"/>
      <c r="H19" s="1581"/>
      <c r="I19" s="983"/>
      <c r="J19" s="983"/>
      <c r="K19" s="984"/>
    </row>
    <row r="20" spans="1:33" s="977" customFormat="1" ht="13.5" customHeight="1">
      <c r="A20" s="973" t="s">
        <v>806</v>
      </c>
      <c r="B20" s="974" t="s">
        <v>2496</v>
      </c>
      <c r="C20" s="24">
        <f ca="1">ROUND(D20*E20/10000,0)</f>
        <v>44</v>
      </c>
      <c r="D20" s="1035">
        <f ca="1">IF(C1="",'数据-汇总表'!E6,IF(INDIRECT("'数据-取费表'!c"&amp;$K$1)="住宅",INDIRECT("'数据-取费表'!s"&amp;$K$1),INDIRECT("'数据-取费表'!k"&amp;$K$1)+INDIRECT("'数据-取费表'!s"&amp;$K$1)))</f>
        <v>3647.3</v>
      </c>
      <c r="E20" s="24">
        <f>'数据-取费表'!B28</f>
        <v>120</v>
      </c>
      <c r="F20" s="978"/>
      <c r="G20" s="15"/>
      <c r="H20" s="983"/>
      <c r="I20" s="983"/>
      <c r="J20" s="983"/>
      <c r="K20" s="984"/>
    </row>
    <row r="21" spans="1:33" s="977" customFormat="1" ht="13.5" customHeight="1">
      <c r="A21" s="963" t="s">
        <v>802</v>
      </c>
      <c r="B21" s="987" t="s">
        <v>2497</v>
      </c>
      <c r="C21" s="988">
        <f ca="1">C16+C17+C18</f>
        <v>44</v>
      </c>
      <c r="D21" s="989"/>
      <c r="E21" s="325"/>
      <c r="F21" s="325"/>
      <c r="G21" s="140" t="s">
        <v>2498</v>
      </c>
      <c r="H21" s="981"/>
      <c r="I21" s="981"/>
      <c r="J21" s="981"/>
      <c r="K21" s="982"/>
    </row>
    <row r="22" spans="1:33" s="977" customFormat="1" ht="13.5" customHeight="1">
      <c r="A22" s="963" t="s">
        <v>2470</v>
      </c>
      <c r="B22" s="987" t="s">
        <v>2499</v>
      </c>
      <c r="C22" s="988">
        <f ca="1">ROUND(C21*F22,0)</f>
        <v>1</v>
      </c>
      <c r="D22" s="325"/>
      <c r="E22" s="325"/>
      <c r="F22" s="990">
        <f>'数据-取费表'!B37</f>
        <v>0.02</v>
      </c>
      <c r="G22" s="8" t="s">
        <v>2500</v>
      </c>
      <c r="H22" s="970"/>
      <c r="I22" s="970"/>
      <c r="J22" s="970"/>
      <c r="K22" s="971"/>
    </row>
    <row r="23" spans="1:33" s="977" customFormat="1" ht="13.5" customHeight="1">
      <c r="A23" s="963" t="s">
        <v>2472</v>
      </c>
      <c r="B23" s="987" t="s">
        <v>2501</v>
      </c>
      <c r="C23" s="988">
        <f ca="1">ROUND(C4*F23*F11,0)</f>
        <v>0</v>
      </c>
      <c r="D23" s="325"/>
      <c r="E23" s="325"/>
      <c r="F23" s="990">
        <f>'数据-取费表'!B38</f>
        <v>0.02</v>
      </c>
      <c r="G23" s="8" t="s">
        <v>2502</v>
      </c>
      <c r="H23" s="970"/>
      <c r="I23" s="970"/>
      <c r="J23" s="970"/>
      <c r="K23" s="971"/>
    </row>
    <row r="24" spans="1:33" s="977" customFormat="1" ht="13.5" customHeight="1">
      <c r="A24" s="963" t="s">
        <v>2503</v>
      </c>
      <c r="B24" s="987" t="s">
        <v>2504</v>
      </c>
      <c r="C24" s="324">
        <f>ROUND(F24/(1+'数据-取费表'!C42),4)</f>
        <v>2.9000000000000001E-2</v>
      </c>
      <c r="D24" s="325" t="s">
        <v>15</v>
      </c>
      <c r="E24" s="325"/>
      <c r="F24" s="990">
        <f>'数据-取费表'!B48+'数据-取费表'!B49</f>
        <v>3.0499999999999999E-2</v>
      </c>
      <c r="G24" s="8" t="s">
        <v>2505</v>
      </c>
      <c r="H24" s="992"/>
      <c r="I24" s="992"/>
      <c r="J24" s="992"/>
      <c r="K24" s="993"/>
    </row>
    <row r="25" spans="1:33" s="977" customFormat="1" ht="13.5" customHeight="1">
      <c r="A25" s="963" t="s">
        <v>2506</v>
      </c>
      <c r="B25" s="989" t="s">
        <v>2507</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60">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1"/>
      <c r="I27" s="981"/>
      <c r="J27" s="981"/>
      <c r="K27" s="982"/>
    </row>
    <row r="28" spans="1:33" s="333" customFormat="1" ht="13.5" customHeight="1">
      <c r="A28" s="963" t="s">
        <v>2510</v>
      </c>
      <c r="B28" s="2560" t="s">
        <v>2511</v>
      </c>
      <c r="C28" s="331">
        <f ca="1">C30</f>
        <v>9</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2512</v>
      </c>
      <c r="C29" s="328">
        <f ca="1">ROUND((1+C24)*F28*'数据-取费表'!B24/'数据-取费表'!B20,4)</f>
        <v>0</v>
      </c>
      <c r="D29" s="328"/>
      <c r="E29" s="329"/>
      <c r="F29" s="334"/>
      <c r="G29" s="140" t="s">
        <v>2513</v>
      </c>
      <c r="H29" s="981"/>
      <c r="I29" s="981"/>
      <c r="J29" s="981"/>
      <c r="K29" s="982"/>
    </row>
    <row r="30" spans="1:33" s="335" customFormat="1" ht="13.5" customHeight="1">
      <c r="A30" s="973" t="s">
        <v>804</v>
      </c>
      <c r="B30" s="996" t="s">
        <v>2514</v>
      </c>
      <c r="C30" s="336">
        <f ca="1">ROUND((C21+C22+C23)*F28,0)</f>
        <v>9</v>
      </c>
      <c r="D30" s="328"/>
      <c r="E30" s="329"/>
      <c r="F30" s="334"/>
      <c r="G30" s="140"/>
      <c r="H30" s="981"/>
      <c r="I30" s="981"/>
      <c r="J30" s="981"/>
      <c r="K30" s="982"/>
    </row>
    <row r="31" spans="1:33" s="977" customFormat="1" ht="13.5" customHeight="1" thickBot="1">
      <c r="A31" s="2561" t="s">
        <v>2515</v>
      </c>
      <c r="B31" s="1007" t="s">
        <v>2516</v>
      </c>
      <c r="C31" s="1008">
        <f>ROUND(C4*F31/(1+'数据-取费表'!C42),0)</f>
        <v>0</v>
      </c>
      <c r="D31" s="1009"/>
      <c r="E31" s="1010"/>
      <c r="F31" s="1011">
        <f>'数据-取费表'!B41</f>
        <v>5.6000000000000001E-2</v>
      </c>
      <c r="G31" s="1012" t="s">
        <v>2517</v>
      </c>
      <c r="H31" s="1013"/>
      <c r="I31" s="1013"/>
      <c r="J31" s="1013"/>
      <c r="K31" s="1014"/>
    </row>
    <row r="32" spans="1:33" s="972" customFormat="1" ht="13.5" customHeight="1" thickBot="1">
      <c r="A32" s="1002" t="s">
        <v>2518</v>
      </c>
      <c r="B32" s="1003"/>
      <c r="C32" s="1004">
        <f ca="1">ROUND((C4-C21-C22-C23-C25-C28-C31)/(1+C24+D25+D28),0)</f>
        <v>-52</v>
      </c>
      <c r="D32" s="1003"/>
      <c r="E32" s="1003"/>
      <c r="F32" s="1003"/>
      <c r="G32" s="1005" t="s">
        <v>2519</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2527</v>
      </c>
      <c r="B1" s="2563"/>
      <c r="C1" s="2563"/>
      <c r="D1" s="2563"/>
      <c r="E1" s="2564"/>
    </row>
    <row r="2" spans="1:6" ht="15.75">
      <c r="A2" s="2565" t="s">
        <v>2328</v>
      </c>
      <c r="B2" s="2566">
        <f ca="1">SUMIF(B6:B13,"&lt;&gt;#ref!",B6:B13)</f>
        <v>8329</v>
      </c>
      <c r="C2" s="2567" t="s">
        <v>2520</v>
      </c>
      <c r="D2" s="2568" t="s">
        <v>2521</v>
      </c>
      <c r="E2" s="2569">
        <f>SUM(E6:E13)</f>
        <v>3647.3</v>
      </c>
    </row>
    <row r="3" spans="1:6" ht="15.75">
      <c r="A3" s="2565" t="s">
        <v>1395</v>
      </c>
      <c r="B3" s="2566">
        <f ca="1">ROUND(B2*10000/E2,0)</f>
        <v>22836</v>
      </c>
      <c r="C3" s="2567" t="s">
        <v>2528</v>
      </c>
      <c r="D3" s="2570"/>
      <c r="E3" s="2571"/>
    </row>
    <row r="4" spans="1:6" ht="15.75">
      <c r="A4" s="2572"/>
      <c r="B4" s="2570"/>
      <c r="C4" s="2570"/>
      <c r="D4" s="2570"/>
      <c r="E4" s="2571"/>
    </row>
    <row r="5" spans="1:6" ht="15">
      <c r="A5" s="2573" t="s">
        <v>2522</v>
      </c>
      <c r="B5" s="3201" t="s">
        <v>2523</v>
      </c>
      <c r="C5" s="3201"/>
      <c r="D5" s="2574"/>
      <c r="E5" s="2575" t="s">
        <v>2524</v>
      </c>
      <c r="F5" s="2576" t="s">
        <v>2525</v>
      </c>
    </row>
    <row r="6" spans="1:6">
      <c r="A6" s="2577" t="str">
        <f>'数据-取费表'!AN6</f>
        <v>收益法（办公）</v>
      </c>
      <c r="B6" s="2576">
        <f ca="1">IF(F6="是",'数据-取费表'!AO6,0)</f>
        <v>751</v>
      </c>
      <c r="C6" s="2567" t="s">
        <v>2520</v>
      </c>
      <c r="D6" s="2570"/>
      <c r="E6" s="2578">
        <f>IF(OR(A6=0,F6="否"),0,'数据-取费表'!K6+'数据-取费表'!S6)</f>
        <v>271.14</v>
      </c>
      <c r="F6" s="2579" t="s">
        <v>2526</v>
      </c>
    </row>
    <row r="7" spans="1:6">
      <c r="A7" s="2577" t="str">
        <f>'数据-取费表'!AN7</f>
        <v>收益法 (地下商业)</v>
      </c>
      <c r="B7" s="2576">
        <f ca="1">IF(F7="是",'数据-取费表'!AO7,0)</f>
        <v>7388</v>
      </c>
      <c r="C7" s="2567" t="s">
        <v>2520</v>
      </c>
      <c r="D7" s="2570"/>
      <c r="E7" s="2578">
        <f>IF(OR(A7=0,F7="否"),0,'数据-取费表'!K7+'数据-取费表'!S7)</f>
        <v>3052.4</v>
      </c>
      <c r="F7" s="2579" t="s">
        <v>2526</v>
      </c>
    </row>
    <row r="8" spans="1:6">
      <c r="A8" s="2577" t="str">
        <f>'数据-取费表'!AN8</f>
        <v>收益法 (仓储)</v>
      </c>
      <c r="B8" s="2576">
        <f ca="1">IF(F8="是",'数据-取费表'!AO8,0)</f>
        <v>190</v>
      </c>
      <c r="C8" s="2567" t="s">
        <v>2520</v>
      </c>
      <c r="D8" s="2570"/>
      <c r="E8" s="2578">
        <f>IF(OR(A8=0,F8="否"),0,'数据-取费表'!K8+'数据-取费表'!S8)</f>
        <v>323.76000000000005</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G17" sqref="G1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70" t="s">
        <v>2687</v>
      </c>
      <c r="C1" s="1622" t="s">
        <v>2531</v>
      </c>
      <c r="D1" s="1623" t="s">
        <v>27</v>
      </c>
      <c r="E1" s="1632"/>
      <c r="F1" s="2585" t="s">
        <v>3128</v>
      </c>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f>IF(C2="——",ROUND(C50*D3/10000,0),ROUND(C50*D3/10000,0)-D2)</f>
        <v>903</v>
      </c>
      <c r="C2" s="2587" t="s">
        <v>70</v>
      </c>
      <c r="D2" s="1367" t="e">
        <f ca="1">SUMIF(INDIRECT("'"&amp;F2&amp;"'"&amp;"!A:A"),"承租人权益价值",INDIRECT("'"&amp;F2&amp;"'"&amp;"!c:c"))</f>
        <v>#REF!</v>
      </c>
      <c r="E2" s="2588" t="s">
        <v>2329</v>
      </c>
      <c r="F2" s="2589"/>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33302</v>
      </c>
      <c r="C3" s="400" t="s">
        <v>2645</v>
      </c>
      <c r="D3" s="399">
        <f>IF(D1="",'数据-汇总表'!E3,SUMIF('数据-汇总表'!$C19:$C33,D1,'数据-汇总表'!$E19:$E33))</f>
        <v>271.14</v>
      </c>
      <c r="E3" s="2664"/>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2646</v>
      </c>
      <c r="B4" s="402"/>
      <c r="C4" s="3224" t="s">
        <v>2647</v>
      </c>
      <c r="D4" s="3225"/>
      <c r="E4" s="3226" t="s">
        <v>2648</v>
      </c>
      <c r="F4" s="3227"/>
      <c r="G4" s="3224" t="s">
        <v>2649</v>
      </c>
      <c r="H4" s="3225"/>
      <c r="I4" s="3224" t="s">
        <v>2650</v>
      </c>
      <c r="J4" s="3225"/>
      <c r="K4" s="610" t="s">
        <v>2651</v>
      </c>
      <c r="L4" s="1132"/>
      <c r="M4" s="1133"/>
      <c r="N4" s="1133"/>
      <c r="O4" s="1133"/>
      <c r="P4" s="3228" t="s">
        <v>2652</v>
      </c>
      <c r="Q4" s="3229"/>
      <c r="R4" s="3207" t="s">
        <v>2648</v>
      </c>
      <c r="S4" s="3208"/>
      <c r="T4" s="3207" t="s">
        <v>2649</v>
      </c>
      <c r="U4" s="3208"/>
      <c r="V4" s="3236" t="s">
        <v>2650</v>
      </c>
      <c r="W4" s="3236"/>
      <c r="X4" s="2671"/>
      <c r="Y4" s="3207" t="s">
        <v>2652</v>
      </c>
      <c r="Z4" s="3208"/>
      <c r="AA4" s="3202" t="s">
        <v>2648</v>
      </c>
      <c r="AB4" s="3202" t="s">
        <v>2649</v>
      </c>
      <c r="AC4" s="3221" t="s">
        <v>2650</v>
      </c>
    </row>
    <row r="5" spans="1:29" ht="15">
      <c r="A5" s="404"/>
      <c r="B5" s="405"/>
      <c r="C5" s="3213" t="s">
        <v>3129</v>
      </c>
      <c r="D5" s="3214"/>
      <c r="E5" s="3211" t="s">
        <v>3173</v>
      </c>
      <c r="F5" s="3212"/>
      <c r="G5" s="3213" t="s">
        <v>3175</v>
      </c>
      <c r="H5" s="3214"/>
      <c r="I5" s="3217" t="s">
        <v>2546</v>
      </c>
      <c r="J5" s="3214"/>
      <c r="K5" s="610"/>
      <c r="L5" s="1132"/>
      <c r="M5" s="1133"/>
      <c r="N5" s="1133"/>
      <c r="O5" s="1133"/>
      <c r="P5" s="3230"/>
      <c r="Q5" s="3231"/>
      <c r="R5" s="3209"/>
      <c r="S5" s="3210"/>
      <c r="T5" s="3209"/>
      <c r="U5" s="3210"/>
      <c r="V5" s="3237"/>
      <c r="W5" s="3237"/>
      <c r="X5" s="1815"/>
      <c r="Y5" s="3209"/>
      <c r="Z5" s="3210"/>
      <c r="AA5" s="3203"/>
      <c r="AB5" s="3203"/>
      <c r="AC5" s="3222"/>
    </row>
    <row r="6" spans="1:29" ht="15.75" thickBot="1">
      <c r="A6" s="406"/>
      <c r="B6" s="407"/>
      <c r="C6" s="3215" t="s">
        <v>3130</v>
      </c>
      <c r="D6" s="3216"/>
      <c r="E6" s="3218" t="s">
        <v>3174</v>
      </c>
      <c r="F6" s="3219"/>
      <c r="G6" s="3215" t="s">
        <v>3176</v>
      </c>
      <c r="H6" s="3216"/>
      <c r="I6" s="3238" t="s">
        <v>2547</v>
      </c>
      <c r="J6" s="3216"/>
      <c r="K6" s="610" t="s">
        <v>2548</v>
      </c>
      <c r="L6" s="1132"/>
      <c r="M6" s="1133"/>
      <c r="N6" s="1133"/>
      <c r="O6" s="1133"/>
      <c r="P6" s="3232"/>
      <c r="Q6" s="3233"/>
      <c r="R6" s="3209"/>
      <c r="S6" s="3210"/>
      <c r="T6" s="3234"/>
      <c r="U6" s="3235"/>
      <c r="V6" s="3237"/>
      <c r="W6" s="3237"/>
      <c r="X6" s="1815"/>
      <c r="Y6" s="3234"/>
      <c r="Z6" s="3235"/>
      <c r="AA6" s="3204"/>
      <c r="AB6" s="3204"/>
      <c r="AC6" s="3223"/>
    </row>
    <row r="7" spans="1:29" s="117" customFormat="1" ht="15.75" thickBot="1">
      <c r="A7" s="408" t="s">
        <v>2549</v>
      </c>
      <c r="B7" s="409"/>
      <c r="C7" s="410">
        <f>'数据-取费表'!B2</f>
        <v>43100</v>
      </c>
      <c r="D7" s="411">
        <v>100</v>
      </c>
      <c r="E7" s="412">
        <v>43070</v>
      </c>
      <c r="F7" s="413">
        <f>SUMIF(59:59,YEAR(E7)&amp;"-"&amp;MONTH(E7),60:60)</f>
        <v>100</v>
      </c>
      <c r="G7" s="412">
        <v>43070</v>
      </c>
      <c r="H7" s="411">
        <f>SUMIF(59:59,YEAR(G7)&amp;"-"&amp;MONTH(G7),60:60)</f>
        <v>100</v>
      </c>
      <c r="I7" s="412">
        <v>43070</v>
      </c>
      <c r="J7" s="411">
        <f>SUMIF(59:59,YEAR(I7)&amp;"-"&amp;MONTH(I7),60:60)</f>
        <v>100</v>
      </c>
      <c r="K7" s="611"/>
      <c r="L7" s="1134"/>
      <c r="M7" s="1135"/>
      <c r="N7" s="1135"/>
      <c r="O7" s="1135"/>
      <c r="P7" s="3239" t="s">
        <v>2550</v>
      </c>
      <c r="Q7" s="3240"/>
      <c r="R7" s="770" t="s">
        <v>17</v>
      </c>
      <c r="S7" s="771">
        <f t="shared" ref="S7:S15" si="0">F7</f>
        <v>100</v>
      </c>
      <c r="T7" s="770" t="s">
        <v>17</v>
      </c>
      <c r="U7" s="771">
        <f t="shared" ref="U7:U15" si="1">H7</f>
        <v>100</v>
      </c>
      <c r="V7" s="770" t="s">
        <v>17</v>
      </c>
      <c r="W7" s="771">
        <f t="shared" ref="W7:W15" si="2">J7</f>
        <v>100</v>
      </c>
      <c r="X7" s="772"/>
      <c r="Y7" s="3205" t="s">
        <v>2550</v>
      </c>
      <c r="Z7" s="3206"/>
      <c r="AA7" s="773">
        <f>D7/F7</f>
        <v>1</v>
      </c>
      <c r="AB7" s="773">
        <f>D7/H7</f>
        <v>1</v>
      </c>
      <c r="AC7" s="2672">
        <f>D7/J7</f>
        <v>1</v>
      </c>
    </row>
    <row r="8" spans="1:29" s="117" customFormat="1" ht="15.75" thickBot="1">
      <c r="A8" s="408" t="s">
        <v>2551</v>
      </c>
      <c r="B8" s="409"/>
      <c r="C8" s="414" t="s">
        <v>2653</v>
      </c>
      <c r="D8" s="411">
        <v>100</v>
      </c>
      <c r="E8" s="414" t="s">
        <v>2588</v>
      </c>
      <c r="F8" s="413">
        <f>SUMIF(62:62,E8,63:63)-SUMIF(62:62,C8,63:63)+100</f>
        <v>100</v>
      </c>
      <c r="G8" s="414" t="s">
        <v>2588</v>
      </c>
      <c r="H8" s="411">
        <f>SUMIF(62:62,G8,63:63)-SUMIF(62:62,C8,63:63)+100</f>
        <v>100</v>
      </c>
      <c r="I8" s="414" t="s">
        <v>2588</v>
      </c>
      <c r="J8" s="411">
        <f>SUMIF(62:62,I8,63:63)-SUMIF(62:62,C8,63:63)+100</f>
        <v>100</v>
      </c>
      <c r="K8" s="611"/>
      <c r="L8" s="1134"/>
      <c r="M8" s="1135"/>
      <c r="N8" s="1135"/>
      <c r="O8" s="1135"/>
      <c r="P8" s="3239" t="s">
        <v>2553</v>
      </c>
      <c r="Q8" s="3206"/>
      <c r="R8" s="770" t="s">
        <v>17</v>
      </c>
      <c r="S8" s="771">
        <f t="shared" si="0"/>
        <v>100</v>
      </c>
      <c r="T8" s="770" t="s">
        <v>17</v>
      </c>
      <c r="U8" s="771">
        <f t="shared" si="1"/>
        <v>100</v>
      </c>
      <c r="V8" s="770" t="s">
        <v>17</v>
      </c>
      <c r="W8" s="771">
        <f t="shared" si="2"/>
        <v>100</v>
      </c>
      <c r="X8" s="772"/>
      <c r="Y8" s="3205" t="s">
        <v>2553</v>
      </c>
      <c r="Z8" s="3206"/>
      <c r="AA8" s="773">
        <f t="shared" ref="AA8:AA47" si="3">D8/F8</f>
        <v>1</v>
      </c>
      <c r="AB8" s="773">
        <f t="shared" ref="AB8:AB47" si="4">D8/H8</f>
        <v>1</v>
      </c>
      <c r="AC8" s="2672">
        <f t="shared" ref="AC8:AC47" si="5">D8/J8</f>
        <v>1</v>
      </c>
    </row>
    <row r="9" spans="1:29" s="117" customFormat="1">
      <c r="A9" s="415" t="s">
        <v>2554</v>
      </c>
      <c r="B9" s="71" t="s">
        <v>2555</v>
      </c>
      <c r="C9" s="2987" t="s">
        <v>3131</v>
      </c>
      <c r="D9" s="135">
        <v>100</v>
      </c>
      <c r="E9" s="419" t="s">
        <v>27</v>
      </c>
      <c r="F9" s="135">
        <f>SUMIF(64:64,E9,65:65)-SUMIF(64:64,C9,65:65)+100</f>
        <v>100</v>
      </c>
      <c r="G9" s="419" t="s">
        <v>27</v>
      </c>
      <c r="H9" s="135">
        <f>SUMIF(64:64,G9,65:65)-SUMIF(64:64,C9,65:65)+100</f>
        <v>100</v>
      </c>
      <c r="I9" s="419" t="s">
        <v>27</v>
      </c>
      <c r="J9" s="135">
        <f>SUMIF(64:64,I9,65:65)-SUMIF(64:64,C9,65:65)+100</f>
        <v>100</v>
      </c>
      <c r="K9" s="611"/>
      <c r="L9" s="1134"/>
      <c r="M9" s="1135"/>
      <c r="N9" s="1135"/>
      <c r="O9" s="1135"/>
      <c r="P9" s="3220" t="s">
        <v>2556</v>
      </c>
      <c r="Q9" s="1797" t="str">
        <f t="shared" ref="Q9:Q15" si="6">B9</f>
        <v>用途</v>
      </c>
      <c r="R9" s="770" t="s">
        <v>17</v>
      </c>
      <c r="S9" s="771">
        <f t="shared" si="0"/>
        <v>100</v>
      </c>
      <c r="T9" s="770" t="s">
        <v>17</v>
      </c>
      <c r="U9" s="771">
        <f t="shared" si="1"/>
        <v>100</v>
      </c>
      <c r="V9" s="770" t="s">
        <v>17</v>
      </c>
      <c r="W9" s="771">
        <f t="shared" si="2"/>
        <v>100</v>
      </c>
      <c r="X9" s="772"/>
      <c r="Y9" s="3074" t="s">
        <v>2557</v>
      </c>
      <c r="Z9" s="55" t="str">
        <f t="shared" ref="Z9:Z15" si="7">Q9</f>
        <v>用途</v>
      </c>
      <c r="AA9" s="773">
        <f t="shared" si="3"/>
        <v>1</v>
      </c>
      <c r="AB9" s="773">
        <f t="shared" si="4"/>
        <v>1</v>
      </c>
      <c r="AC9" s="2672">
        <f t="shared" si="5"/>
        <v>1</v>
      </c>
    </row>
    <row r="10" spans="1:29" s="427" customFormat="1" ht="27">
      <c r="A10" s="421"/>
      <c r="B10" s="422" t="s">
        <v>2558</v>
      </c>
      <c r="C10" s="423" t="s">
        <v>3132</v>
      </c>
      <c r="D10" s="136">
        <v>100</v>
      </c>
      <c r="E10" s="423" t="s">
        <v>3132</v>
      </c>
      <c r="F10" s="136">
        <f>SUMIF(66:66,E10,67:67)-SUMIF(66:66,C10,67:67)+100</f>
        <v>100</v>
      </c>
      <c r="G10" s="423" t="s">
        <v>3132</v>
      </c>
      <c r="H10" s="136">
        <f>SUMIF(66:66,G10,67:67)-SUMIF(66:66,C10,67:67)+100</f>
        <v>100</v>
      </c>
      <c r="I10" s="423" t="s">
        <v>3132</v>
      </c>
      <c r="J10" s="136">
        <f>SUMIF(66:66,I10,67:67)-SUMIF(66:66,C10,67:67)+100</f>
        <v>100</v>
      </c>
      <c r="K10" s="612"/>
      <c r="L10" s="1137"/>
      <c r="M10" s="1138"/>
      <c r="N10" s="1138"/>
      <c r="O10" s="1138"/>
      <c r="P10" s="3220"/>
      <c r="Q10" s="1797"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2672">
        <f t="shared" si="5"/>
        <v>1</v>
      </c>
    </row>
    <row r="11" spans="1:29" ht="15.75" thickBot="1">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40"/>
      <c r="M11" s="1133"/>
      <c r="N11" s="1133"/>
      <c r="O11" s="1133"/>
      <c r="P11" s="3220"/>
      <c r="Q11" s="1797" t="str">
        <f t="shared" si="6"/>
        <v>容积率</v>
      </c>
      <c r="R11" s="770" t="s">
        <v>17</v>
      </c>
      <c r="S11" s="771">
        <f t="shared" si="0"/>
        <v>100</v>
      </c>
      <c r="T11" s="770" t="s">
        <v>17</v>
      </c>
      <c r="U11" s="771">
        <f t="shared" si="1"/>
        <v>100</v>
      </c>
      <c r="V11" s="770" t="s">
        <v>17</v>
      </c>
      <c r="W11" s="771">
        <f t="shared" si="2"/>
        <v>100</v>
      </c>
      <c r="X11" s="772"/>
      <c r="Y11" s="3074"/>
      <c r="Z11" s="55" t="str">
        <f t="shared" si="7"/>
        <v>容积率</v>
      </c>
      <c r="AA11" s="773">
        <f t="shared" si="3"/>
        <v>1</v>
      </c>
      <c r="AB11" s="773">
        <f t="shared" si="4"/>
        <v>1</v>
      </c>
      <c r="AC11" s="2672">
        <f t="shared" si="5"/>
        <v>1</v>
      </c>
    </row>
    <row r="12" spans="1:29" s="117" customFormat="1" ht="15" hidden="1">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4"/>
      <c r="M12" s="1135"/>
      <c r="N12" s="1135"/>
      <c r="O12" s="1135"/>
      <c r="P12" s="3220"/>
      <c r="Q12" s="1797">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2672">
        <f>D12/J12</f>
        <v>1</v>
      </c>
    </row>
    <row r="13" spans="1:29" ht="15" hidden="1">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2"/>
      <c r="M13" s="1133"/>
      <c r="N13" s="1133"/>
      <c r="O13" s="1133"/>
      <c r="P13" s="3220"/>
      <c r="Q13" s="1797">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2672">
        <f t="shared" si="5"/>
        <v>1</v>
      </c>
    </row>
    <row r="14" spans="1:29" ht="15.75" hidden="1"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2"/>
      <c r="M14" s="1133"/>
      <c r="N14" s="1133"/>
      <c r="O14" s="1133"/>
      <c r="P14" s="3220"/>
      <c r="Q14" s="1797">
        <f t="shared" si="6"/>
        <v>111</v>
      </c>
      <c r="R14" s="770" t="s">
        <v>17</v>
      </c>
      <c r="S14" s="771">
        <f t="shared" si="0"/>
        <v>100</v>
      </c>
      <c r="T14" s="770" t="s">
        <v>17</v>
      </c>
      <c r="U14" s="771">
        <f t="shared" si="1"/>
        <v>100</v>
      </c>
      <c r="V14" s="770" t="s">
        <v>17</v>
      </c>
      <c r="W14" s="771">
        <f t="shared" si="2"/>
        <v>100</v>
      </c>
      <c r="X14" s="772"/>
      <c r="Y14" s="3074"/>
      <c r="Z14" s="55">
        <f t="shared" si="7"/>
        <v>111</v>
      </c>
      <c r="AA14" s="773">
        <f t="shared" si="3"/>
        <v>1</v>
      </c>
      <c r="AB14" s="773">
        <f t="shared" si="4"/>
        <v>1</v>
      </c>
      <c r="AC14" s="2672">
        <f t="shared" si="5"/>
        <v>1</v>
      </c>
    </row>
    <row r="15" spans="1:29" ht="108">
      <c r="A15" s="440" t="s">
        <v>2560</v>
      </c>
      <c r="B15" s="629" t="s">
        <v>2688</v>
      </c>
      <c r="C15" s="2674" t="str">
        <f>估价对象房地状况!C5</f>
        <v>估价对象位于朝青商圈，周边办公楼项目较多，有世丰国际大厦、财经中心等写字楼项目，入驻率高，办公集聚程度较好。</v>
      </c>
      <c r="D15" s="441">
        <v>100</v>
      </c>
      <c r="E15" s="2994" t="s">
        <v>3154</v>
      </c>
      <c r="F15" s="441">
        <f>SUMIF(77:77,E16,78:78)-SUMIF(77:77,C16,78:78)+100</f>
        <v>100</v>
      </c>
      <c r="G15" s="2994" t="s">
        <v>3177</v>
      </c>
      <c r="H15" s="441">
        <f>SUMIF(77:77,G16,78:78)-SUMIF(77:77,C16,78:78)+100</f>
        <v>100</v>
      </c>
      <c r="I15" s="2994" t="s">
        <v>3178</v>
      </c>
      <c r="J15" s="441">
        <f>SUMIF(77:77,I16,78:78)-SUMIF(77:77,C16,78:78)+100</f>
        <v>100</v>
      </c>
      <c r="K15" s="614"/>
      <c r="L15" s="1142"/>
      <c r="M15" s="1133"/>
      <c r="N15" s="1133"/>
      <c r="O15" s="1133"/>
      <c r="P15" s="3241" t="s">
        <v>2561</v>
      </c>
      <c r="Q15" s="1812" t="str">
        <f t="shared" si="6"/>
        <v>办公集聚程度</v>
      </c>
      <c r="R15" s="774" t="s">
        <v>17</v>
      </c>
      <c r="S15" s="775">
        <f t="shared" si="0"/>
        <v>100</v>
      </c>
      <c r="T15" s="774" t="s">
        <v>17</v>
      </c>
      <c r="U15" s="775">
        <f t="shared" si="1"/>
        <v>100</v>
      </c>
      <c r="V15" s="774" t="s">
        <v>17</v>
      </c>
      <c r="W15" s="775">
        <f t="shared" si="2"/>
        <v>100</v>
      </c>
      <c r="X15" s="1815"/>
      <c r="Y15" s="3243" t="s">
        <v>2561</v>
      </c>
      <c r="Z15" s="1816" t="str">
        <f t="shared" si="7"/>
        <v>办公集聚程度</v>
      </c>
      <c r="AA15" s="1813">
        <f t="shared" si="3"/>
        <v>1</v>
      </c>
      <c r="AB15" s="1813">
        <f t="shared" si="4"/>
        <v>1</v>
      </c>
      <c r="AC15" s="2675">
        <f t="shared" si="5"/>
        <v>1</v>
      </c>
    </row>
    <row r="16" spans="1:29" ht="15">
      <c r="A16" s="428"/>
      <c r="B16" s="630"/>
      <c r="C16" s="2612" t="s">
        <v>3140</v>
      </c>
      <c r="D16" s="448"/>
      <c r="E16" s="447" t="s">
        <v>3140</v>
      </c>
      <c r="F16" s="448"/>
      <c r="G16" s="2612" t="s">
        <v>3140</v>
      </c>
      <c r="H16" s="450"/>
      <c r="I16" s="447" t="s">
        <v>3140</v>
      </c>
      <c r="J16" s="448"/>
      <c r="K16" s="615"/>
      <c r="L16" s="1142"/>
      <c r="M16" s="1133"/>
      <c r="N16" s="1133"/>
      <c r="O16" s="1133"/>
      <c r="P16" s="3242"/>
      <c r="Q16" s="1812"/>
      <c r="R16" s="774"/>
      <c r="S16" s="775"/>
      <c r="T16" s="774"/>
      <c r="U16" s="775"/>
      <c r="V16" s="774"/>
      <c r="W16" s="775"/>
      <c r="X16" s="1815"/>
      <c r="Y16" s="3244"/>
      <c r="Z16" s="1816"/>
      <c r="AA16" s="1813">
        <v>1</v>
      </c>
      <c r="AB16" s="1813">
        <v>1</v>
      </c>
      <c r="AC16" s="2675">
        <v>1</v>
      </c>
    </row>
    <row r="17" spans="1:29" ht="128.25">
      <c r="A17" s="428"/>
      <c r="B17" s="631" t="s">
        <v>2098</v>
      </c>
      <c r="C17" s="2676" t="str">
        <f>估价对象房地状况!C6</f>
        <v>估价对象周边道路较为密集，公共交通通达情况较好，1公里内有350路、411路及地铁1号线等公共交通，停车便捷程度较好，综合评价交通便捷度较好。</v>
      </c>
      <c r="D17" s="450">
        <v>100</v>
      </c>
      <c r="E17" s="454" t="s">
        <v>3155</v>
      </c>
      <c r="F17" s="450">
        <f>SUMIF(79:79,E18,80:80)-SUMIF(79:79,C18,80:80)+100</f>
        <v>100</v>
      </c>
      <c r="G17" s="454" t="s">
        <v>3179</v>
      </c>
      <c r="H17" s="455">
        <f>SUMIF(79:79,G18,80:80)-SUMIF(79:79,C18,80:80)+100</f>
        <v>100</v>
      </c>
      <c r="I17" s="454" t="s">
        <v>3179</v>
      </c>
      <c r="J17" s="455">
        <f>SUMIF(79:79,I18,80:80)-SUMIF(79:79,C18,80:80)+100</f>
        <v>100</v>
      </c>
      <c r="K17" s="614"/>
      <c r="L17" s="1142"/>
      <c r="M17" s="1133"/>
      <c r="N17" s="1133"/>
      <c r="O17" s="1133"/>
      <c r="P17" s="3242"/>
      <c r="Q17" s="1812" t="str">
        <f>B17</f>
        <v>交通便捷度</v>
      </c>
      <c r="R17" s="774" t="s">
        <v>17</v>
      </c>
      <c r="S17" s="775">
        <f>F17</f>
        <v>100</v>
      </c>
      <c r="T17" s="774" t="s">
        <v>17</v>
      </c>
      <c r="U17" s="775">
        <f>H17</f>
        <v>100</v>
      </c>
      <c r="V17" s="774" t="s">
        <v>17</v>
      </c>
      <c r="W17" s="775">
        <f>J17</f>
        <v>100</v>
      </c>
      <c r="X17" s="1815"/>
      <c r="Y17" s="3244"/>
      <c r="Z17" s="1816" t="str">
        <f>Q17</f>
        <v>交通便捷度</v>
      </c>
      <c r="AA17" s="1813">
        <f t="shared" si="3"/>
        <v>1</v>
      </c>
      <c r="AB17" s="1813">
        <f t="shared" si="4"/>
        <v>1</v>
      </c>
      <c r="AC17" s="2675">
        <f t="shared" si="5"/>
        <v>1</v>
      </c>
    </row>
    <row r="18" spans="1:29" ht="15">
      <c r="A18" s="428"/>
      <c r="B18" s="632"/>
      <c r="C18" s="2612" t="s">
        <v>3140</v>
      </c>
      <c r="D18" s="450"/>
      <c r="E18" s="2610" t="s">
        <v>3140</v>
      </c>
      <c r="F18" s="450"/>
      <c r="G18" s="2611" t="s">
        <v>3140</v>
      </c>
      <c r="H18" s="448"/>
      <c r="I18" s="2611" t="s">
        <v>3140</v>
      </c>
      <c r="J18" s="448"/>
      <c r="K18" s="615"/>
      <c r="L18" s="1142"/>
      <c r="M18" s="1133"/>
      <c r="N18" s="1133"/>
      <c r="O18" s="1133"/>
      <c r="P18" s="3242"/>
      <c r="Q18" s="1812"/>
      <c r="R18" s="774"/>
      <c r="S18" s="775"/>
      <c r="T18" s="774"/>
      <c r="U18" s="775"/>
      <c r="V18" s="774"/>
      <c r="W18" s="775"/>
      <c r="X18" s="1815"/>
      <c r="Y18" s="3244"/>
      <c r="Z18" s="1816"/>
      <c r="AA18" s="1813">
        <v>1</v>
      </c>
      <c r="AB18" s="1813">
        <v>1</v>
      </c>
      <c r="AC18" s="2675">
        <v>1</v>
      </c>
    </row>
    <row r="19" spans="1:29" ht="203.25">
      <c r="A19" s="428"/>
      <c r="B19" s="631" t="s">
        <v>2689</v>
      </c>
      <c r="C19" s="2676" t="str">
        <f>估价对象房地状况!C7</f>
        <v>估价对象所在区域1公里范围内，有银行（中国工商银行、中国银行），购物（卜蜂莲花、物美超市），医院（民航总医院），学校（朝阳区兴隆小学、星河实验学校）等，公共配套设施齐备情况较好。</v>
      </c>
      <c r="D19" s="455">
        <v>100</v>
      </c>
      <c r="E19" s="459" t="s">
        <v>3157</v>
      </c>
      <c r="F19" s="455">
        <f>SUMIF(81:81,E20,82:82)-SUMIF(81:81,C20,82:82)+100</f>
        <v>100</v>
      </c>
      <c r="G19" s="459" t="s">
        <v>3181</v>
      </c>
      <c r="H19" s="450">
        <f>SUMIF(81:81,G20,82:82)-SUMIF(81:81,C20,82:82)+100</f>
        <v>100</v>
      </c>
      <c r="I19" s="459" t="s">
        <v>3180</v>
      </c>
      <c r="J19" s="450">
        <f>SUMIF(81:81,I20,82:82)-SUMIF(81:81,C20,82:82)+100</f>
        <v>100</v>
      </c>
      <c r="K19" s="614"/>
      <c r="L19" s="1142"/>
      <c r="M19" s="1133"/>
      <c r="N19" s="1133"/>
      <c r="O19" s="1133"/>
      <c r="P19" s="3242"/>
      <c r="Q19" s="1812" t="str">
        <f>B19</f>
        <v>公共配套设施</v>
      </c>
      <c r="R19" s="774" t="s">
        <v>17</v>
      </c>
      <c r="S19" s="775">
        <f>F19</f>
        <v>100</v>
      </c>
      <c r="T19" s="774" t="s">
        <v>17</v>
      </c>
      <c r="U19" s="775">
        <f>H19</f>
        <v>100</v>
      </c>
      <c r="V19" s="774" t="s">
        <v>17</v>
      </c>
      <c r="W19" s="775">
        <f>J19</f>
        <v>100</v>
      </c>
      <c r="X19" s="1815"/>
      <c r="Y19" s="3244"/>
      <c r="Z19" s="1816" t="str">
        <f>Q19</f>
        <v>公共配套设施</v>
      </c>
      <c r="AA19" s="1813">
        <f t="shared" si="3"/>
        <v>1</v>
      </c>
      <c r="AB19" s="1813">
        <f t="shared" si="4"/>
        <v>1</v>
      </c>
      <c r="AC19" s="2675">
        <f t="shared" si="5"/>
        <v>1</v>
      </c>
    </row>
    <row r="20" spans="1:29" ht="15">
      <c r="A20" s="428"/>
      <c r="B20" s="632"/>
      <c r="C20" s="2612" t="s">
        <v>3140</v>
      </c>
      <c r="D20" s="448"/>
      <c r="E20" s="2605" t="s">
        <v>3140</v>
      </c>
      <c r="F20" s="448"/>
      <c r="G20" s="2606" t="s">
        <v>3140</v>
      </c>
      <c r="H20" s="448"/>
      <c r="I20" s="2606" t="s">
        <v>3140</v>
      </c>
      <c r="J20" s="448"/>
      <c r="K20" s="615"/>
      <c r="L20" s="1142"/>
      <c r="M20" s="1133"/>
      <c r="N20" s="1133"/>
      <c r="O20" s="1133"/>
      <c r="P20" s="3242"/>
      <c r="Q20" s="1812"/>
      <c r="R20" s="774"/>
      <c r="S20" s="775"/>
      <c r="T20" s="774"/>
      <c r="U20" s="775"/>
      <c r="V20" s="774"/>
      <c r="W20" s="775"/>
      <c r="X20" s="1815"/>
      <c r="Y20" s="3244"/>
      <c r="Z20" s="1816"/>
      <c r="AA20" s="1813">
        <v>1</v>
      </c>
      <c r="AB20" s="1813">
        <v>1</v>
      </c>
      <c r="AC20" s="2675">
        <v>1</v>
      </c>
    </row>
    <row r="21" spans="1:29" ht="42.75">
      <c r="A21" s="428"/>
      <c r="B21" s="633" t="s">
        <v>2690</v>
      </c>
      <c r="C21" s="2676" t="str">
        <f>估价对象房地状况!C8</f>
        <v>估价对象所在区域基础设施水平达到“七通”。</v>
      </c>
      <c r="D21" s="450">
        <v>100</v>
      </c>
      <c r="E21" s="459" t="s">
        <v>3158</v>
      </c>
      <c r="F21" s="455">
        <f>SUMIF(83:83,E22,84:84)-SUMIF(83:83,C22,84:84)+100</f>
        <v>100</v>
      </c>
      <c r="G21" s="457" t="s">
        <v>3158</v>
      </c>
      <c r="H21" s="450">
        <f>SUMIF(83:83,G22,84:84)-SUMIF(83:83,C22,84:84)+100</f>
        <v>100</v>
      </c>
      <c r="I21" s="457" t="s">
        <v>3159</v>
      </c>
      <c r="J21" s="450">
        <f>SUMIF(83:83,I22,84:84)-SUMIF(83:83,C22,84:84)+100</f>
        <v>100</v>
      </c>
      <c r="K21" s="614"/>
      <c r="L21" s="1142"/>
      <c r="M21" s="1133"/>
      <c r="N21" s="1133"/>
      <c r="O21" s="1133"/>
      <c r="P21" s="3242"/>
      <c r="Q21" s="1812" t="str">
        <f>B21</f>
        <v>基础设施水平</v>
      </c>
      <c r="R21" s="774" t="s">
        <v>17</v>
      </c>
      <c r="S21" s="775">
        <f>F21</f>
        <v>100</v>
      </c>
      <c r="T21" s="774" t="s">
        <v>17</v>
      </c>
      <c r="U21" s="775">
        <f>H21</f>
        <v>100</v>
      </c>
      <c r="V21" s="774" t="s">
        <v>17</v>
      </c>
      <c r="W21" s="775">
        <f>J21</f>
        <v>100</v>
      </c>
      <c r="X21" s="1815"/>
      <c r="Y21" s="3244"/>
      <c r="Z21" s="1816" t="str">
        <f>Q21</f>
        <v>基础设施水平</v>
      </c>
      <c r="AA21" s="1813">
        <f t="shared" ref="AA21" si="8">D21/F21</f>
        <v>1</v>
      </c>
      <c r="AB21" s="1813">
        <f t="shared" ref="AB21" si="9">D21/H21</f>
        <v>1</v>
      </c>
      <c r="AC21" s="2675">
        <f t="shared" ref="AC21" si="10">D21/J21</f>
        <v>1</v>
      </c>
    </row>
    <row r="22" spans="1:29" ht="15">
      <c r="A22" s="428"/>
      <c r="B22" s="633"/>
      <c r="C22" s="2677" t="s">
        <v>3141</v>
      </c>
      <c r="D22" s="448"/>
      <c r="E22" s="2677" t="s">
        <v>3141</v>
      </c>
      <c r="F22" s="448"/>
      <c r="G22" s="2677" t="s">
        <v>3141</v>
      </c>
      <c r="H22" s="448"/>
      <c r="I22" s="2677" t="s">
        <v>3141</v>
      </c>
      <c r="J22" s="448"/>
      <c r="K22" s="1385"/>
      <c r="L22" s="1142"/>
      <c r="M22" s="1133"/>
      <c r="N22" s="1133"/>
      <c r="O22" s="1133"/>
      <c r="P22" s="3242"/>
      <c r="Q22" s="1812"/>
      <c r="R22" s="774"/>
      <c r="S22" s="775"/>
      <c r="T22" s="774"/>
      <c r="U22" s="775"/>
      <c r="V22" s="774"/>
      <c r="W22" s="775"/>
      <c r="X22" s="1815"/>
      <c r="Y22" s="3244"/>
      <c r="Z22" s="1816"/>
      <c r="AA22" s="1813">
        <v>1</v>
      </c>
      <c r="AB22" s="1813">
        <v>1</v>
      </c>
      <c r="AC22" s="2675">
        <v>1</v>
      </c>
    </row>
    <row r="23" spans="1:29" ht="81">
      <c r="A23" s="428"/>
      <c r="B23" s="631" t="s">
        <v>2691</v>
      </c>
      <c r="C23" s="2676" t="str">
        <f>估价对象房地状况!C9</f>
        <v>区域自然环境：兴隆公园；人文环境：中国传媒大学；综合评价环境状况较好。</v>
      </c>
      <c r="D23" s="450">
        <v>100</v>
      </c>
      <c r="E23" s="2995" t="s">
        <v>3160</v>
      </c>
      <c r="F23" s="450">
        <f>SUMIF(85:85,E24,86:86)-SUMIF(85:85,C24,86:86)+100</f>
        <v>100</v>
      </c>
      <c r="G23" s="2995" t="s">
        <v>3182</v>
      </c>
      <c r="H23" s="450">
        <f>SUMIF(85:85,G24,86:86)-SUMIF(85:85,C24,86:86)+100</f>
        <v>100</v>
      </c>
      <c r="I23" s="2995" t="s">
        <v>3182</v>
      </c>
      <c r="J23" s="450">
        <f>SUMIF(85:85,I24,86:86)-SUMIF(85:85,C24,86:86)+100</f>
        <v>100</v>
      </c>
      <c r="K23" s="614"/>
      <c r="L23" s="1142"/>
      <c r="M23" s="1133"/>
      <c r="N23" s="1133"/>
      <c r="O23" s="1133"/>
      <c r="P23" s="3242"/>
      <c r="Q23" s="1812" t="str">
        <f>B23</f>
        <v>环境质量</v>
      </c>
      <c r="R23" s="774" t="s">
        <v>17</v>
      </c>
      <c r="S23" s="775">
        <f>F23</f>
        <v>100</v>
      </c>
      <c r="T23" s="774" t="s">
        <v>17</v>
      </c>
      <c r="U23" s="775">
        <f>H23</f>
        <v>100</v>
      </c>
      <c r="V23" s="774" t="s">
        <v>17</v>
      </c>
      <c r="W23" s="775">
        <f>J23</f>
        <v>100</v>
      </c>
      <c r="X23" s="1815"/>
      <c r="Y23" s="3244"/>
      <c r="Z23" s="1816" t="str">
        <f>Q23</f>
        <v>环境质量</v>
      </c>
      <c r="AA23" s="1813">
        <f t="shared" si="3"/>
        <v>1</v>
      </c>
      <c r="AB23" s="1813">
        <f t="shared" si="4"/>
        <v>1</v>
      </c>
      <c r="AC23" s="2675">
        <f t="shared" si="5"/>
        <v>1</v>
      </c>
    </row>
    <row r="24" spans="1:29" ht="15">
      <c r="A24" s="428"/>
      <c r="B24" s="633"/>
      <c r="C24" s="2612" t="s">
        <v>3140</v>
      </c>
      <c r="D24" s="448"/>
      <c r="E24" s="2612" t="s">
        <v>3140</v>
      </c>
      <c r="F24" s="448"/>
      <c r="G24" s="2612" t="s">
        <v>3140</v>
      </c>
      <c r="H24" s="448"/>
      <c r="I24" s="2612" t="s">
        <v>3140</v>
      </c>
      <c r="J24" s="448"/>
      <c r="K24" s="615"/>
      <c r="L24" s="1142"/>
      <c r="M24" s="1133"/>
      <c r="N24" s="1133"/>
      <c r="O24" s="1133"/>
      <c r="P24" s="3242"/>
      <c r="Q24" s="1812"/>
      <c r="R24" s="774"/>
      <c r="S24" s="775"/>
      <c r="T24" s="774"/>
      <c r="U24" s="775"/>
      <c r="V24" s="774"/>
      <c r="W24" s="775"/>
      <c r="X24" s="1815"/>
      <c r="Y24" s="3244"/>
      <c r="Z24" s="1816"/>
      <c r="AA24" s="1813">
        <v>1</v>
      </c>
      <c r="AB24" s="1813">
        <v>1</v>
      </c>
      <c r="AC24" s="2675">
        <v>1</v>
      </c>
    </row>
    <row r="25" spans="1:29" ht="27">
      <c r="A25" s="404"/>
      <c r="B25" s="631" t="s">
        <v>2692</v>
      </c>
      <c r="C25" s="2992" t="s">
        <v>3147</v>
      </c>
      <c r="D25" s="435">
        <v>100</v>
      </c>
      <c r="E25" s="2992" t="s">
        <v>3147</v>
      </c>
      <c r="F25" s="435">
        <f>SUMIF(87:87,E26,88:88)-SUMIF(87:87,C26,88:88)+100</f>
        <v>100</v>
      </c>
      <c r="G25" s="2992" t="s">
        <v>3147</v>
      </c>
      <c r="H25" s="435">
        <f>SUMIF(87:87,G26,88:88)-SUMIF(87:87,C26,88:88)+100</f>
        <v>100</v>
      </c>
      <c r="I25" s="2992" t="s">
        <v>3147</v>
      </c>
      <c r="J25" s="435">
        <f>SUMIF(87:87,I26,88:88)-SUMIF(87:87,C26,88:88)+100</f>
        <v>100</v>
      </c>
      <c r="K25" s="614"/>
      <c r="L25" s="1142"/>
      <c r="M25" s="1133"/>
      <c r="N25" s="1133"/>
      <c r="O25" s="1133"/>
      <c r="P25" s="3242"/>
      <c r="Q25" s="1812" t="str">
        <f>B25</f>
        <v>毗邻道路的类型与等级</v>
      </c>
      <c r="R25" s="774" t="s">
        <v>17</v>
      </c>
      <c r="S25" s="775">
        <f>F25</f>
        <v>100</v>
      </c>
      <c r="T25" s="774" t="s">
        <v>17</v>
      </c>
      <c r="U25" s="775">
        <f>H25</f>
        <v>100</v>
      </c>
      <c r="V25" s="774" t="s">
        <v>17</v>
      </c>
      <c r="W25" s="775">
        <f>J25</f>
        <v>100</v>
      </c>
      <c r="X25" s="1815"/>
      <c r="Y25" s="3244"/>
      <c r="Z25" s="1816" t="str">
        <f>Q25</f>
        <v>毗邻道路的类型与等级</v>
      </c>
      <c r="AA25" s="1813">
        <f t="shared" si="3"/>
        <v>1</v>
      </c>
      <c r="AB25" s="1813">
        <f t="shared" si="4"/>
        <v>1</v>
      </c>
      <c r="AC25" s="2675">
        <f t="shared" si="5"/>
        <v>1</v>
      </c>
    </row>
    <row r="26" spans="1:29" ht="15">
      <c r="A26" s="404"/>
      <c r="B26" s="632"/>
      <c r="C26" s="634" t="s">
        <v>3143</v>
      </c>
      <c r="D26" s="435"/>
      <c r="E26" s="616" t="s">
        <v>3143</v>
      </c>
      <c r="F26" s="435"/>
      <c r="G26" s="616" t="s">
        <v>3143</v>
      </c>
      <c r="H26" s="435"/>
      <c r="I26" s="616" t="s">
        <v>3143</v>
      </c>
      <c r="J26" s="435"/>
      <c r="K26" s="615"/>
      <c r="L26" s="1142"/>
      <c r="M26" s="1133"/>
      <c r="N26" s="1133"/>
      <c r="O26" s="1133"/>
      <c r="P26" s="3242"/>
      <c r="Q26" s="1812"/>
      <c r="R26" s="774"/>
      <c r="S26" s="775"/>
      <c r="T26" s="774"/>
      <c r="U26" s="775"/>
      <c r="V26" s="774"/>
      <c r="W26" s="775"/>
      <c r="X26" s="1815"/>
      <c r="Y26" s="3244"/>
      <c r="Z26" s="1816"/>
      <c r="AA26" s="1813">
        <v>1</v>
      </c>
      <c r="AB26" s="1813">
        <v>1</v>
      </c>
      <c r="AC26" s="2675">
        <v>1</v>
      </c>
    </row>
    <row r="27" spans="1:29" ht="15">
      <c r="A27" s="428"/>
      <c r="B27" s="632" t="s">
        <v>2660</v>
      </c>
      <c r="C27" s="634" t="s">
        <v>3148</v>
      </c>
      <c r="D27" s="435">
        <v>100</v>
      </c>
      <c r="E27" s="616" t="s">
        <v>3150</v>
      </c>
      <c r="F27" s="435">
        <f>SUMIF(89:89,E27,90:90)-SUMIF(89:89,C27,90:90)+100</f>
        <v>95</v>
      </c>
      <c r="G27" s="634" t="s">
        <v>3161</v>
      </c>
      <c r="H27" s="435">
        <f>SUMIF(89:89,G27,90:90)-SUMIF(89:89,C27,90:90)+100</f>
        <v>90</v>
      </c>
      <c r="I27" s="616" t="s">
        <v>3150</v>
      </c>
      <c r="J27" s="435">
        <f>SUMIF(89:89,I27,90:90)-SUMIF(89:89,C27,90:90)+100</f>
        <v>95</v>
      </c>
      <c r="K27" s="612">
        <v>5</v>
      </c>
      <c r="L27" s="1142"/>
      <c r="M27" s="1133"/>
      <c r="N27" s="1133"/>
      <c r="O27" s="1133"/>
      <c r="P27" s="3242"/>
      <c r="Q27" s="1812" t="str">
        <f t="shared" ref="Q27:Q47" si="11">B27</f>
        <v>楼层</v>
      </c>
      <c r="R27" s="774" t="s">
        <v>17</v>
      </c>
      <c r="S27" s="775">
        <f>F27</f>
        <v>95</v>
      </c>
      <c r="T27" s="774" t="s">
        <v>17</v>
      </c>
      <c r="U27" s="775">
        <f>H27</f>
        <v>90</v>
      </c>
      <c r="V27" s="774" t="s">
        <v>17</v>
      </c>
      <c r="W27" s="775">
        <f>J27</f>
        <v>95</v>
      </c>
      <c r="X27" s="1815"/>
      <c r="Y27" s="3244"/>
      <c r="Z27" s="1816" t="str">
        <f>Q27</f>
        <v>楼层</v>
      </c>
      <c r="AA27" s="1813">
        <f t="shared" si="3"/>
        <v>1.0526315789473684</v>
      </c>
      <c r="AB27" s="1813">
        <f t="shared" si="4"/>
        <v>1.1111111111111112</v>
      </c>
      <c r="AC27" s="2675">
        <f t="shared" si="5"/>
        <v>1.0526315789473684</v>
      </c>
    </row>
    <row r="28" spans="1:29" s="117" customFormat="1" ht="15.75" thickBot="1">
      <c r="A28" s="431"/>
      <c r="B28" s="631" t="s">
        <v>2693</v>
      </c>
      <c r="C28" s="2678"/>
      <c r="D28" s="462">
        <v>100</v>
      </c>
      <c r="E28" s="2666"/>
      <c r="F28" s="462">
        <f>SUMIF(91:91,E28,92:92)-SUMIF(91:91,C28,92:92)+100</f>
        <v>100</v>
      </c>
      <c r="G28" s="2678"/>
      <c r="H28" s="462">
        <f>SUMIF(91:91,G28,92:92)-SUMIF(91:91,C28,92:92)+100</f>
        <v>100</v>
      </c>
      <c r="I28" s="2666"/>
      <c r="J28" s="462">
        <f>SUMIF(91:91,I28,92:92)-SUMIF(91:91,C28,92:92)+100</f>
        <v>100</v>
      </c>
      <c r="K28" s="612"/>
      <c r="L28" s="1134"/>
      <c r="M28" s="1135"/>
      <c r="N28" s="1135"/>
      <c r="O28" s="1135"/>
      <c r="P28" s="3242"/>
      <c r="Q28" s="1797" t="str">
        <f t="shared" si="11"/>
        <v>朝向</v>
      </c>
      <c r="R28" s="770" t="s">
        <v>17</v>
      </c>
      <c r="S28" s="771">
        <f>F28</f>
        <v>100</v>
      </c>
      <c r="T28" s="770" t="s">
        <v>17</v>
      </c>
      <c r="U28" s="771">
        <f>H28</f>
        <v>100</v>
      </c>
      <c r="V28" s="770" t="s">
        <v>17</v>
      </c>
      <c r="W28" s="771">
        <f>J28</f>
        <v>100</v>
      </c>
      <c r="X28" s="772"/>
      <c r="Y28" s="3244"/>
      <c r="Z28" s="55" t="str">
        <f>Q28</f>
        <v>朝向</v>
      </c>
      <c r="AA28" s="1813">
        <f>D28/F28</f>
        <v>1</v>
      </c>
      <c r="AB28" s="1813">
        <f>D28/H28</f>
        <v>1</v>
      </c>
      <c r="AC28" s="2675">
        <f>D28/J28</f>
        <v>1</v>
      </c>
    </row>
    <row r="29" spans="1:29" ht="15" hidden="1">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2"/>
      <c r="M29" s="1133"/>
      <c r="N29" s="1133"/>
      <c r="O29" s="1133"/>
      <c r="P29" s="3242"/>
      <c r="Q29" s="1812">
        <f t="shared" si="11"/>
        <v>111</v>
      </c>
      <c r="R29" s="774" t="s">
        <v>17</v>
      </c>
      <c r="S29" s="775">
        <f t="shared" ref="S29:S47" si="12">F29</f>
        <v>100</v>
      </c>
      <c r="T29" s="774" t="s">
        <v>17</v>
      </c>
      <c r="U29" s="775">
        <f t="shared" ref="U29:U47" si="13">H29</f>
        <v>100</v>
      </c>
      <c r="V29" s="774" t="s">
        <v>17</v>
      </c>
      <c r="W29" s="775">
        <f t="shared" ref="W29:W47" si="14">J29</f>
        <v>100</v>
      </c>
      <c r="X29" s="1815"/>
      <c r="Y29" s="3244"/>
      <c r="Z29" s="1816">
        <f t="shared" ref="Z29:Z47" si="15">Q29</f>
        <v>111</v>
      </c>
      <c r="AA29" s="1813">
        <f t="shared" si="3"/>
        <v>1</v>
      </c>
      <c r="AB29" s="1813">
        <f t="shared" si="4"/>
        <v>1</v>
      </c>
      <c r="AC29" s="2675">
        <f t="shared" si="5"/>
        <v>1</v>
      </c>
    </row>
    <row r="30" spans="1:29" ht="15" hidden="1">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2"/>
      <c r="M30" s="1133"/>
      <c r="N30" s="1133"/>
      <c r="O30" s="1133"/>
      <c r="P30" s="3242"/>
      <c r="Q30" s="1812">
        <f t="shared" si="11"/>
        <v>111</v>
      </c>
      <c r="R30" s="774" t="s">
        <v>17</v>
      </c>
      <c r="S30" s="775">
        <f t="shared" si="12"/>
        <v>100</v>
      </c>
      <c r="T30" s="774" t="s">
        <v>17</v>
      </c>
      <c r="U30" s="775">
        <f t="shared" si="13"/>
        <v>100</v>
      </c>
      <c r="V30" s="774" t="s">
        <v>17</v>
      </c>
      <c r="W30" s="775">
        <f t="shared" si="14"/>
        <v>100</v>
      </c>
      <c r="X30" s="1815"/>
      <c r="Y30" s="3244"/>
      <c r="Z30" s="1816">
        <f t="shared" si="15"/>
        <v>111</v>
      </c>
      <c r="AA30" s="1813">
        <f t="shared" si="3"/>
        <v>1</v>
      </c>
      <c r="AB30" s="1813">
        <f t="shared" si="4"/>
        <v>1</v>
      </c>
      <c r="AC30" s="2675">
        <f t="shared" si="5"/>
        <v>1</v>
      </c>
    </row>
    <row r="31" spans="1:29" ht="15" hidden="1">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2"/>
      <c r="M31" s="1133"/>
      <c r="N31" s="1133"/>
      <c r="O31" s="1133"/>
      <c r="P31" s="3242"/>
      <c r="Q31" s="1812">
        <f t="shared" si="11"/>
        <v>111</v>
      </c>
      <c r="R31" s="774" t="s">
        <v>17</v>
      </c>
      <c r="S31" s="775">
        <f t="shared" si="12"/>
        <v>100</v>
      </c>
      <c r="T31" s="774" t="s">
        <v>17</v>
      </c>
      <c r="U31" s="775">
        <f t="shared" si="13"/>
        <v>100</v>
      </c>
      <c r="V31" s="774" t="s">
        <v>17</v>
      </c>
      <c r="W31" s="775">
        <f t="shared" si="14"/>
        <v>100</v>
      </c>
      <c r="X31" s="1815"/>
      <c r="Y31" s="3244"/>
      <c r="Z31" s="1816">
        <f t="shared" si="15"/>
        <v>111</v>
      </c>
      <c r="AA31" s="1813">
        <f t="shared" si="3"/>
        <v>1</v>
      </c>
      <c r="AB31" s="1813">
        <f t="shared" si="4"/>
        <v>1</v>
      </c>
      <c r="AC31" s="2675">
        <f t="shared" si="5"/>
        <v>1</v>
      </c>
    </row>
    <row r="32" spans="1:29" ht="15.75" hidden="1"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2"/>
      <c r="M32" s="1133"/>
      <c r="N32" s="1133"/>
      <c r="O32" s="1133"/>
      <c r="P32" s="3242"/>
      <c r="Q32" s="1812">
        <f t="shared" si="11"/>
        <v>111</v>
      </c>
      <c r="R32" s="774" t="s">
        <v>17</v>
      </c>
      <c r="S32" s="775">
        <f t="shared" si="12"/>
        <v>100</v>
      </c>
      <c r="T32" s="774" t="s">
        <v>17</v>
      </c>
      <c r="U32" s="775">
        <f t="shared" si="13"/>
        <v>100</v>
      </c>
      <c r="V32" s="774" t="s">
        <v>17</v>
      </c>
      <c r="W32" s="775">
        <f t="shared" si="14"/>
        <v>100</v>
      </c>
      <c r="X32" s="1815"/>
      <c r="Y32" s="3244"/>
      <c r="Z32" s="1816">
        <f t="shared" si="15"/>
        <v>111</v>
      </c>
      <c r="AA32" s="1813">
        <f t="shared" si="3"/>
        <v>1</v>
      </c>
      <c r="AB32" s="1813">
        <f t="shared" si="4"/>
        <v>1</v>
      </c>
      <c r="AC32" s="2675">
        <f t="shared" si="5"/>
        <v>1</v>
      </c>
    </row>
    <row r="33" spans="1:29" ht="15">
      <c r="A33" s="440" t="s">
        <v>2564</v>
      </c>
      <c r="B33" s="71" t="s">
        <v>2694</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2"/>
      <c r="M33" s="1133"/>
      <c r="N33" s="1133"/>
      <c r="O33" s="1133"/>
      <c r="P33" s="3245" t="s">
        <v>2566</v>
      </c>
      <c r="Q33" s="1812" t="str">
        <f t="shared" si="11"/>
        <v>建筑类型</v>
      </c>
      <c r="R33" s="774" t="s">
        <v>17</v>
      </c>
      <c r="S33" s="775">
        <f t="shared" si="12"/>
        <v>100</v>
      </c>
      <c r="T33" s="774" t="s">
        <v>17</v>
      </c>
      <c r="U33" s="775">
        <f t="shared" si="13"/>
        <v>100</v>
      </c>
      <c r="V33" s="774" t="s">
        <v>17</v>
      </c>
      <c r="W33" s="775">
        <f t="shared" si="14"/>
        <v>100</v>
      </c>
      <c r="X33" s="1815"/>
      <c r="Y33" s="3248" t="s">
        <v>2566</v>
      </c>
      <c r="Z33" s="1816" t="str">
        <f t="shared" si="15"/>
        <v>建筑类型</v>
      </c>
      <c r="AA33" s="1813">
        <f t="shared" si="3"/>
        <v>1</v>
      </c>
      <c r="AB33" s="1813">
        <f t="shared" si="4"/>
        <v>1</v>
      </c>
      <c r="AC33" s="2675">
        <f t="shared" si="5"/>
        <v>1</v>
      </c>
    </row>
    <row r="34" spans="1:29" s="471" customFormat="1" ht="15">
      <c r="A34" s="468"/>
      <c r="B34" s="422" t="s">
        <v>2567</v>
      </c>
      <c r="C34" s="469">
        <f>'数据-基础表'!I13</f>
        <v>47.48</v>
      </c>
      <c r="D34" s="136">
        <v>100</v>
      </c>
      <c r="E34" s="430">
        <v>220</v>
      </c>
      <c r="F34" s="425">
        <f>LOOKUP(E34,104:104,105:105)-LOOKUP(C34,104:104,105:105)+100</f>
        <v>100</v>
      </c>
      <c r="G34" s="429">
        <v>257</v>
      </c>
      <c r="H34" s="136">
        <f>LOOKUP(G34,104:104,105:105)-LOOKUP(C34,104:104,105:105)+100</f>
        <v>100</v>
      </c>
      <c r="I34" s="429">
        <v>300</v>
      </c>
      <c r="J34" s="136">
        <f>LOOKUP(I34,104:104,105:105)-LOOKUP(C34,104:104,105:105)+100</f>
        <v>101</v>
      </c>
      <c r="K34" s="613"/>
      <c r="L34" s="1140"/>
      <c r="M34" s="1143"/>
      <c r="N34" s="1143"/>
      <c r="O34" s="1143"/>
      <c r="P34" s="3246"/>
      <c r="Q34" s="776" t="str">
        <f t="shared" si="11"/>
        <v>项目建筑规模</v>
      </c>
      <c r="R34" s="777" t="s">
        <v>17</v>
      </c>
      <c r="S34" s="778">
        <f t="shared" si="12"/>
        <v>100</v>
      </c>
      <c r="T34" s="777" t="s">
        <v>17</v>
      </c>
      <c r="U34" s="778">
        <f t="shared" si="13"/>
        <v>100</v>
      </c>
      <c r="V34" s="777" t="s">
        <v>17</v>
      </c>
      <c r="W34" s="778">
        <f t="shared" si="14"/>
        <v>101</v>
      </c>
      <c r="X34" s="779"/>
      <c r="Y34" s="3248"/>
      <c r="Z34" s="780" t="str">
        <f t="shared" si="15"/>
        <v>项目建筑规模</v>
      </c>
      <c r="AA34" s="1813">
        <f t="shared" si="3"/>
        <v>1</v>
      </c>
      <c r="AB34" s="1813">
        <f t="shared" si="4"/>
        <v>1</v>
      </c>
      <c r="AC34" s="2675">
        <f t="shared" si="5"/>
        <v>0.99009900990099009</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46"/>
      <c r="Q35" s="1812" t="str">
        <f t="shared" si="11"/>
        <v>建筑结构</v>
      </c>
      <c r="R35" s="774" t="s">
        <v>17</v>
      </c>
      <c r="S35" s="775">
        <f t="shared" si="12"/>
        <v>100</v>
      </c>
      <c r="T35" s="774" t="s">
        <v>17</v>
      </c>
      <c r="U35" s="775">
        <f t="shared" si="13"/>
        <v>100</v>
      </c>
      <c r="V35" s="774" t="s">
        <v>17</v>
      </c>
      <c r="W35" s="775">
        <f t="shared" si="14"/>
        <v>100</v>
      </c>
      <c r="X35" s="1815"/>
      <c r="Y35" s="3248"/>
      <c r="Z35" s="1816" t="str">
        <f t="shared" si="15"/>
        <v>建筑结构</v>
      </c>
      <c r="AA35" s="1813">
        <f t="shared" si="3"/>
        <v>1</v>
      </c>
      <c r="AB35" s="1813">
        <f t="shared" si="4"/>
        <v>1</v>
      </c>
      <c r="AC35" s="2675">
        <f t="shared" si="5"/>
        <v>1</v>
      </c>
    </row>
    <row r="36" spans="1:29" ht="15">
      <c r="A36" s="472"/>
      <c r="B36" s="422" t="s">
        <v>2662</v>
      </c>
      <c r="C36" s="460" t="s">
        <v>3163</v>
      </c>
      <c r="D36" s="435">
        <v>100</v>
      </c>
      <c r="E36" s="460" t="s">
        <v>3163</v>
      </c>
      <c r="F36" s="461">
        <f>SUMIF(108:108,E36,109:109)-SUMIF(108:108,C36,109:109)+100</f>
        <v>100</v>
      </c>
      <c r="G36" s="460" t="s">
        <v>3163</v>
      </c>
      <c r="H36" s="435">
        <f>SUMIF(108:108,G36,109:109)-SUMIF(108:108,C36,109:109)+100</f>
        <v>100</v>
      </c>
      <c r="I36" s="460" t="s">
        <v>3163</v>
      </c>
      <c r="J36" s="435">
        <f>SUMIF(108:108,I36,109:109)-SUMIF(108:108,C36,109:109)+100</f>
        <v>100</v>
      </c>
      <c r="K36" s="612"/>
      <c r="L36" s="1142"/>
      <c r="M36" s="1133"/>
      <c r="N36" s="1133"/>
      <c r="O36" s="1133"/>
      <c r="P36" s="3246"/>
      <c r="Q36" s="1812" t="str">
        <f t="shared" si="11"/>
        <v>公共部分装修</v>
      </c>
      <c r="R36" s="774" t="s">
        <v>17</v>
      </c>
      <c r="S36" s="775">
        <f t="shared" si="12"/>
        <v>100</v>
      </c>
      <c r="T36" s="774" t="s">
        <v>17</v>
      </c>
      <c r="U36" s="775">
        <f t="shared" si="13"/>
        <v>100</v>
      </c>
      <c r="V36" s="774" t="s">
        <v>17</v>
      </c>
      <c r="W36" s="775">
        <f t="shared" si="14"/>
        <v>100</v>
      </c>
      <c r="X36" s="1815"/>
      <c r="Y36" s="3248"/>
      <c r="Z36" s="1816" t="str">
        <f t="shared" si="15"/>
        <v>公共部分装修</v>
      </c>
      <c r="AA36" s="1813">
        <f t="shared" si="3"/>
        <v>1</v>
      </c>
      <c r="AB36" s="1813">
        <f t="shared" si="4"/>
        <v>1</v>
      </c>
      <c r="AC36" s="2675">
        <f t="shared" si="5"/>
        <v>1</v>
      </c>
    </row>
    <row r="37" spans="1:29" ht="15">
      <c r="A37" s="472"/>
      <c r="B37" s="422" t="s">
        <v>2663</v>
      </c>
      <c r="C37" s="474">
        <v>0.85</v>
      </c>
      <c r="D37" s="435">
        <v>100</v>
      </c>
      <c r="E37" s="474">
        <v>0.78300000000000003</v>
      </c>
      <c r="F37" s="461">
        <f>LOOKUP(E37,111:111,112:112)-LOOKUP(C37,111:111,112:112)+100</f>
        <v>98</v>
      </c>
      <c r="G37" s="474">
        <v>0.75</v>
      </c>
      <c r="H37" s="461">
        <f>LOOKUP(G37,111:111,112:112)-LOOKUP(C37,111:111,112:112)+100</f>
        <v>98</v>
      </c>
      <c r="I37" s="474">
        <v>0.8</v>
      </c>
      <c r="J37" s="435">
        <f>LOOKUP(I37,111:111,112:112)-LOOKUP(C37,111:111,112:112)+100</f>
        <v>100</v>
      </c>
      <c r="K37" s="612">
        <v>2</v>
      </c>
      <c r="L37" s="1142"/>
      <c r="M37" s="1133"/>
      <c r="N37" s="1133"/>
      <c r="O37" s="1133"/>
      <c r="P37" s="3246"/>
      <c r="Q37" s="1812" t="str">
        <f t="shared" si="11"/>
        <v>成新度</v>
      </c>
      <c r="R37" s="774" t="s">
        <v>17</v>
      </c>
      <c r="S37" s="775">
        <f t="shared" si="12"/>
        <v>98</v>
      </c>
      <c r="T37" s="774" t="s">
        <v>17</v>
      </c>
      <c r="U37" s="775">
        <f t="shared" si="13"/>
        <v>98</v>
      </c>
      <c r="V37" s="774" t="s">
        <v>17</v>
      </c>
      <c r="W37" s="775">
        <f t="shared" si="14"/>
        <v>100</v>
      </c>
      <c r="X37" s="1815"/>
      <c r="Y37" s="3248"/>
      <c r="Z37" s="1816" t="str">
        <f t="shared" si="15"/>
        <v>成新度</v>
      </c>
      <c r="AA37" s="1813">
        <f t="shared" si="3"/>
        <v>1.0204081632653061</v>
      </c>
      <c r="AB37" s="1813">
        <f t="shared" si="4"/>
        <v>1.0204081632653061</v>
      </c>
      <c r="AC37" s="2675">
        <f t="shared" si="5"/>
        <v>1</v>
      </c>
    </row>
    <row r="38" spans="1:29" s="117" customFormat="1" ht="15">
      <c r="A38" s="473"/>
      <c r="B38" s="422" t="s">
        <v>2695</v>
      </c>
      <c r="C38" s="460" t="s">
        <v>3184</v>
      </c>
      <c r="D38" s="136">
        <v>100</v>
      </c>
      <c r="E38" s="460" t="s">
        <v>3171</v>
      </c>
      <c r="F38" s="461">
        <f>SUMIF(113:113,E38,114:114)-SUMIF(113:113,C38,114:114)+100</f>
        <v>105</v>
      </c>
      <c r="G38" s="460" t="s">
        <v>3171</v>
      </c>
      <c r="H38" s="435">
        <f>SUMIF(113:113,G38,114:114)-SUMIF(113:113,C38,114:114)+100</f>
        <v>105</v>
      </c>
      <c r="I38" s="460" t="s">
        <v>3171</v>
      </c>
      <c r="J38" s="435">
        <f>SUMIF(113:113,I38,114:114)-SUMIF(113:113,C38,114:114)+100</f>
        <v>105</v>
      </c>
      <c r="K38" s="612">
        <v>5</v>
      </c>
      <c r="L38" s="1134"/>
      <c r="M38" s="1135"/>
      <c r="N38" s="1135"/>
      <c r="O38" s="1135"/>
      <c r="P38" s="3246"/>
      <c r="Q38" s="1797" t="str">
        <f t="shared" si="11"/>
        <v>写字楼等级</v>
      </c>
      <c r="R38" s="770" t="s">
        <v>17</v>
      </c>
      <c r="S38" s="771">
        <f t="shared" si="12"/>
        <v>105</v>
      </c>
      <c r="T38" s="770" t="s">
        <v>17</v>
      </c>
      <c r="U38" s="771">
        <f t="shared" si="13"/>
        <v>105</v>
      </c>
      <c r="V38" s="770" t="s">
        <v>17</v>
      </c>
      <c r="W38" s="771">
        <f t="shared" si="14"/>
        <v>105</v>
      </c>
      <c r="X38" s="772"/>
      <c r="Y38" s="3248"/>
      <c r="Z38" s="55" t="str">
        <f t="shared" si="15"/>
        <v>写字楼等级</v>
      </c>
      <c r="AA38" s="773">
        <f t="shared" si="3"/>
        <v>0.95238095238095233</v>
      </c>
      <c r="AB38" s="773">
        <f t="shared" si="4"/>
        <v>0.95238095238095233</v>
      </c>
      <c r="AC38" s="2672">
        <f t="shared" si="5"/>
        <v>0.95238095238095233</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46" t="s">
        <v>2566</v>
      </c>
      <c r="Q39" s="1812" t="str">
        <f t="shared" si="11"/>
        <v>物业管理</v>
      </c>
      <c r="R39" s="774" t="s">
        <v>17</v>
      </c>
      <c r="S39" s="775">
        <f t="shared" si="12"/>
        <v>100</v>
      </c>
      <c r="T39" s="774" t="s">
        <v>17</v>
      </c>
      <c r="U39" s="775">
        <f t="shared" si="13"/>
        <v>100</v>
      </c>
      <c r="V39" s="774" t="s">
        <v>17</v>
      </c>
      <c r="W39" s="775">
        <f t="shared" si="14"/>
        <v>100</v>
      </c>
      <c r="X39" s="1815"/>
      <c r="Y39" s="3248" t="s">
        <v>2566</v>
      </c>
      <c r="Z39" s="1816" t="str">
        <f t="shared" si="15"/>
        <v>物业管理</v>
      </c>
      <c r="AA39" s="1813">
        <f t="shared" si="3"/>
        <v>1</v>
      </c>
      <c r="AB39" s="1813">
        <f t="shared" si="4"/>
        <v>1</v>
      </c>
      <c r="AC39" s="2675">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46"/>
      <c r="Q40" s="1812" t="str">
        <f t="shared" si="11"/>
        <v>市政基础设施</v>
      </c>
      <c r="R40" s="774" t="s">
        <v>17</v>
      </c>
      <c r="S40" s="775">
        <f t="shared" si="12"/>
        <v>100</v>
      </c>
      <c r="T40" s="774" t="s">
        <v>17</v>
      </c>
      <c r="U40" s="775">
        <f t="shared" si="13"/>
        <v>100</v>
      </c>
      <c r="V40" s="774" t="s">
        <v>17</v>
      </c>
      <c r="W40" s="775">
        <f t="shared" si="14"/>
        <v>100</v>
      </c>
      <c r="X40" s="1815"/>
      <c r="Y40" s="3248"/>
      <c r="Z40" s="1816" t="str">
        <f t="shared" si="15"/>
        <v>市政基础设施</v>
      </c>
      <c r="AA40" s="1813">
        <f t="shared" si="3"/>
        <v>1</v>
      </c>
      <c r="AB40" s="1813">
        <f t="shared" si="4"/>
        <v>1</v>
      </c>
      <c r="AC40" s="2675">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46"/>
      <c r="Q41" s="1812" t="str">
        <f t="shared" si="11"/>
        <v>层高</v>
      </c>
      <c r="R41" s="774" t="s">
        <v>17</v>
      </c>
      <c r="S41" s="775">
        <f t="shared" si="12"/>
        <v>100</v>
      </c>
      <c r="T41" s="774" t="s">
        <v>17</v>
      </c>
      <c r="U41" s="775">
        <f t="shared" si="13"/>
        <v>100</v>
      </c>
      <c r="V41" s="774" t="s">
        <v>17</v>
      </c>
      <c r="W41" s="775">
        <f t="shared" si="14"/>
        <v>100</v>
      </c>
      <c r="X41" s="1815"/>
      <c r="Y41" s="3248"/>
      <c r="Z41" s="1816" t="str">
        <f t="shared" si="15"/>
        <v>层高</v>
      </c>
      <c r="AA41" s="1813">
        <f t="shared" si="3"/>
        <v>1</v>
      </c>
      <c r="AB41" s="1813">
        <f t="shared" si="4"/>
        <v>1</v>
      </c>
      <c r="AC41" s="2675">
        <f t="shared" si="5"/>
        <v>1</v>
      </c>
    </row>
    <row r="42" spans="1:29" s="471" customFormat="1" ht="15">
      <c r="A42" s="468"/>
      <c r="B42" s="1814"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46"/>
      <c r="Q42" s="776" t="str">
        <f t="shared" si="11"/>
        <v>单套建筑面积</v>
      </c>
      <c r="R42" s="777" t="s">
        <v>17</v>
      </c>
      <c r="S42" s="778">
        <f t="shared" si="12"/>
        <v>100</v>
      </c>
      <c r="T42" s="777" t="s">
        <v>17</v>
      </c>
      <c r="U42" s="778">
        <f t="shared" si="13"/>
        <v>100</v>
      </c>
      <c r="V42" s="777" t="s">
        <v>17</v>
      </c>
      <c r="W42" s="778">
        <f t="shared" si="14"/>
        <v>100</v>
      </c>
      <c r="X42" s="779"/>
      <c r="Y42" s="3248"/>
      <c r="Z42" s="780" t="str">
        <f t="shared" si="15"/>
        <v>单套建筑面积</v>
      </c>
      <c r="AA42" s="1813">
        <f t="shared" si="3"/>
        <v>1</v>
      </c>
      <c r="AB42" s="1813">
        <f t="shared" si="4"/>
        <v>1</v>
      </c>
      <c r="AC42" s="2675">
        <f t="shared" si="5"/>
        <v>1</v>
      </c>
    </row>
    <row r="43" spans="1:29" ht="15">
      <c r="A43" s="472"/>
      <c r="B43" s="422" t="s">
        <v>2669</v>
      </c>
      <c r="C43" s="460" t="s">
        <v>3165</v>
      </c>
      <c r="D43" s="435">
        <v>100</v>
      </c>
      <c r="E43" s="460" t="s">
        <v>3163</v>
      </c>
      <c r="F43" s="461">
        <f>SUMIF(123:123,E43,124:124)-SUMIF(123:123,C43,124:124)+100</f>
        <v>103</v>
      </c>
      <c r="G43" s="460" t="s">
        <v>3163</v>
      </c>
      <c r="H43" s="435">
        <f>SUMIF(123:123,G43,124:124)-SUMIF(123:123,C43,124:124)+100</f>
        <v>103</v>
      </c>
      <c r="I43" s="460" t="s">
        <v>3167</v>
      </c>
      <c r="J43" s="435">
        <f>SUMIF(123:123,I43,124:124)-SUMIF(123:123,C43,124:124)+100</f>
        <v>97</v>
      </c>
      <c r="K43" s="612">
        <v>3</v>
      </c>
      <c r="L43" s="1142"/>
      <c r="M43" s="1133"/>
      <c r="N43" s="1133"/>
      <c r="O43" s="1133"/>
      <c r="P43" s="3246"/>
      <c r="Q43" s="1812" t="str">
        <f t="shared" si="11"/>
        <v>内部装修</v>
      </c>
      <c r="R43" s="774" t="s">
        <v>17</v>
      </c>
      <c r="S43" s="775">
        <f t="shared" si="12"/>
        <v>103</v>
      </c>
      <c r="T43" s="774" t="s">
        <v>17</v>
      </c>
      <c r="U43" s="775">
        <f t="shared" si="13"/>
        <v>103</v>
      </c>
      <c r="V43" s="774" t="s">
        <v>17</v>
      </c>
      <c r="W43" s="775">
        <f t="shared" si="14"/>
        <v>97</v>
      </c>
      <c r="X43" s="1815"/>
      <c r="Y43" s="3248"/>
      <c r="Z43" s="1816" t="str">
        <f t="shared" si="15"/>
        <v>内部装修</v>
      </c>
      <c r="AA43" s="1813">
        <f t="shared" si="3"/>
        <v>0.970873786407767</v>
      </c>
      <c r="AB43" s="1813">
        <f t="shared" si="4"/>
        <v>0.970873786407767</v>
      </c>
      <c r="AC43" s="2675">
        <f t="shared" si="5"/>
        <v>1.0309278350515463</v>
      </c>
    </row>
    <row r="44" spans="1:29" ht="15.75" thickBot="1">
      <c r="A44" s="472"/>
      <c r="B44" s="422" t="s">
        <v>2577</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2"/>
      <c r="M44" s="1133"/>
      <c r="N44" s="1133"/>
      <c r="O44" s="1133"/>
      <c r="P44" s="3246"/>
      <c r="Q44" s="1812" t="str">
        <f t="shared" si="11"/>
        <v>内部装修维护情况</v>
      </c>
      <c r="R44" s="774" t="s">
        <v>17</v>
      </c>
      <c r="S44" s="775">
        <f t="shared" si="12"/>
        <v>100</v>
      </c>
      <c r="T44" s="774" t="s">
        <v>17</v>
      </c>
      <c r="U44" s="775">
        <f t="shared" si="13"/>
        <v>100</v>
      </c>
      <c r="V44" s="774" t="s">
        <v>17</v>
      </c>
      <c r="W44" s="775">
        <f t="shared" si="14"/>
        <v>100</v>
      </c>
      <c r="X44" s="1815"/>
      <c r="Y44" s="3248"/>
      <c r="Z44" s="1816" t="str">
        <f t="shared" si="15"/>
        <v>内部装修维护情况</v>
      </c>
      <c r="AA44" s="1813">
        <f t="shared" si="3"/>
        <v>1</v>
      </c>
      <c r="AB44" s="1813">
        <f t="shared" si="4"/>
        <v>1</v>
      </c>
      <c r="AC44" s="2675">
        <f t="shared" si="5"/>
        <v>1</v>
      </c>
    </row>
    <row r="45" spans="1:29" s="117" customFormat="1" ht="15" hidden="1">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46"/>
      <c r="Q45" s="1797">
        <f t="shared" si="11"/>
        <v>111</v>
      </c>
      <c r="R45" s="770" t="s">
        <v>17</v>
      </c>
      <c r="S45" s="771">
        <f t="shared" si="12"/>
        <v>100</v>
      </c>
      <c r="T45" s="770" t="s">
        <v>17</v>
      </c>
      <c r="U45" s="771">
        <f t="shared" si="13"/>
        <v>100</v>
      </c>
      <c r="V45" s="770" t="s">
        <v>17</v>
      </c>
      <c r="W45" s="771">
        <f t="shared" si="14"/>
        <v>100</v>
      </c>
      <c r="X45" s="772"/>
      <c r="Y45" s="3248"/>
      <c r="Z45" s="55">
        <f t="shared" si="15"/>
        <v>111</v>
      </c>
      <c r="AA45" s="773">
        <f t="shared" si="3"/>
        <v>1</v>
      </c>
      <c r="AB45" s="773">
        <f t="shared" si="4"/>
        <v>1</v>
      </c>
      <c r="AC45" s="2672">
        <f t="shared" si="5"/>
        <v>1</v>
      </c>
    </row>
    <row r="46" spans="1:29" ht="15" hidden="1">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46"/>
      <c r="Q46" s="1812">
        <f t="shared" si="11"/>
        <v>111</v>
      </c>
      <c r="R46" s="774" t="s">
        <v>17</v>
      </c>
      <c r="S46" s="775">
        <f t="shared" si="12"/>
        <v>100</v>
      </c>
      <c r="T46" s="774" t="s">
        <v>17</v>
      </c>
      <c r="U46" s="775">
        <f t="shared" si="13"/>
        <v>100</v>
      </c>
      <c r="V46" s="774" t="s">
        <v>17</v>
      </c>
      <c r="W46" s="775">
        <f t="shared" si="14"/>
        <v>100</v>
      </c>
      <c r="X46" s="1815"/>
      <c r="Y46" s="3248"/>
      <c r="Z46" s="1816">
        <f t="shared" si="15"/>
        <v>111</v>
      </c>
      <c r="AA46" s="1813">
        <f t="shared" si="3"/>
        <v>1</v>
      </c>
      <c r="AB46" s="1813">
        <f t="shared" si="4"/>
        <v>1</v>
      </c>
      <c r="AC46" s="2675">
        <f t="shared" si="5"/>
        <v>1</v>
      </c>
    </row>
    <row r="47" spans="1:29" ht="15.75" hidden="1"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47"/>
      <c r="Q47" s="1812">
        <f t="shared" si="11"/>
        <v>111</v>
      </c>
      <c r="R47" s="774" t="s">
        <v>17</v>
      </c>
      <c r="S47" s="775">
        <f t="shared" si="12"/>
        <v>100</v>
      </c>
      <c r="T47" s="774" t="s">
        <v>17</v>
      </c>
      <c r="U47" s="775">
        <f t="shared" si="13"/>
        <v>100</v>
      </c>
      <c r="V47" s="774" t="s">
        <v>17</v>
      </c>
      <c r="W47" s="775">
        <f t="shared" si="14"/>
        <v>100</v>
      </c>
      <c r="X47" s="1815"/>
      <c r="Y47" s="3249"/>
      <c r="Z47" s="1816">
        <f t="shared" si="15"/>
        <v>111</v>
      </c>
      <c r="AA47" s="1813">
        <f t="shared" si="3"/>
        <v>1</v>
      </c>
      <c r="AB47" s="1813">
        <f t="shared" si="4"/>
        <v>1</v>
      </c>
      <c r="AC47" s="2675">
        <f t="shared" si="5"/>
        <v>1</v>
      </c>
    </row>
    <row r="48" spans="1:29" ht="15">
      <c r="A48" s="479" t="s">
        <v>2578</v>
      </c>
      <c r="B48" s="480"/>
      <c r="C48" s="1409" t="s">
        <v>1</v>
      </c>
      <c r="D48" s="1410"/>
      <c r="E48" s="1411">
        <v>33000</v>
      </c>
      <c r="F48" s="1412"/>
      <c r="G48" s="1413">
        <v>31500</v>
      </c>
      <c r="H48" s="1414"/>
      <c r="I48" s="1411">
        <v>33333</v>
      </c>
      <c r="J48" s="485"/>
      <c r="K48" s="783"/>
      <c r="L48" s="1145"/>
      <c r="M48" s="1133"/>
      <c r="N48" s="1133"/>
      <c r="O48" s="1133"/>
      <c r="P48" s="3220" t="str">
        <f>A48</f>
        <v>成交单价（元/平方米）</v>
      </c>
      <c r="Q48" s="3250"/>
      <c r="R48" s="3251">
        <f>E48</f>
        <v>33000</v>
      </c>
      <c r="S48" s="3251"/>
      <c r="T48" s="3251">
        <f>G48</f>
        <v>31500</v>
      </c>
      <c r="U48" s="3251"/>
      <c r="V48" s="3251">
        <f>I48</f>
        <v>33333</v>
      </c>
      <c r="W48" s="3251"/>
      <c r="X48" s="446"/>
      <c r="Y48" s="781"/>
      <c r="Z48" s="446"/>
      <c r="AA48" s="446"/>
      <c r="AB48" s="446"/>
      <c r="AC48" s="630"/>
    </row>
    <row r="49" spans="1:29" ht="15.75" thickBot="1">
      <c r="A49" s="486" t="s">
        <v>2670</v>
      </c>
      <c r="B49" s="487"/>
      <c r="C49" s="1415">
        <f>R50</f>
        <v>33302</v>
      </c>
      <c r="D49" s="1416"/>
      <c r="E49" s="1417">
        <f>R49</f>
        <v>32775</v>
      </c>
      <c r="F49" s="1417"/>
      <c r="G49" s="1415">
        <f>T49</f>
        <v>33023</v>
      </c>
      <c r="H49" s="1416"/>
      <c r="I49" s="1417">
        <f>V49</f>
        <v>34109</v>
      </c>
      <c r="J49" s="489"/>
      <c r="K49" s="784"/>
      <c r="L49" s="1145"/>
      <c r="M49" s="1133"/>
      <c r="N49" s="1133"/>
      <c r="O49" s="1133"/>
      <c r="P49" s="3220" t="str">
        <f>A49</f>
        <v>比较价值（元/平方米）</v>
      </c>
      <c r="Q49" s="3250"/>
      <c r="R49" s="3251">
        <f>IF(F1="售价",ROUND(PRODUCT(R48,AA7:AA47),0),ROUND(PRODUCT(R48,AA7:AA47),1))</f>
        <v>32775</v>
      </c>
      <c r="S49" s="3251"/>
      <c r="T49" s="3251">
        <f>IF(F1="售价",ROUND(PRODUCT(T48,AB7:AB47),0),ROUND(PRODUCT(T48,AB7:AB47),1))</f>
        <v>33023</v>
      </c>
      <c r="U49" s="3251"/>
      <c r="V49" s="3251">
        <f>IF(F1="售价",ROUND(PRODUCT(V48,AC7:AC47),0),ROUND(PRODUCT(V48,AC7:AC47),1))</f>
        <v>34109</v>
      </c>
      <c r="W49" s="3251"/>
      <c r="X49" s="446"/>
      <c r="Y49" s="446"/>
      <c r="Z49" s="446"/>
      <c r="AA49" s="446"/>
      <c r="AB49" s="446"/>
      <c r="AC49" s="630"/>
    </row>
    <row r="50" spans="1:29" ht="15.75" thickBot="1">
      <c r="A50" s="492" t="s">
        <v>2671</v>
      </c>
      <c r="B50" s="493"/>
      <c r="C50" s="1419">
        <f>R50</f>
        <v>33302</v>
      </c>
      <c r="D50" s="1419"/>
      <c r="E50" s="1419"/>
      <c r="F50" s="1419"/>
      <c r="G50" s="1419"/>
      <c r="H50" s="1419"/>
      <c r="I50" s="1419"/>
      <c r="J50" s="494"/>
      <c r="K50" s="785"/>
      <c r="L50" s="1145"/>
      <c r="M50" s="1133"/>
      <c r="N50" s="1133"/>
      <c r="O50" s="1133"/>
      <c r="P50" s="3252" t="str">
        <f>A50</f>
        <v>估价对象XX用房的比较价值（楼面单价，元/平方米）</v>
      </c>
      <c r="Q50" s="3253"/>
      <c r="R50" s="3254">
        <f>IF(F1="售价",ROUND(AVERAGE(R49:V49),0),ROUND(AVERAGE(R49:V49),1))</f>
        <v>33302</v>
      </c>
      <c r="S50" s="3254"/>
      <c r="T50" s="3254"/>
      <c r="U50" s="3254"/>
      <c r="V50" s="3254"/>
      <c r="W50" s="3254"/>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2672</v>
      </c>
      <c r="D53" s="498"/>
      <c r="E53" s="499">
        <f>IF(E48&lt;E49,E49/E48-1,E48/E49-1)</f>
        <v>6.8649885583524917E-3</v>
      </c>
      <c r="F53" s="500" t="str">
        <f>IF(OR(E53&gt;=0.3,E53&lt;=-0.3),"超过30%","")</f>
        <v/>
      </c>
      <c r="G53" s="499">
        <f>IF(G48&lt;G49,G49/G48-1,G48/G49-1)</f>
        <v>4.8349206349206364E-2</v>
      </c>
      <c r="H53" s="500" t="str">
        <f>IF(OR(G53&gt;=0.3,G53&lt;=-0.3),"超过30%","")</f>
        <v/>
      </c>
      <c r="I53" s="499">
        <f>IF(I48&lt;I49,I49/I48-1,I48/I49-1)</f>
        <v>2.3280232802328049E-2</v>
      </c>
      <c r="J53" s="500" t="str">
        <f>IF(OR(I53&gt;=0.3,I53&lt;=-0.3),"超过30%","")</f>
        <v/>
      </c>
      <c r="K53" s="1107"/>
      <c r="L53" s="1108"/>
      <c r="M53" s="1146"/>
      <c r="N53" s="1146"/>
      <c r="O53" s="1146"/>
    </row>
    <row r="54" spans="1:29" ht="13.5" customHeight="1">
      <c r="A54" s="1146"/>
      <c r="B54" s="1146"/>
      <c r="C54" s="497" t="s">
        <v>2673</v>
      </c>
      <c r="D54" s="501"/>
      <c r="E54" s="499">
        <f>IF(E49&lt;G49,G49/E49-1,E49/G49-1)</f>
        <v>7.5667429443173617E-3</v>
      </c>
      <c r="F54" s="500" t="str">
        <f>IF(OR(E54&gt;=0.2,E54&lt;=-0.2),"超过20%","")</f>
        <v/>
      </c>
      <c r="G54" s="499">
        <f>IF(G49&lt;I49,I49/G49-1,G49/I49-1)</f>
        <v>3.288617024498075E-2</v>
      </c>
      <c r="H54" s="500" t="str">
        <f>IF(OR(G54&gt;=0.2,G54&lt;=-0.2),"超过20%","")</f>
        <v/>
      </c>
      <c r="I54" s="499">
        <f>IF(I49&lt;E49,E49/I49-1,I49/E49-1)</f>
        <v>4.0701754385964906E-2</v>
      </c>
      <c r="J54" s="500" t="str">
        <f>IF(OR(I54&gt;=0.2,I54&lt;=-0.2),"超过20%","")</f>
        <v/>
      </c>
      <c r="K54" s="1107"/>
      <c r="L54" s="1108"/>
      <c r="M54" s="1146"/>
      <c r="N54" s="1146"/>
      <c r="O54" s="1146"/>
    </row>
    <row r="55" spans="1:29" s="502" customFormat="1" ht="13.5" customHeight="1">
      <c r="A55" s="1147"/>
      <c r="B55" s="1147"/>
      <c r="C55" s="497" t="s">
        <v>2674</v>
      </c>
      <c r="D55" s="501"/>
      <c r="E55" s="499">
        <f>IF(E48&lt;G48,G48/E48-1,E48/G48-1)</f>
        <v>4.7619047619047672E-2</v>
      </c>
      <c r="F55" s="500" t="str">
        <f>IF(OR(E55&gt;=0.3,E55&lt;=-0.3),"超过30%","")</f>
        <v/>
      </c>
      <c r="G55" s="499">
        <f>IF(G48&lt;I48,I48/G48-1,G48/I48-1)</f>
        <v>5.8190476190476126E-2</v>
      </c>
      <c r="H55" s="500" t="str">
        <f>IF(OR(G55&gt;=0.3,G55&lt;=-0.3),"超过30%","")</f>
        <v/>
      </c>
      <c r="I55" s="499">
        <f>IF(I48&lt;E48,E48/I48-1,I48/E48-1)</f>
        <v>1.009090909090915E-2</v>
      </c>
      <c r="J55" s="500" t="str">
        <f>IF(OR(I55&gt;=0.3,I55&lt;=-0.3),"超过30%","")</f>
        <v/>
      </c>
      <c r="K55" s="1150"/>
      <c r="L55" s="1151"/>
      <c r="M55" s="1147"/>
      <c r="N55" s="1147"/>
      <c r="O55" s="1147"/>
      <c r="P55" s="2681"/>
    </row>
    <row r="56" spans="1:29" s="502"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3" t="s">
        <v>2675</v>
      </c>
      <c r="B58" s="759"/>
      <c r="C58" s="764"/>
      <c r="D58" s="764"/>
      <c r="E58" s="764"/>
      <c r="F58" s="765"/>
      <c r="G58" s="765"/>
      <c r="H58" s="764"/>
      <c r="I58" s="764"/>
      <c r="J58" s="764"/>
      <c r="K58" s="766"/>
      <c r="L58" s="1163"/>
      <c r="M58" s="1161"/>
      <c r="N58" s="1161"/>
      <c r="O58" s="1161"/>
      <c r="P58" s="2682"/>
      <c r="Q58" s="504"/>
    </row>
    <row r="59" spans="1:29" s="508" customFormat="1" ht="15">
      <c r="A59" s="505" t="s">
        <v>2549</v>
      </c>
      <c r="B59" s="506"/>
      <c r="C59" s="1576" t="str">
        <f>YEAR(C7)&amp;"-"&amp;MONTH(C7)</f>
        <v>2017-12</v>
      </c>
      <c r="D59" s="1577">
        <f>EDATE(C59,-1)</f>
        <v>43040</v>
      </c>
      <c r="E59" s="1577">
        <f>EDATE(D59,-1)</f>
        <v>43009</v>
      </c>
      <c r="F59" s="1577">
        <f t="shared" ref="F59:O59" si="16">EDATE(E59,-1)</f>
        <v>42979</v>
      </c>
      <c r="G59" s="1577">
        <f t="shared" si="16"/>
        <v>42948</v>
      </c>
      <c r="H59" s="1577">
        <f t="shared" si="16"/>
        <v>42917</v>
      </c>
      <c r="I59" s="1577">
        <f t="shared" si="16"/>
        <v>42887</v>
      </c>
      <c r="J59" s="1577">
        <f t="shared" si="16"/>
        <v>42856</v>
      </c>
      <c r="K59" s="1577">
        <f t="shared" si="16"/>
        <v>42826</v>
      </c>
      <c r="L59" s="1577">
        <f t="shared" si="16"/>
        <v>42795</v>
      </c>
      <c r="M59" s="1577">
        <f t="shared" si="16"/>
        <v>42767</v>
      </c>
      <c r="N59" s="1577">
        <f t="shared" si="16"/>
        <v>42736</v>
      </c>
      <c r="O59" s="1577">
        <f t="shared" si="16"/>
        <v>42705</v>
      </c>
      <c r="P59" s="1573"/>
    </row>
    <row r="60" spans="1:29" s="117" customFormat="1" ht="15">
      <c r="A60" s="509"/>
      <c r="B60" s="510"/>
      <c r="C60" s="1575">
        <v>100</v>
      </c>
      <c r="D60" s="512"/>
      <c r="E60" s="512"/>
      <c r="F60" s="512"/>
      <c r="G60" s="512"/>
      <c r="H60" s="512"/>
      <c r="I60" s="512"/>
      <c r="J60" s="512"/>
      <c r="K60" s="512"/>
      <c r="L60" s="512"/>
      <c r="M60" s="513"/>
      <c r="N60" s="512"/>
      <c r="O60" s="513"/>
      <c r="P60" s="2683"/>
    </row>
    <row r="61" spans="1:29" s="117" customFormat="1" ht="15.75" thickBot="1">
      <c r="A61" s="515" t="s">
        <v>2586</v>
      </c>
      <c r="B61" s="516"/>
      <c r="C61" s="517"/>
      <c r="D61" s="518"/>
      <c r="E61" s="518"/>
      <c r="F61" s="518"/>
      <c r="G61" s="518"/>
      <c r="H61" s="518"/>
      <c r="I61" s="518"/>
      <c r="J61" s="518"/>
      <c r="K61" s="518"/>
      <c r="L61" s="518"/>
      <c r="M61" s="519"/>
      <c r="N61" s="518"/>
      <c r="O61" s="519"/>
      <c r="P61" s="2683"/>
      <c r="Q61" s="504"/>
    </row>
    <row r="62" spans="1:29" s="117" customFormat="1" ht="15">
      <c r="A62" s="521" t="s">
        <v>2551</v>
      </c>
      <c r="B62" s="510"/>
      <c r="C62" s="522" t="s">
        <v>2653</v>
      </c>
      <c r="D62" s="523"/>
      <c r="E62" s="523"/>
      <c r="F62" s="523"/>
      <c r="G62" s="523"/>
      <c r="H62" s="523"/>
      <c r="I62" s="523"/>
      <c r="J62" s="523"/>
      <c r="K62" s="523"/>
      <c r="L62" s="524"/>
      <c r="M62" s="525"/>
      <c r="N62" s="1153"/>
      <c r="O62" s="1153"/>
      <c r="P62" s="2684"/>
      <c r="Q62" s="504"/>
    </row>
    <row r="63" spans="1:29" s="117" customFormat="1" ht="15.75" thickBot="1">
      <c r="A63" s="521"/>
      <c r="B63" s="510"/>
      <c r="C63" s="511">
        <v>100</v>
      </c>
      <c r="D63" s="512"/>
      <c r="E63" s="512"/>
      <c r="F63" s="512"/>
      <c r="G63" s="512"/>
      <c r="H63" s="512"/>
      <c r="I63" s="512"/>
      <c r="J63" s="512"/>
      <c r="K63" s="512"/>
      <c r="L63" s="512"/>
      <c r="M63" s="514"/>
      <c r="N63" s="1153"/>
      <c r="O63" s="1153"/>
      <c r="P63" s="2683"/>
      <c r="Q63" s="504"/>
    </row>
    <row r="64" spans="1:29">
      <c r="A64" s="527" t="s">
        <v>2589</v>
      </c>
      <c r="B64" s="528" t="s">
        <v>2555</v>
      </c>
      <c r="C64" s="529" t="str">
        <f>C9</f>
        <v>办公</v>
      </c>
      <c r="D64" s="530"/>
      <c r="E64" s="530"/>
      <c r="F64" s="530"/>
      <c r="G64" s="530"/>
      <c r="H64" s="530"/>
      <c r="I64" s="530"/>
      <c r="J64" s="530"/>
      <c r="K64" s="531"/>
      <c r="L64" s="532"/>
      <c r="M64" s="533"/>
      <c r="N64" s="1154"/>
      <c r="O64" s="1154"/>
      <c r="P64" s="2685"/>
      <c r="Q64" s="504"/>
    </row>
    <row r="65" spans="1:17" ht="15.75" thickBot="1">
      <c r="A65" s="534"/>
      <c r="B65" s="535"/>
      <c r="C65" s="536">
        <v>100</v>
      </c>
      <c r="D65" s="536"/>
      <c r="E65" s="536"/>
      <c r="F65" s="536"/>
      <c r="G65" s="536"/>
      <c r="H65" s="536"/>
      <c r="I65" s="536"/>
      <c r="J65" s="536"/>
      <c r="K65" s="536"/>
      <c r="L65" s="536"/>
      <c r="M65" s="537"/>
      <c r="N65" s="1155"/>
      <c r="O65" s="1155"/>
      <c r="P65" s="2685"/>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4"/>
      <c r="O66" s="1154"/>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5"/>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5"/>
      <c r="O68" s="1155"/>
      <c r="P68" s="2685"/>
      <c r="Q68" s="504"/>
    </row>
    <row r="69" spans="1:17" ht="15">
      <c r="A69" s="534"/>
      <c r="B69" s="548"/>
      <c r="C69" s="549">
        <v>0</v>
      </c>
      <c r="D69" s="549">
        <v>1</v>
      </c>
      <c r="E69" s="549">
        <v>2</v>
      </c>
      <c r="F69" s="549">
        <v>3</v>
      </c>
      <c r="G69" s="549">
        <v>4</v>
      </c>
      <c r="H69" s="549">
        <v>5</v>
      </c>
      <c r="I69" s="549">
        <v>6</v>
      </c>
      <c r="J69" s="549">
        <v>7</v>
      </c>
      <c r="K69" s="550">
        <v>8</v>
      </c>
      <c r="L69" s="550">
        <v>9</v>
      </c>
      <c r="M69" s="552">
        <v>10</v>
      </c>
      <c r="N69" s="1154"/>
      <c r="O69" s="1154"/>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5"/>
      <c r="Q70" s="504"/>
    </row>
    <row r="71" spans="1:17" s="471" customFormat="1" ht="15.75" thickTop="1">
      <c r="A71" s="553"/>
      <c r="B71" s="538">
        <f>B12</f>
        <v>111</v>
      </c>
      <c r="C71" s="554"/>
      <c r="D71" s="554"/>
      <c r="E71" s="554"/>
      <c r="F71" s="554"/>
      <c r="G71" s="554"/>
      <c r="H71" s="555"/>
      <c r="I71" s="555"/>
      <c r="J71" s="555"/>
      <c r="K71" s="555"/>
      <c r="L71" s="556"/>
      <c r="M71" s="557"/>
      <c r="N71" s="1156"/>
      <c r="O71" s="1156"/>
      <c r="P71" s="2686"/>
      <c r="Q71" s="559"/>
    </row>
    <row r="72" spans="1:17" s="471" customFormat="1" ht="15.75" thickBot="1">
      <c r="A72" s="553"/>
      <c r="B72" s="543"/>
      <c r="C72" s="560"/>
      <c r="D72" s="536"/>
      <c r="E72" s="536"/>
      <c r="F72" s="536"/>
      <c r="G72" s="536"/>
      <c r="H72" s="536"/>
      <c r="I72" s="536"/>
      <c r="J72" s="536"/>
      <c r="K72" s="536"/>
      <c r="L72" s="536"/>
      <c r="M72" s="537"/>
      <c r="N72" s="1155"/>
      <c r="O72" s="1155"/>
      <c r="P72" s="2686"/>
      <c r="Q72" s="559"/>
    </row>
    <row r="73" spans="1:17" s="471" customFormat="1" ht="15.75" thickTop="1">
      <c r="A73" s="553"/>
      <c r="B73" s="538">
        <f>B13</f>
        <v>111</v>
      </c>
      <c r="C73" s="554"/>
      <c r="D73" s="554"/>
      <c r="E73" s="554"/>
      <c r="F73" s="554"/>
      <c r="G73" s="554"/>
      <c r="H73" s="555"/>
      <c r="I73" s="555"/>
      <c r="J73" s="555"/>
      <c r="K73" s="555"/>
      <c r="L73" s="556"/>
      <c r="M73" s="557"/>
      <c r="N73" s="1156"/>
      <c r="O73" s="1156"/>
      <c r="P73" s="2687"/>
      <c r="Q73" s="561"/>
    </row>
    <row r="74" spans="1:17" s="471" customFormat="1" ht="15.75" thickBot="1">
      <c r="A74" s="553"/>
      <c r="B74" s="543"/>
      <c r="C74" s="560"/>
      <c r="D74" s="560"/>
      <c r="E74" s="560"/>
      <c r="F74" s="560"/>
      <c r="G74" s="560"/>
      <c r="H74" s="562"/>
      <c r="I74" s="562"/>
      <c r="J74" s="562"/>
      <c r="K74" s="562"/>
      <c r="L74" s="562"/>
      <c r="M74" s="563"/>
      <c r="N74" s="1156"/>
      <c r="O74" s="1156"/>
      <c r="P74" s="2686"/>
      <c r="Q74" s="559"/>
    </row>
    <row r="75" spans="1:17" s="471" customFormat="1" ht="15.75" thickTop="1">
      <c r="A75" s="553"/>
      <c r="B75" s="546">
        <f>B14</f>
        <v>111</v>
      </c>
      <c r="C75" s="523"/>
      <c r="D75" s="523"/>
      <c r="E75" s="523"/>
      <c r="F75" s="523"/>
      <c r="G75" s="523"/>
      <c r="H75" s="564"/>
      <c r="I75" s="564"/>
      <c r="J75" s="564"/>
      <c r="K75" s="564"/>
      <c r="L75" s="565"/>
      <c r="M75" s="566"/>
      <c r="N75" s="1156"/>
      <c r="O75" s="1156"/>
      <c r="P75" s="2688"/>
      <c r="Q75" s="559"/>
    </row>
    <row r="76" spans="1:17" s="471" customFormat="1" ht="15.75" thickBot="1">
      <c r="A76" s="568"/>
      <c r="B76" s="569"/>
      <c r="C76" s="570"/>
      <c r="D76" s="570"/>
      <c r="E76" s="570"/>
      <c r="F76" s="570"/>
      <c r="G76" s="570"/>
      <c r="H76" s="571"/>
      <c r="I76" s="571"/>
      <c r="J76" s="571"/>
      <c r="K76" s="571"/>
      <c r="L76" s="571"/>
      <c r="M76" s="572"/>
      <c r="N76" s="1156"/>
      <c r="O76" s="1156"/>
      <c r="P76" s="2686"/>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4"/>
      <c r="O77" s="1154"/>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5"/>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4"/>
      <c r="O79" s="1154"/>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5"/>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4"/>
      <c r="O81" s="1154"/>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5"/>
      <c r="Q82" s="504"/>
    </row>
    <row r="83" spans="1:17" ht="15.75" thickTop="1">
      <c r="A83" s="534"/>
      <c r="B83" s="546" t="s">
        <v>2690</v>
      </c>
      <c r="C83" s="660" t="s">
        <v>2676</v>
      </c>
      <c r="D83" s="660" t="s">
        <v>2677</v>
      </c>
      <c r="E83" s="660" t="s">
        <v>2678</v>
      </c>
      <c r="F83" s="660" t="s">
        <v>2679</v>
      </c>
      <c r="G83" s="660" t="s">
        <v>2680</v>
      </c>
      <c r="H83" s="539"/>
      <c r="I83" s="539"/>
      <c r="J83" s="539"/>
      <c r="K83" s="539"/>
      <c r="L83" s="539"/>
      <c r="M83" s="1384"/>
      <c r="N83" s="1155"/>
      <c r="O83" s="1155"/>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5"/>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4"/>
      <c r="O85" s="1154"/>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5"/>
      <c r="Q86" s="504"/>
    </row>
    <row r="87" spans="1:17" s="117" customFormat="1" ht="27.75" thickTop="1">
      <c r="A87" s="579"/>
      <c r="B87" s="538" t="s">
        <v>2700</v>
      </c>
      <c r="C87" s="2991" t="s">
        <v>3142</v>
      </c>
      <c r="D87" s="2991" t="s">
        <v>3144</v>
      </c>
      <c r="E87" s="2991" t="s">
        <v>3145</v>
      </c>
      <c r="F87" s="2991" t="s">
        <v>3146</v>
      </c>
      <c r="G87" s="554"/>
      <c r="H87" s="554"/>
      <c r="I87" s="554"/>
      <c r="J87" s="554"/>
      <c r="K87" s="554"/>
      <c r="L87" s="580"/>
      <c r="M87" s="581"/>
      <c r="N87" s="1153"/>
      <c r="O87" s="1153"/>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5"/>
      <c r="Q88" s="504"/>
    </row>
    <row r="89" spans="1:17" s="117" customFormat="1" ht="15.75" thickTop="1">
      <c r="A89" s="579"/>
      <c r="B89" s="538" t="str">
        <f>B27</f>
        <v>楼层</v>
      </c>
      <c r="C89" s="2991" t="s">
        <v>3149</v>
      </c>
      <c r="D89" s="2991" t="s">
        <v>3151</v>
      </c>
      <c r="E89" s="2991" t="s">
        <v>3162</v>
      </c>
      <c r="F89" s="2636"/>
      <c r="G89" s="554"/>
      <c r="H89" s="554"/>
      <c r="I89" s="554"/>
      <c r="J89" s="554"/>
      <c r="K89" s="554"/>
      <c r="L89" s="554"/>
      <c r="M89" s="581"/>
      <c r="N89" s="1153"/>
      <c r="O89" s="1153"/>
      <c r="P89" s="2685"/>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5"/>
      <c r="O90" s="1155"/>
      <c r="P90" s="2685"/>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6"/>
      <c r="Q92" s="559"/>
    </row>
    <row r="93" spans="1:17" ht="15.75" thickTop="1">
      <c r="A93" s="534"/>
      <c r="B93" s="538">
        <f>B29</f>
        <v>111</v>
      </c>
      <c r="C93" s="554"/>
      <c r="D93" s="554"/>
      <c r="E93" s="554"/>
      <c r="F93" s="554"/>
      <c r="G93" s="554"/>
      <c r="H93" s="554"/>
      <c r="I93" s="554"/>
      <c r="J93" s="554"/>
      <c r="K93" s="554"/>
      <c r="L93" s="580"/>
      <c r="M93" s="581"/>
      <c r="N93" s="1154"/>
      <c r="O93" s="1154"/>
      <c r="P93" s="2685"/>
      <c r="Q93" s="504"/>
    </row>
    <row r="94" spans="1:17" ht="15.75" thickBot="1">
      <c r="A94" s="534"/>
      <c r="B94" s="543"/>
      <c r="C94" s="560"/>
      <c r="D94" s="536"/>
      <c r="E94" s="536"/>
      <c r="F94" s="536"/>
      <c r="G94" s="536"/>
      <c r="H94" s="536"/>
      <c r="I94" s="536"/>
      <c r="J94" s="536"/>
      <c r="K94" s="536"/>
      <c r="L94" s="536"/>
      <c r="M94" s="537"/>
      <c r="N94" s="1155"/>
      <c r="O94" s="1155"/>
      <c r="P94" s="2685"/>
      <c r="Q94" s="504"/>
    </row>
    <row r="95" spans="1:17" ht="15.75" thickTop="1">
      <c r="A95" s="534"/>
      <c r="B95" s="538">
        <f>B30</f>
        <v>111</v>
      </c>
      <c r="C95" s="554"/>
      <c r="D95" s="554"/>
      <c r="E95" s="554"/>
      <c r="F95" s="554"/>
      <c r="G95" s="583"/>
      <c r="H95" s="583"/>
      <c r="I95" s="583"/>
      <c r="J95" s="583"/>
      <c r="K95" s="584"/>
      <c r="L95" s="585"/>
      <c r="M95" s="586"/>
      <c r="N95" s="1154"/>
      <c r="O95" s="1154"/>
      <c r="P95" s="2685"/>
      <c r="Q95" s="504"/>
    </row>
    <row r="96" spans="1:17" ht="15.75" thickBot="1">
      <c r="A96" s="534"/>
      <c r="B96" s="543"/>
      <c r="C96" s="560"/>
      <c r="D96" s="560"/>
      <c r="E96" s="560"/>
      <c r="F96" s="560"/>
      <c r="G96" s="536"/>
      <c r="H96" s="536"/>
      <c r="I96" s="536"/>
      <c r="J96" s="536"/>
      <c r="K96" s="536"/>
      <c r="L96" s="536"/>
      <c r="M96" s="537"/>
      <c r="N96" s="1155"/>
      <c r="O96" s="1155"/>
      <c r="P96" s="2685"/>
      <c r="Q96" s="504"/>
    </row>
    <row r="97" spans="1:17" ht="15.75" thickTop="1">
      <c r="A97" s="534"/>
      <c r="B97" s="538">
        <f>B31</f>
        <v>111</v>
      </c>
      <c r="C97" s="554"/>
      <c r="D97" s="554"/>
      <c r="E97" s="554"/>
      <c r="F97" s="554"/>
      <c r="G97" s="583"/>
      <c r="H97" s="583"/>
      <c r="I97" s="583"/>
      <c r="J97" s="583"/>
      <c r="K97" s="584"/>
      <c r="L97" s="585"/>
      <c r="M97" s="586"/>
      <c r="N97" s="1154"/>
      <c r="O97" s="1154"/>
      <c r="P97" s="2685"/>
      <c r="Q97" s="504"/>
    </row>
    <row r="98" spans="1:17" ht="15.75" thickBot="1">
      <c r="A98" s="534"/>
      <c r="B98" s="543"/>
      <c r="C98" s="560"/>
      <c r="D98" s="536"/>
      <c r="E98" s="536"/>
      <c r="F98" s="536"/>
      <c r="G98" s="536"/>
      <c r="H98" s="536"/>
      <c r="I98" s="536"/>
      <c r="J98" s="536"/>
      <c r="K98" s="536"/>
      <c r="L98" s="536"/>
      <c r="M98" s="537"/>
      <c r="N98" s="1155"/>
      <c r="O98" s="1155"/>
      <c r="P98" s="2685"/>
      <c r="Q98" s="504"/>
    </row>
    <row r="99" spans="1:17" ht="15.75" thickTop="1">
      <c r="A99" s="534"/>
      <c r="B99" s="546">
        <f>B32</f>
        <v>111</v>
      </c>
      <c r="C99" s="523"/>
      <c r="D99" s="523"/>
      <c r="E99" s="523"/>
      <c r="F99" s="523"/>
      <c r="G99" s="587"/>
      <c r="H99" s="587"/>
      <c r="I99" s="587"/>
      <c r="J99" s="587"/>
      <c r="K99" s="588"/>
      <c r="L99" s="589"/>
      <c r="M99" s="590"/>
      <c r="N99" s="1154"/>
      <c r="O99" s="1154"/>
      <c r="P99" s="2685"/>
      <c r="Q99" s="504"/>
    </row>
    <row r="100" spans="1:17" ht="15.75" thickBot="1">
      <c r="A100" s="2637"/>
      <c r="B100" s="569"/>
      <c r="C100" s="570"/>
      <c r="D100" s="570"/>
      <c r="E100" s="570"/>
      <c r="F100" s="570"/>
      <c r="G100" s="591"/>
      <c r="H100" s="591"/>
      <c r="I100" s="591"/>
      <c r="J100" s="591"/>
      <c r="K100" s="591"/>
      <c r="L100" s="591"/>
      <c r="M100" s="592"/>
      <c r="N100" s="1155"/>
      <c r="O100" s="1155"/>
      <c r="P100" s="2685"/>
      <c r="Q100" s="504"/>
    </row>
    <row r="101" spans="1:17">
      <c r="A101" s="527" t="s">
        <v>2564</v>
      </c>
      <c r="B101" s="528" t="s">
        <v>2613</v>
      </c>
      <c r="C101" s="530"/>
      <c r="D101" s="530"/>
      <c r="E101" s="530"/>
      <c r="F101" s="530"/>
      <c r="G101" s="530"/>
      <c r="H101" s="530"/>
      <c r="I101" s="530"/>
      <c r="J101" s="530"/>
      <c r="K101" s="531"/>
      <c r="L101" s="532"/>
      <c r="M101" s="533"/>
      <c r="N101" s="1154"/>
      <c r="O101" s="1154"/>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5"/>
      <c r="Q102" s="504"/>
    </row>
    <row r="103" spans="1:17" ht="15.75" thickTop="1">
      <c r="A103" s="534"/>
      <c r="B103" s="538" t="s">
        <v>2614</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v>
      </c>
      <c r="I103" s="578" t="str">
        <f t="shared" si="23"/>
        <v>(含)-</v>
      </c>
      <c r="J103" s="578" t="str">
        <f t="shared" si="23"/>
        <v>(含)-</v>
      </c>
      <c r="K103" s="578" t="str">
        <f t="shared" si="23"/>
        <v>(含)-</v>
      </c>
      <c r="L103" s="578" t="str">
        <f t="shared" si="23"/>
        <v>(含)-</v>
      </c>
      <c r="M103" s="622" t="str">
        <f>M104&amp;"(含)"&amp;"-"&amp;P104</f>
        <v>(含)-</v>
      </c>
      <c r="N103" s="1153"/>
      <c r="O103" s="1153"/>
      <c r="P103" s="2685"/>
      <c r="Q103" s="504"/>
    </row>
    <row r="104" spans="1:17" s="471" customFormat="1">
      <c r="A104" s="593"/>
      <c r="B104" s="594"/>
      <c r="C104" s="595">
        <v>0</v>
      </c>
      <c r="D104" s="595">
        <v>300</v>
      </c>
      <c r="E104" s="595">
        <v>600</v>
      </c>
      <c r="F104" s="595">
        <v>900</v>
      </c>
      <c r="G104" s="595">
        <v>1200</v>
      </c>
      <c r="H104" s="595">
        <v>1500</v>
      </c>
      <c r="I104" s="595"/>
      <c r="J104" s="596"/>
      <c r="K104" s="596"/>
      <c r="L104" s="597"/>
      <c r="M104" s="598"/>
      <c r="N104" s="1156"/>
      <c r="O104" s="1156"/>
      <c r="P104" s="2686"/>
      <c r="Q104" s="559"/>
    </row>
    <row r="105" spans="1:17" s="471" customFormat="1" ht="15.75" thickBot="1">
      <c r="A105" s="553"/>
      <c r="B105" s="543"/>
      <c r="C105" s="560">
        <v>99</v>
      </c>
      <c r="D105" s="536">
        <v>100</v>
      </c>
      <c r="E105" s="536">
        <v>99</v>
      </c>
      <c r="F105" s="536">
        <v>98</v>
      </c>
      <c r="G105" s="536">
        <v>97</v>
      </c>
      <c r="H105" s="536">
        <v>96</v>
      </c>
      <c r="I105" s="536"/>
      <c r="J105" s="536"/>
      <c r="K105" s="536"/>
      <c r="L105" s="536"/>
      <c r="M105" s="537"/>
      <c r="N105" s="1155"/>
      <c r="O105" s="1155"/>
      <c r="P105" s="2686"/>
      <c r="Q105" s="559"/>
    </row>
    <row r="106" spans="1:17" ht="15" thickTop="1">
      <c r="A106" s="599"/>
      <c r="B106" s="538" t="s">
        <v>2615</v>
      </c>
      <c r="C106" s="554"/>
      <c r="D106" s="554"/>
      <c r="E106" s="583"/>
      <c r="F106" s="583"/>
      <c r="G106" s="583"/>
      <c r="H106" s="583"/>
      <c r="I106" s="583"/>
      <c r="J106" s="583"/>
      <c r="K106" s="584"/>
      <c r="L106" s="585"/>
      <c r="M106" s="586"/>
      <c r="N106" s="1154"/>
      <c r="O106" s="1154"/>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5"/>
      <c r="Q107" s="504"/>
    </row>
    <row r="108" spans="1:17" ht="15" thickTop="1">
      <c r="A108" s="599"/>
      <c r="B108" s="538" t="s">
        <v>2617</v>
      </c>
      <c r="C108" s="2991" t="s">
        <v>3164</v>
      </c>
      <c r="D108" s="2991" t="s">
        <v>3166</v>
      </c>
      <c r="E108" s="2991" t="s">
        <v>3168</v>
      </c>
      <c r="F108" s="2996" t="s">
        <v>3170</v>
      </c>
      <c r="G108" s="583"/>
      <c r="H108" s="583"/>
      <c r="I108" s="583"/>
      <c r="J108" s="583"/>
      <c r="K108" s="584"/>
      <c r="L108" s="585"/>
      <c r="M108" s="586"/>
      <c r="N108" s="1154"/>
      <c r="O108" s="1154"/>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5"/>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5"/>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5"/>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5"/>
      <c r="O112" s="1155"/>
      <c r="P112" s="2685"/>
      <c r="Q112" s="504"/>
    </row>
    <row r="113" spans="1:17" s="471" customFormat="1" ht="15" thickTop="1">
      <c r="A113" s="593"/>
      <c r="B113" s="538" t="s">
        <v>2701</v>
      </c>
      <c r="C113" s="2991" t="s">
        <v>3172</v>
      </c>
      <c r="D113" s="2991" t="s">
        <v>3185</v>
      </c>
      <c r="E113" s="554"/>
      <c r="F113" s="554"/>
      <c r="G113" s="554"/>
      <c r="H113" s="583"/>
      <c r="I113" s="583"/>
      <c r="J113" s="583"/>
      <c r="K113" s="584"/>
      <c r="L113" s="585"/>
      <c r="M113" s="586"/>
      <c r="N113" s="1156"/>
      <c r="O113" s="1156"/>
      <c r="P113" s="2686"/>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6"/>
      <c r="O114" s="1156"/>
      <c r="P114" s="2686"/>
      <c r="Q114" s="559"/>
    </row>
    <row r="115" spans="1:17" ht="15" thickTop="1">
      <c r="A115" s="599"/>
      <c r="B115" s="538" t="s">
        <v>2618</v>
      </c>
      <c r="C115" s="554"/>
      <c r="D115" s="554"/>
      <c r="E115" s="583"/>
      <c r="F115" s="583"/>
      <c r="G115" s="583"/>
      <c r="H115" s="583"/>
      <c r="I115" s="583"/>
      <c r="J115" s="583"/>
      <c r="K115" s="584"/>
      <c r="L115" s="585"/>
      <c r="M115" s="586"/>
      <c r="N115" s="1154"/>
      <c r="O115" s="1154"/>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5"/>
      <c r="Q116" s="504"/>
    </row>
    <row r="117" spans="1:17" ht="15" thickTop="1">
      <c r="A117" s="599"/>
      <c r="B117" s="538" t="s">
        <v>2619</v>
      </c>
      <c r="C117" s="554"/>
      <c r="D117" s="554"/>
      <c r="E117" s="554"/>
      <c r="F117" s="554"/>
      <c r="G117" s="554"/>
      <c r="H117" s="583"/>
      <c r="I117" s="583"/>
      <c r="J117" s="583"/>
      <c r="K117" s="584"/>
      <c r="L117" s="585"/>
      <c r="M117" s="586"/>
      <c r="N117" s="1154"/>
      <c r="O117" s="1154"/>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5"/>
      <c r="Q118" s="504"/>
    </row>
    <row r="119" spans="1:17" ht="15" thickTop="1">
      <c r="A119" s="599"/>
      <c r="B119" s="636" t="s">
        <v>2702</v>
      </c>
      <c r="C119" s="583"/>
      <c r="D119" s="583"/>
      <c r="E119" s="583"/>
      <c r="F119" s="583"/>
      <c r="G119" s="583"/>
      <c r="H119" s="583"/>
      <c r="I119" s="583"/>
      <c r="J119" s="583"/>
      <c r="K119" s="583"/>
      <c r="L119" s="2690"/>
      <c r="M119" s="2691"/>
      <c r="N119" s="1155"/>
      <c r="O119" s="1155"/>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5"/>
      <c r="Q120" s="504"/>
    </row>
    <row r="121" spans="1:17" s="471" customFormat="1" ht="15" thickTop="1">
      <c r="A121" s="593"/>
      <c r="B121" s="538" t="s">
        <v>2685</v>
      </c>
      <c r="C121" s="554"/>
      <c r="D121" s="554"/>
      <c r="E121" s="554"/>
      <c r="F121" s="583"/>
      <c r="G121" s="555"/>
      <c r="H121" s="555"/>
      <c r="I121" s="555"/>
      <c r="J121" s="555"/>
      <c r="K121" s="555"/>
      <c r="L121" s="556"/>
      <c r="M121" s="557"/>
      <c r="N121" s="1156"/>
      <c r="O121" s="1156"/>
      <c r="P121" s="2686"/>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6"/>
      <c r="Q122" s="559"/>
    </row>
    <row r="123" spans="1:17" ht="15" thickTop="1">
      <c r="A123" s="599"/>
      <c r="B123" s="538" t="s">
        <v>2621</v>
      </c>
      <c r="C123" s="2991" t="s">
        <v>3164</v>
      </c>
      <c r="D123" s="2991" t="s">
        <v>3166</v>
      </c>
      <c r="E123" s="2991" t="s">
        <v>3168</v>
      </c>
      <c r="F123" s="2996" t="s">
        <v>3170</v>
      </c>
      <c r="G123" s="583"/>
      <c r="H123" s="583"/>
      <c r="I123" s="583"/>
      <c r="J123" s="583"/>
      <c r="K123" s="584"/>
      <c r="L123" s="585"/>
      <c r="M123" s="586"/>
      <c r="N123" s="1154"/>
      <c r="O123" s="1154"/>
      <c r="P123" s="2685"/>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5"/>
      <c r="O124" s="1155"/>
      <c r="P124" s="2685"/>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4"/>
      <c r="O125" s="1154"/>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5"/>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6"/>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6"/>
      <c r="Q128" s="559"/>
    </row>
    <row r="129" spans="1:17" ht="15" thickTop="1">
      <c r="A129" s="599"/>
      <c r="B129" s="538">
        <f>B46</f>
        <v>111</v>
      </c>
      <c r="C129" s="554"/>
      <c r="D129" s="554"/>
      <c r="E129" s="554"/>
      <c r="F129" s="554"/>
      <c r="G129" s="583"/>
      <c r="H129" s="583"/>
      <c r="I129" s="583"/>
      <c r="J129" s="583"/>
      <c r="K129" s="584"/>
      <c r="L129" s="585"/>
      <c r="M129" s="586"/>
      <c r="N129" s="1154"/>
      <c r="O129" s="1154"/>
      <c r="P129" s="2685"/>
      <c r="Q129" s="504"/>
    </row>
    <row r="130" spans="1:17" ht="15.75" thickBot="1">
      <c r="A130" s="534"/>
      <c r="B130" s="543"/>
      <c r="C130" s="560"/>
      <c r="D130" s="560"/>
      <c r="E130" s="560"/>
      <c r="F130" s="560"/>
      <c r="G130" s="536"/>
      <c r="H130" s="536"/>
      <c r="I130" s="536"/>
      <c r="J130" s="536"/>
      <c r="K130" s="536"/>
      <c r="L130" s="536"/>
      <c r="M130" s="537"/>
      <c r="N130" s="1155"/>
      <c r="O130" s="1155"/>
      <c r="P130" s="2685"/>
      <c r="Q130" s="504"/>
    </row>
    <row r="131" spans="1:17" ht="15" thickTop="1">
      <c r="A131" s="599"/>
      <c r="B131" s="546">
        <f>B47</f>
        <v>111</v>
      </c>
      <c r="C131" s="523"/>
      <c r="D131" s="523"/>
      <c r="E131" s="523"/>
      <c r="F131" s="523"/>
      <c r="G131" s="587"/>
      <c r="H131" s="587"/>
      <c r="I131" s="587"/>
      <c r="J131" s="587"/>
      <c r="K131" s="523"/>
      <c r="L131" s="524"/>
      <c r="M131" s="590"/>
      <c r="N131" s="1154"/>
      <c r="O131" s="1154"/>
      <c r="P131" s="2685"/>
      <c r="Q131" s="504"/>
    </row>
    <row r="132" spans="1:17" ht="15.75" thickBot="1">
      <c r="A132" s="2637"/>
      <c r="B132" s="569"/>
      <c r="C132" s="570"/>
      <c r="D132" s="570"/>
      <c r="E132" s="570"/>
      <c r="F132" s="570"/>
      <c r="G132" s="591"/>
      <c r="H132" s="591"/>
      <c r="I132" s="591"/>
      <c r="J132" s="591"/>
      <c r="K132" s="591"/>
      <c r="L132" s="591"/>
      <c r="M132" s="592"/>
      <c r="N132" s="1155"/>
      <c r="O132" s="1155"/>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78" priority="16" stopIfTrue="1" operator="containsText" text="超过">
      <formula>NOT(ISERROR(SEARCH("超过",F53)))</formula>
    </cfRule>
  </conditionalFormatting>
  <conditionalFormatting sqref="H55">
    <cfRule type="containsText" dxfId="177" priority="15" stopIfTrue="1" operator="containsText" text="超过">
      <formula>NOT(ISERROR(SEARCH("超过",H55)))</formula>
    </cfRule>
  </conditionalFormatting>
  <conditionalFormatting sqref="F55">
    <cfRule type="containsText" dxfId="176" priority="14" stopIfTrue="1" operator="containsText" text="超过">
      <formula>NOT(ISERROR(SEARCH("超过",F55)))</formula>
    </cfRule>
  </conditionalFormatting>
  <conditionalFormatting sqref="F54 H54">
    <cfRule type="containsText" dxfId="175" priority="13" stopIfTrue="1" operator="containsText" text="超过">
      <formula>NOT(ISERROR(SEARCH("超过",F54)))</formula>
    </cfRule>
  </conditionalFormatting>
  <conditionalFormatting sqref="E53">
    <cfRule type="expression" dxfId="174" priority="12" stopIfTrue="1">
      <formula>$F$53="超过30%"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5">
    <cfRule type="expression" dxfId="171" priority="9" stopIfTrue="1">
      <formula>$H$55="超过30%"</formula>
    </cfRule>
  </conditionalFormatting>
  <conditionalFormatting sqref="G53">
    <cfRule type="expression" dxfId="170" priority="8" stopIfTrue="1">
      <formula>$H$53="超过30%"</formula>
    </cfRule>
  </conditionalFormatting>
  <conditionalFormatting sqref="G54">
    <cfRule type="expression" dxfId="169" priority="7" stopIfTrue="1">
      <formula>$H$54="超过20%"</formula>
    </cfRule>
  </conditionalFormatting>
  <conditionalFormatting sqref="J53">
    <cfRule type="containsText" dxfId="168" priority="6" stopIfTrue="1" operator="containsText" text="超过">
      <formula>NOT(ISERROR(SEARCH("超过",J53)))</formula>
    </cfRule>
  </conditionalFormatting>
  <conditionalFormatting sqref="J55">
    <cfRule type="containsText" dxfId="167" priority="5" stopIfTrue="1" operator="containsText" text="超过">
      <formula>NOT(ISERROR(SEARCH("超过",J55)))</formula>
    </cfRule>
  </conditionalFormatting>
  <conditionalFormatting sqref="J54">
    <cfRule type="containsText" dxfId="166" priority="4" stopIfTrue="1" operator="containsText" text="超过">
      <formula>NOT(ISERROR(SEARCH("超过",J54)))</formula>
    </cfRule>
  </conditionalFormatting>
  <conditionalFormatting sqref="I53">
    <cfRule type="expression" dxfId="165" priority="3" stopIfTrue="1">
      <formula>$J$53="超过30%"</formula>
    </cfRule>
  </conditionalFormatting>
  <conditionalFormatting sqref="I54">
    <cfRule type="expression" dxfId="164" priority="2" stopIfTrue="1">
      <formula>$J$53+$J$54="超过20%"</formula>
    </cfRule>
  </conditionalFormatting>
  <conditionalFormatting sqref="I55">
    <cfRule type="expression" dxfId="1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20" sqref="J2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27</v>
      </c>
      <c r="D1" s="1822" t="s">
        <v>70</v>
      </c>
      <c r="E1" s="1823" t="s">
        <v>1387</v>
      </c>
      <c r="F1" s="1285">
        <f ca="1">J53</f>
        <v>38.61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751</v>
      </c>
      <c r="C2" s="1847" t="s">
        <v>1517</v>
      </c>
      <c r="D2" s="1847"/>
      <c r="E2" s="1848"/>
      <c r="F2" s="1849"/>
      <c r="G2" s="1850"/>
      <c r="H2" s="1842"/>
      <c r="I2" s="1842"/>
      <c r="J2" s="1842"/>
      <c r="K2" s="1843"/>
      <c r="L2" s="1842"/>
      <c r="M2" s="1842"/>
    </row>
    <row r="3" spans="1:37" ht="18" customHeight="1" thickBot="1">
      <c r="A3" s="1851" t="s">
        <v>1518</v>
      </c>
      <c r="B3" s="1852">
        <f ca="1">IF(ISERROR(B2*10000/F43),0,ROUND(B2*10000/F43,0))</f>
        <v>27698</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43</v>
      </c>
      <c r="D5" s="1824" t="s">
        <v>1402</v>
      </c>
      <c r="E5" s="1295"/>
      <c r="F5" s="1296"/>
      <c r="G5" s="1853"/>
      <c r="H5" s="344">
        <v>1</v>
      </c>
      <c r="I5" s="345" t="s">
        <v>1401</v>
      </c>
      <c r="J5" s="1294">
        <f ca="1">J6+J10+J12</f>
        <v>0</v>
      </c>
      <c r="K5" s="1824" t="s">
        <v>1402</v>
      </c>
      <c r="L5" s="1295"/>
      <c r="M5" s="1296"/>
    </row>
    <row r="6" spans="1:37" ht="18" customHeight="1">
      <c r="A6" s="1293" t="s">
        <v>1035</v>
      </c>
      <c r="B6" s="3257" t="s">
        <v>1403</v>
      </c>
      <c r="C6" s="1298">
        <f ca="1">ROUND(F6*F8*F7*(1-F9)/10000,0)</f>
        <v>43</v>
      </c>
      <c r="D6" s="164" t="s">
        <v>3036</v>
      </c>
      <c r="E6" s="347" t="s">
        <v>1405</v>
      </c>
      <c r="F6" s="348">
        <f ca="1">INDIRECT("'数据-取费表'!u"&amp;$G$1)</f>
        <v>4.9000000000000004</v>
      </c>
      <c r="G6" s="1853"/>
      <c r="H6" s="1293" t="s">
        <v>1035</v>
      </c>
      <c r="I6" s="3257" t="s">
        <v>1403</v>
      </c>
      <c r="J6" s="346">
        <f ca="1">ROUND(M6*M8*M7*(1-M9)/10000,0)</f>
        <v>0</v>
      </c>
      <c r="K6" s="164" t="s">
        <v>3035</v>
      </c>
      <c r="L6" s="347" t="s">
        <v>1405</v>
      </c>
      <c r="M6" s="348">
        <f ca="1">INDIRECT("'数据-取费表'!z"&amp;$G$1)</f>
        <v>0</v>
      </c>
    </row>
    <row r="7" spans="1:37" ht="18" customHeight="1">
      <c r="A7" s="1297"/>
      <c r="B7" s="3258"/>
      <c r="C7" s="1299"/>
      <c r="D7" s="352"/>
      <c r="E7" s="1300" t="s">
        <v>1406</v>
      </c>
      <c r="F7" s="348">
        <f ca="1">IF(INDIRECT("'数据-取费表'!ah"&amp;$G$1)="",INDIRECT("'数据-取费表'!k"&amp;$G$1),INDIRECT("'数据-取费表'!ah"&amp;$G$1))</f>
        <v>271.14</v>
      </c>
      <c r="G7" s="1853"/>
      <c r="H7" s="349"/>
      <c r="I7" s="3258"/>
      <c r="J7" s="351"/>
      <c r="K7" s="352"/>
      <c r="L7" s="347" t="s">
        <v>1406</v>
      </c>
      <c r="M7" s="348">
        <f ca="1">F7</f>
        <v>271.14</v>
      </c>
    </row>
    <row r="8" spans="1:37" ht="18" customHeight="1">
      <c r="A8" s="349"/>
      <c r="B8" s="3258"/>
      <c r="C8" s="351"/>
      <c r="D8" s="352"/>
      <c r="E8" s="347" t="s">
        <v>1407</v>
      </c>
      <c r="F8" s="348">
        <f ca="1">INDIRECT("'数据-取费表'!ai"&amp;$G$1)</f>
        <v>365</v>
      </c>
      <c r="G8" s="1853"/>
      <c r="H8" s="349"/>
      <c r="I8" s="3258"/>
      <c r="J8" s="351"/>
      <c r="K8" s="352"/>
      <c r="L8" s="347" t="s">
        <v>1407</v>
      </c>
      <c r="M8" s="348">
        <f ca="1">INDIRECT("'数据-取费表'!ai"&amp;$G$1)</f>
        <v>365</v>
      </c>
    </row>
    <row r="9" spans="1:37" ht="18" customHeight="1">
      <c r="A9" s="349"/>
      <c r="B9" s="3259"/>
      <c r="C9" s="351"/>
      <c r="D9" s="352"/>
      <c r="E9" s="347" t="s">
        <v>1408</v>
      </c>
      <c r="F9" s="357">
        <f ca="1">INDIRECT("'数据-取费表'!w"&amp;$G$1)</f>
        <v>0.12</v>
      </c>
      <c r="G9" s="1853"/>
      <c r="H9" s="349"/>
      <c r="I9" s="3259"/>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0</v>
      </c>
      <c r="D10" s="1826" t="s">
        <v>3037</v>
      </c>
      <c r="E10" s="358" t="s">
        <v>1411</v>
      </c>
      <c r="F10" s="1368" t="s">
        <v>3126</v>
      </c>
      <c r="G10" s="1853"/>
      <c r="H10" s="1293" t="s">
        <v>1039</v>
      </c>
      <c r="I10" s="1825" t="s">
        <v>1409</v>
      </c>
      <c r="J10" s="346">
        <f ca="1">ROUND(IF(M10="押一",M6*M8*M7/12*M11,IF(M10="押二",M6*M8*M7/12*2*M11,IF(M10="押三",M6*M8*M7/12*3*M11,J11*M11)))/10000,0)</f>
        <v>0</v>
      </c>
      <c r="K10" s="1826" t="s">
        <v>3038</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108</v>
      </c>
      <c r="D13" s="1333" t="s">
        <v>1416</v>
      </c>
      <c r="E13" s="1333" t="s">
        <v>1417</v>
      </c>
      <c r="F13" s="1334">
        <f ca="1">INDIRECT("'数据-取费表'!y"&amp;$G$1)</f>
        <v>0.85</v>
      </c>
      <c r="G13" s="1853"/>
      <c r="H13" s="1331">
        <v>2</v>
      </c>
      <c r="I13" s="1332" t="s">
        <v>1415</v>
      </c>
      <c r="J13" s="1292">
        <f ca="1">ROUND(J14*J15,0)</f>
        <v>0</v>
      </c>
      <c r="K13" s="1339" t="s">
        <v>1416</v>
      </c>
      <c r="L13" s="1854"/>
      <c r="M13" s="1855"/>
    </row>
    <row r="14" spans="1:37" ht="18" customHeight="1">
      <c r="A14" s="1203" t="s">
        <v>1034</v>
      </c>
      <c r="B14" s="347" t="s">
        <v>1418</v>
      </c>
      <c r="C14" s="363">
        <f ca="1">INDIRECT("'数据-取费表'!m"&amp;$G$1)+INDIRECT("'数据-取费表'!t"&amp;$G$1)</f>
        <v>81</v>
      </c>
      <c r="D14" s="1802" t="s">
        <v>1419</v>
      </c>
      <c r="E14" s="1796"/>
      <c r="F14" s="364"/>
      <c r="G14" s="1853"/>
      <c r="H14" s="1203" t="s">
        <v>1035</v>
      </c>
      <c r="I14" s="347" t="s">
        <v>1420</v>
      </c>
      <c r="J14" s="24">
        <f ca="1">C29</f>
        <v>127</v>
      </c>
      <c r="K14" s="15"/>
      <c r="L14" s="981"/>
      <c r="M14" s="982"/>
    </row>
    <row r="15" spans="1:37" s="1860" customFormat="1" ht="18" customHeight="1" thickBot="1">
      <c r="A15" s="1203" t="s">
        <v>1036</v>
      </c>
      <c r="B15" s="347" t="s">
        <v>1421</v>
      </c>
      <c r="C15" s="24">
        <f ca="1">ROUND(C14*F15,0)</f>
        <v>2</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4</v>
      </c>
      <c r="K16" s="1339" t="s">
        <v>1426</v>
      </c>
      <c r="L16" s="1340"/>
      <c r="M16" s="1296"/>
    </row>
    <row r="17" spans="1:37" s="1860" customFormat="1" ht="18" customHeight="1">
      <c r="A17" s="1203" t="s">
        <v>1390</v>
      </c>
      <c r="B17" s="347" t="s">
        <v>1427</v>
      </c>
      <c r="C17" s="24">
        <f ca="1">ROUND(F17*(F43+INDIRECT("'数据-取费表'!S"&amp;$G$1))/10000,0)</f>
        <v>5</v>
      </c>
      <c r="D17" s="347" t="s">
        <v>1428</v>
      </c>
      <c r="E17" s="347" t="s">
        <v>1429</v>
      </c>
      <c r="F17" s="26">
        <f>'数据-取费表'!B35</f>
        <v>200</v>
      </c>
      <c r="G17" s="1856"/>
      <c r="H17" s="1203" t="s">
        <v>1035</v>
      </c>
      <c r="I17" s="347" t="s">
        <v>1430</v>
      </c>
      <c r="J17" s="24">
        <f ca="1">ROUND(IF(项目基本情况!B11="自然人",J5*M17,J18+J19+J20),1)</f>
        <v>1.1000000000000001</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1</v>
      </c>
      <c r="D18" s="347" t="s">
        <v>1422</v>
      </c>
      <c r="E18" s="347" t="s">
        <v>1423</v>
      </c>
      <c r="F18" s="367">
        <f>'数据-取费表'!B36</f>
        <v>1.52E-2</v>
      </c>
      <c r="G18" s="1856"/>
      <c r="H18" s="1203" t="s">
        <v>1034</v>
      </c>
      <c r="I18" s="347" t="s">
        <v>1434</v>
      </c>
      <c r="J18" s="24">
        <f ca="1">ROUND(J5*M18/(1+'数据-取费表'!C42),2)</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89</v>
      </c>
      <c r="D19" s="140" t="s">
        <v>1437</v>
      </c>
      <c r="E19" s="1820"/>
      <c r="F19" s="26"/>
      <c r="G19" s="1853"/>
      <c r="H19" s="1203" t="s">
        <v>1036</v>
      </c>
      <c r="I19" s="347" t="s">
        <v>1438</v>
      </c>
      <c r="J19" s="24">
        <f ca="1">IF(K19="按租金收入计税",ROUND(J5*M19,2),ROUND(C29*M19*0.7,2))</f>
        <v>1.07</v>
      </c>
      <c r="K19" s="1830" t="s">
        <v>1439</v>
      </c>
      <c r="L19" s="347" t="s">
        <v>1423</v>
      </c>
      <c r="M19" s="367">
        <f>IF(K19="按租金收入计税",'数据-取费表'!B51,'数据-取费表'!B50)</f>
        <v>1.2E-2</v>
      </c>
    </row>
    <row r="20" spans="1:37" s="1860" customFormat="1" ht="18" customHeight="1">
      <c r="A20" s="1203" t="s">
        <v>1039</v>
      </c>
      <c r="B20" s="347" t="s">
        <v>1440</v>
      </c>
      <c r="C20" s="24">
        <f ca="1">ROUND(C19*F20,0)</f>
        <v>2</v>
      </c>
      <c r="D20" s="369" t="s">
        <v>1441</v>
      </c>
      <c r="E20" s="347" t="s">
        <v>1423</v>
      </c>
      <c r="F20" s="367">
        <f>'数据-取费表'!B37</f>
        <v>0.02</v>
      </c>
      <c r="G20" s="1856"/>
      <c r="H20" s="1203" t="s">
        <v>1389</v>
      </c>
      <c r="I20" s="164" t="s">
        <v>1442</v>
      </c>
      <c r="J20" s="25">
        <f ca="1">ROUND(M20*M21/10000,2)</f>
        <v>0.02</v>
      </c>
      <c r="K20" s="370" t="s">
        <v>1443</v>
      </c>
      <c r="L20" s="347" t="s">
        <v>1444</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77.489999999999995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20"/>
      <c r="F22" s="26"/>
      <c r="G22" s="1853"/>
      <c r="H22" s="1203" t="s">
        <v>1039</v>
      </c>
      <c r="I22" s="347" t="s">
        <v>1450</v>
      </c>
      <c r="J22" s="24">
        <f ca="1">ROUND(J14*M22,1)</f>
        <v>2.5</v>
      </c>
      <c r="K22" s="1800" t="s">
        <v>1451</v>
      </c>
      <c r="L22" s="347" t="s">
        <v>1423</v>
      </c>
      <c r="M22" s="374">
        <f ca="1">INDIRECT("'数据-取费表'!Ak"&amp;$G$1)</f>
        <v>0.02</v>
      </c>
    </row>
    <row r="23" spans="1:37" s="1860" customFormat="1" ht="18" customHeight="1">
      <c r="A23" s="1203" t="s">
        <v>1034</v>
      </c>
      <c r="B23" s="347" t="s">
        <v>1452</v>
      </c>
      <c r="C23" s="24">
        <f ca="1">IF('数据-取费表'!B22&lt;=1,ROUND(C19*F24*F23/2,0)+ROUND(C20*F24*F23/2,0),ROUND(C19*(POWER((1+F24),F23/2)-1),0)+ROUND(C20*(POWER((1+F24),F23/2)-1),0))</f>
        <v>3</v>
      </c>
      <c r="D23" s="375" t="str">
        <f>IF(F23&lt;=1,"(建造成本+管理费用)×利率×(建设周期÷2)","(建造成本+管理费用)×((1+利率)^(建设周期÷2)-1)")</f>
        <v>(建造成本+管理费用)×((1+利率)^(建设周期÷2)-1)</v>
      </c>
      <c r="E23" s="347" t="s">
        <v>1453</v>
      </c>
      <c r="F23" s="371">
        <f>'数据-取费表'!B20</f>
        <v>1.5</v>
      </c>
      <c r="G23" s="1856"/>
      <c r="H23" s="1203" t="s">
        <v>1075</v>
      </c>
      <c r="I23" s="347" t="s">
        <v>1454</v>
      </c>
      <c r="J23" s="24">
        <f ca="1">ROUND(J13*M23,1)</f>
        <v>0</v>
      </c>
      <c r="K23" s="1800" t="s">
        <v>1455</v>
      </c>
      <c r="L23" s="347" t="s">
        <v>1456</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6.9999999999999999E-4</v>
      </c>
      <c r="D24" s="375" t="str">
        <f>IF(F23&lt;=1,"销售费用×利率×(建设周期÷2)","销售费用×((1+利率)^(建设周期÷2)-1)")</f>
        <v>销售费用×((1+利率)^(建设周期÷2)-1)</v>
      </c>
      <c r="E24" s="347" t="s">
        <v>1459</v>
      </c>
      <c r="F24" s="377">
        <f ca="1">'数据-取费表'!B40</f>
        <v>4.7500000000000001E-2</v>
      </c>
      <c r="G24" s="1856"/>
      <c r="H24" s="1341" t="s">
        <v>1393</v>
      </c>
      <c r="I24" s="1342" t="s">
        <v>1440</v>
      </c>
      <c r="J24" s="1343">
        <f ca="1">ROUND(J5*M24,1)</f>
        <v>0</v>
      </c>
      <c r="K24" s="1344" t="s">
        <v>1460</v>
      </c>
      <c r="L24" s="1342" t="s">
        <v>1456</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1820"/>
      <c r="F25" s="26"/>
      <c r="G25" s="1853"/>
      <c r="H25" s="1331" t="s">
        <v>1031</v>
      </c>
      <c r="I25" s="1346" t="s">
        <v>1464</v>
      </c>
      <c r="J25" s="355">
        <f ca="1">J5-J16</f>
        <v>-4</v>
      </c>
      <c r="K25" s="1347" t="s">
        <v>1465</v>
      </c>
      <c r="L25" s="1348"/>
      <c r="M25" s="1349"/>
    </row>
    <row r="26" spans="1:37">
      <c r="A26" s="1203" t="s">
        <v>1034</v>
      </c>
      <c r="B26" s="347" t="s">
        <v>1466</v>
      </c>
      <c r="C26" s="24">
        <f ca="1">ROUND((C19+C20)*F26,0)</f>
        <v>23</v>
      </c>
      <c r="D26" s="369" t="s">
        <v>1467</v>
      </c>
      <c r="E26" s="358" t="s">
        <v>1468</v>
      </c>
      <c r="F26" s="357">
        <f ca="1">INDIRECT("'数据-取费表'!q"&amp;$G$1)</f>
        <v>0.25</v>
      </c>
      <c r="G26" s="1853"/>
      <c r="H26" s="344" t="s">
        <v>1032</v>
      </c>
      <c r="I26" s="345" t="s">
        <v>1469</v>
      </c>
      <c r="J26" s="346">
        <f ca="1">IF(J5&lt;&gt;0,ROUND(J25*(1-((1+M28)/(1+M26))^M27)/(M26-M28),0),0)</f>
        <v>0</v>
      </c>
      <c r="K26" s="370" t="s">
        <v>1470</v>
      </c>
      <c r="L26" s="347" t="s">
        <v>1471</v>
      </c>
      <c r="M26" s="357">
        <f ca="1">INDIRECT("'数据-取费表'!I"&amp;$G$1)</f>
        <v>5.5E-2</v>
      </c>
    </row>
    <row r="27" spans="1:37" ht="18" customHeight="1">
      <c r="A27" s="1203" t="s">
        <v>1036</v>
      </c>
      <c r="B27" s="347" t="s">
        <v>1472</v>
      </c>
      <c r="C27" s="24">
        <f ca="1">ROUND(F21*F26,4)</f>
        <v>5.0000000000000001E-3</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127</v>
      </c>
      <c r="D29" s="1344"/>
      <c r="E29" s="1342"/>
      <c r="F29" s="1345"/>
      <c r="G29" s="1856"/>
      <c r="H29" s="380" t="s">
        <v>1033</v>
      </c>
      <c r="I29" s="381" t="s">
        <v>1480</v>
      </c>
      <c r="J29" s="382">
        <f ca="1">ROUND(J26/(1+F40)^F41,0)</f>
        <v>0</v>
      </c>
      <c r="K29" s="383" t="s">
        <v>1481</v>
      </c>
      <c r="L29" s="384"/>
      <c r="M29" s="385">
        <f ca="1">INDIRECT("'数据-取费表'!k"&amp;$G$1)</f>
        <v>271.14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7</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ROUND(IF(项目基本情况!B11="自然人",C5*F31,C32+C33+C34),1)</f>
        <v>3.4</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IF(项目基本情况!B11="自然人","——",ROUND(C5*F32/(1+'数据-取费表'!C42),2))</f>
        <v>2.29</v>
      </c>
      <c r="D32" s="180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1.07</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0.02</v>
      </c>
      <c r="D34" s="370" t="s">
        <v>1443</v>
      </c>
      <c r="E34" s="347" t="s">
        <v>1444</v>
      </c>
      <c r="F34" s="371">
        <f>'数据-取费表'!B52</f>
        <v>3</v>
      </c>
      <c r="G34" s="1853"/>
      <c r="H34" s="745"/>
      <c r="I34" s="1862"/>
      <c r="J34" s="1863"/>
      <c r="K34" s="1865"/>
      <c r="L34" s="1866"/>
      <c r="M34" s="1866"/>
    </row>
    <row r="35" spans="1:18" ht="18" customHeight="1">
      <c r="A35" s="1355"/>
      <c r="B35" s="1353"/>
      <c r="C35" s="29"/>
      <c r="D35" s="373"/>
      <c r="E35" s="347" t="s">
        <v>1448</v>
      </c>
      <c r="F35" s="348">
        <f ca="1">INDIRECT("'数据-取费表'!r"&amp;$G$1)</f>
        <v>77.489999999999995</v>
      </c>
      <c r="G35" s="1853"/>
      <c r="H35" s="745"/>
      <c r="I35" s="1862"/>
      <c r="J35" s="1863"/>
      <c r="K35" s="1864"/>
      <c r="L35" s="1861"/>
      <c r="M35" s="1861"/>
    </row>
    <row r="36" spans="1:18" ht="18" customHeight="1">
      <c r="A36" s="1354" t="s">
        <v>1039</v>
      </c>
      <c r="B36" s="347" t="s">
        <v>1450</v>
      </c>
      <c r="C36" s="24">
        <f ca="1">ROUND(C29*F36,1)</f>
        <v>2.5</v>
      </c>
      <c r="D36" s="1800" t="s">
        <v>1483</v>
      </c>
      <c r="E36" s="347" t="s">
        <v>1423</v>
      </c>
      <c r="F36" s="374">
        <f ca="1">INDIRECT("'数据-取费表'!Ak"&amp;$G$1)</f>
        <v>0.02</v>
      </c>
      <c r="G36" s="1853"/>
      <c r="H36" s="1861"/>
      <c r="I36" s="1862"/>
      <c r="J36" s="1863"/>
      <c r="K36" s="751"/>
      <c r="L36" s="1861"/>
      <c r="M36" s="1861"/>
    </row>
    <row r="37" spans="1:18" ht="18" customHeight="1">
      <c r="A37" s="1203" t="s">
        <v>1075</v>
      </c>
      <c r="B37" s="347" t="s">
        <v>1454</v>
      </c>
      <c r="C37" s="24">
        <f ca="1">ROUND(C13*F37,1)</f>
        <v>0.2</v>
      </c>
      <c r="D37" s="1800" t="s">
        <v>1455</v>
      </c>
      <c r="E37" s="347" t="s">
        <v>1456</v>
      </c>
      <c r="F37" s="376">
        <f ca="1">INDIRECT("'数据-取费表'!Al"&amp;$G$1)</f>
        <v>2E-3</v>
      </c>
      <c r="G37" s="1853"/>
      <c r="H37" s="1861"/>
      <c r="I37" s="1862"/>
      <c r="J37" s="1863"/>
      <c r="K37" s="751"/>
      <c r="L37" s="1861"/>
      <c r="M37" s="1861"/>
    </row>
    <row r="38" spans="1:18" ht="18" customHeight="1" thickBot="1">
      <c r="A38" s="1341" t="s">
        <v>1393</v>
      </c>
      <c r="B38" s="1342" t="s">
        <v>1440</v>
      </c>
      <c r="C38" s="1343">
        <f ca="1">ROUND(C5*F38,1)</f>
        <v>0.9</v>
      </c>
      <c r="D38" s="1344" t="s">
        <v>1460</v>
      </c>
      <c r="E38" s="1342" t="s">
        <v>1456</v>
      </c>
      <c r="F38" s="1338">
        <f ca="1">INDIRECT("'数据-取费表'!Am"&amp;$G$1)</f>
        <v>0.02</v>
      </c>
      <c r="G38" s="1853"/>
      <c r="H38" s="1861"/>
      <c r="I38" s="1862"/>
      <c r="J38" s="1863"/>
      <c r="K38" s="1867"/>
      <c r="L38" s="1861"/>
      <c r="M38" s="1861"/>
    </row>
    <row r="39" spans="1:18" ht="24.6" customHeight="1" thickTop="1">
      <c r="A39" s="1331" t="s">
        <v>1031</v>
      </c>
      <c r="B39" s="1346" t="s">
        <v>1484</v>
      </c>
      <c r="C39" s="355">
        <f ca="1">C5-C30</f>
        <v>36</v>
      </c>
      <c r="D39" s="1347" t="s">
        <v>1485</v>
      </c>
      <c r="E39" s="1348"/>
      <c r="F39" s="1349"/>
      <c r="G39" s="1853"/>
      <c r="H39" s="1861"/>
      <c r="I39" s="1862"/>
      <c r="J39" s="1863"/>
      <c r="K39" s="1867"/>
      <c r="L39" s="1861"/>
      <c r="M39" s="1861"/>
    </row>
    <row r="40" spans="1:18" ht="18" customHeight="1">
      <c r="A40" s="344" t="s">
        <v>1032</v>
      </c>
      <c r="B40" s="345" t="s">
        <v>1486</v>
      </c>
      <c r="C40" s="346">
        <f ca="1">ROUND(C39*(1-((1+F42)/(1+F40))^F41)/(F40-F42),0)</f>
        <v>749</v>
      </c>
      <c r="D40" s="370" t="s">
        <v>1470</v>
      </c>
      <c r="E40" s="347" t="s">
        <v>1471</v>
      </c>
      <c r="F40" s="357">
        <f ca="1">INDIRECT("'数据-取费表'!I"&amp;$G$1)</f>
        <v>5.5E-2</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38.61</v>
      </c>
      <c r="G41" s="1853"/>
      <c r="H41" s="732"/>
      <c r="I41" s="1862"/>
      <c r="J41" s="1863"/>
      <c r="K41" s="751"/>
      <c r="L41" s="732"/>
      <c r="M41" s="732"/>
    </row>
    <row r="42" spans="1:18" ht="18" customHeight="1">
      <c r="A42" s="353"/>
      <c r="B42" s="354"/>
      <c r="C42" s="355"/>
      <c r="D42" s="373"/>
      <c r="E42" s="347" t="s">
        <v>1478</v>
      </c>
      <c r="F42" s="357">
        <f ca="1">INDIRECT("'数据-取费表'!v"&amp;$G$1)</f>
        <v>0.02</v>
      </c>
      <c r="G42" s="1853"/>
      <c r="H42" s="732"/>
      <c r="I42" s="1862"/>
      <c r="J42" s="1863"/>
      <c r="K42" s="751"/>
      <c r="L42" s="732"/>
      <c r="M42" s="732"/>
    </row>
    <row r="43" spans="1:18" ht="18" customHeight="1" thickBot="1">
      <c r="A43" s="380" t="s">
        <v>1033</v>
      </c>
      <c r="B43" s="381" t="s">
        <v>1488</v>
      </c>
      <c r="C43" s="382">
        <f ca="1">ROUND(C40*10000/F43,0)</f>
        <v>27624</v>
      </c>
      <c r="D43" s="383" t="s">
        <v>1489</v>
      </c>
      <c r="E43" s="384" t="s">
        <v>1490</v>
      </c>
      <c r="F43" s="385">
        <f ca="1">INDIRECT("'数据-取费表'!k"&amp;$G$1)</f>
        <v>271.14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-813</v>
      </c>
      <c r="D46" s="1874" t="str">
        <f>C2</f>
        <v>万元</v>
      </c>
      <c r="E46" s="1868"/>
      <c r="F46" s="1868"/>
      <c r="I46" s="1875" t="s">
        <v>1522</v>
      </c>
      <c r="J46" s="1876"/>
      <c r="K46" s="1877"/>
      <c r="L46" s="1878">
        <f ca="1">IF(M47="住宅",0,IF(L48&gt;J51,L60,J60))</f>
        <v>2</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3121</v>
      </c>
      <c r="K47" s="1884" t="s">
        <v>1528</v>
      </c>
      <c r="L47" s="1885">
        <f ca="1">INDIRECT("'数据-取费表'!d"&amp;$G$1)</f>
        <v>0</v>
      </c>
      <c r="M47" s="1840" t="str">
        <f>IF(ISNUMBER(FIND("住宅",C1)),"住宅","非住宅")</f>
        <v>非住宅</v>
      </c>
      <c r="O47" s="1886" t="s">
        <v>1040</v>
      </c>
      <c r="P47" s="1887" t="s">
        <v>1529</v>
      </c>
      <c r="Q47" s="1888">
        <f ca="1">C40+J29</f>
        <v>749</v>
      </c>
      <c r="R47" s="1888" t="s">
        <v>1530</v>
      </c>
    </row>
    <row r="48" spans="1:18" s="1844" customFormat="1" ht="28.5" thickBot="1">
      <c r="A48" s="1362" t="s">
        <v>1135</v>
      </c>
      <c r="B48" s="345" t="s">
        <v>1401</v>
      </c>
      <c r="C48" s="1819">
        <f ca="1">C49+C53+C55</f>
        <v>0</v>
      </c>
      <c r="D48" s="1364"/>
      <c r="E48" s="1365"/>
      <c r="F48" s="1183"/>
      <c r="G48" s="792"/>
      <c r="H48" s="793"/>
      <c r="I48" s="1889" t="s">
        <v>1531</v>
      </c>
      <c r="J48" s="1890" t="s">
        <v>3122</v>
      </c>
      <c r="K48" s="1891" t="s">
        <v>1532</v>
      </c>
      <c r="L48" s="1892">
        <f ca="1">INDIRECT("'数据-取费表'!f"&amp;$G$1)</f>
        <v>38.61</v>
      </c>
      <c r="O48" s="1886" t="s">
        <v>1041</v>
      </c>
      <c r="P48" s="1887" t="s">
        <v>1533</v>
      </c>
      <c r="Q48" s="1888">
        <f ca="1">J60</f>
        <v>2</v>
      </c>
      <c r="R48" s="1888" t="s">
        <v>1534</v>
      </c>
    </row>
    <row r="49" spans="1:18" s="1844" customFormat="1" ht="13.5" thickBot="1">
      <c r="A49" s="1196" t="s">
        <v>1136</v>
      </c>
      <c r="B49" s="1831" t="s">
        <v>1491</v>
      </c>
      <c r="C49" s="1366">
        <f ca="1">ROUND(F49*F51*F50*(1-F52)/10000,0)</f>
        <v>0</v>
      </c>
      <c r="D49" s="1278" t="s">
        <v>3039</v>
      </c>
      <c r="E49" s="1832" t="s">
        <v>1492</v>
      </c>
      <c r="F49" s="1283"/>
      <c r="G49" s="1893"/>
      <c r="H49" s="793"/>
      <c r="I49" s="1889" t="s">
        <v>1535</v>
      </c>
      <c r="J49" s="1894">
        <v>2009</v>
      </c>
      <c r="K49" s="1891" t="s">
        <v>1536</v>
      </c>
      <c r="L49" s="1895"/>
      <c r="O49" s="1896" t="s">
        <v>1042</v>
      </c>
      <c r="P49" s="1887" t="s">
        <v>1537</v>
      </c>
      <c r="Q49" s="1888">
        <f ca="1">C29</f>
        <v>127</v>
      </c>
      <c r="R49" s="1888" t="s">
        <v>1530</v>
      </c>
    </row>
    <row r="50" spans="1:18" s="1844" customFormat="1" ht="13.5" thickBot="1">
      <c r="A50" s="1197"/>
      <c r="B50" s="1200"/>
      <c r="C50" s="1370"/>
      <c r="D50" s="1174"/>
      <c r="E50" s="1279" t="s">
        <v>1406</v>
      </c>
      <c r="F50" s="1280">
        <f ca="1">F7</f>
        <v>271.14</v>
      </c>
      <c r="H50" s="793"/>
      <c r="I50" s="1889" t="s">
        <v>1538</v>
      </c>
      <c r="J50" s="1897">
        <f>SUMPRODUCT((I63:I65=J47)*(J62:L62=J48)*(J63:L65))</f>
        <v>60</v>
      </c>
      <c r="K50" s="1891" t="s">
        <v>1539</v>
      </c>
      <c r="L50" s="1895"/>
      <c r="M50" s="1898"/>
      <c r="O50" s="1896" t="s">
        <v>1043</v>
      </c>
      <c r="P50" s="1887" t="s">
        <v>1540</v>
      </c>
      <c r="Q50" s="1899">
        <f ca="1">J58</f>
        <v>0.4</v>
      </c>
      <c r="R50" s="1888"/>
    </row>
    <row r="51" spans="1:18" s="1844" customFormat="1" ht="13.5" thickBot="1">
      <c r="A51" s="1198"/>
      <c r="B51" s="1200"/>
      <c r="C51" s="1201"/>
      <c r="D51" s="1174"/>
      <c r="E51" s="1202" t="s">
        <v>1407</v>
      </c>
      <c r="F51" s="348">
        <f ca="1">F8</f>
        <v>365</v>
      </c>
      <c r="I51" s="1900" t="s">
        <v>1541</v>
      </c>
      <c r="J51" s="1901">
        <f>IF(J49="",J50,J49+J50-YEAR('数据-取费表'!B2))</f>
        <v>52</v>
      </c>
      <c r="K51" s="1902" t="s">
        <v>1542</v>
      </c>
      <c r="L51" s="1903">
        <f ca="1">ROUND(-PV(INDIRECT("'数据-取费表'!h"&amp;$G$1),L48,(C39-C13*C76),0),0)</f>
        <v>487</v>
      </c>
      <c r="M51" s="1904"/>
      <c r="O51" s="1896" t="s">
        <v>1044</v>
      </c>
      <c r="P51" s="1887" t="s">
        <v>1543</v>
      </c>
      <c r="Q51" s="1899">
        <f>J52</f>
        <v>0.09</v>
      </c>
      <c r="R51" s="1888"/>
    </row>
    <row r="52" spans="1:18" s="1844" customFormat="1" ht="13.5" thickBot="1">
      <c r="A52" s="1198"/>
      <c r="B52" s="1200"/>
      <c r="C52" s="1201"/>
      <c r="D52" s="1174"/>
      <c r="E52" s="1202" t="s">
        <v>1408</v>
      </c>
      <c r="F52" s="1277"/>
      <c r="I52" s="1905" t="s">
        <v>1544</v>
      </c>
      <c r="J52" s="1906">
        <v>0.09</v>
      </c>
      <c r="K52" s="1905" t="s">
        <v>1545</v>
      </c>
      <c r="L52" s="1906"/>
      <c r="O52" s="1896" t="s">
        <v>1045</v>
      </c>
      <c r="P52" s="1887" t="s">
        <v>1546</v>
      </c>
      <c r="Q52" s="1888">
        <f ca="1">J53</f>
        <v>38.61</v>
      </c>
      <c r="R52" s="1888" t="s">
        <v>1547</v>
      </c>
    </row>
    <row r="53" spans="1:18" s="1844" customFormat="1" ht="24.75" thickBot="1">
      <c r="A53" s="1407" t="s">
        <v>1137</v>
      </c>
      <c r="B53" s="1833" t="s">
        <v>1409</v>
      </c>
      <c r="C53" s="361">
        <f ca="1">ROUND(IF(F53="押一",F49*F51*F50/12*F11,IF(F53="押二",F49*F51*F50/12*2*F11,IF(F53="押三",F49*F51*F50/12*3*F11,C54*F11)))/10000,0)</f>
        <v>0</v>
      </c>
      <c r="D53" s="1826" t="s">
        <v>3037</v>
      </c>
      <c r="E53" s="358" t="s">
        <v>1411</v>
      </c>
      <c r="F53" s="1368"/>
      <c r="I53" s="1907" t="s">
        <v>1548</v>
      </c>
      <c r="J53" s="1908">
        <f ca="1">IF(M47="住宅",J51,IF(D1="——",MIN(J51,L48),IF(D1="在建（套用方法）",MIN(J51,L48-'数据-取费表'!B24),IF(D1="土地（套用方法）",MIN(J51,L48-'数据-取费表'!B20)))))</f>
        <v>38.61</v>
      </c>
      <c r="K53" s="3255" t="s">
        <v>1549</v>
      </c>
      <c r="L53" s="3256"/>
      <c r="O53" s="1886" t="s">
        <v>1046</v>
      </c>
      <c r="P53" s="1887" t="s">
        <v>1550</v>
      </c>
      <c r="Q53" s="1888">
        <f ca="1">Q47+Q48</f>
        <v>751</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f ca="1">ROUND(IF(J47="钢混",J57/J50,1-(1-2%)*(J50-J57)/J50),3)</f>
        <v>0.223</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108</v>
      </c>
      <c r="D56" s="1916"/>
      <c r="E56" s="1917"/>
      <c r="F56" s="1909"/>
      <c r="I56" s="1918" t="s">
        <v>1555</v>
      </c>
      <c r="J56" s="1919" t="s">
        <v>3123</v>
      </c>
      <c r="K56" s="1889" t="s">
        <v>1556</v>
      </c>
      <c r="L56" s="1892" t="str">
        <f ca="1">IF(L48&lt;J51,"——",L48-J53)</f>
        <v>——</v>
      </c>
      <c r="O56" s="1886" t="s">
        <v>1040</v>
      </c>
      <c r="P56" s="1887" t="s">
        <v>1529</v>
      </c>
      <c r="Q56" s="1888">
        <f ca="1">C40+J29</f>
        <v>749</v>
      </c>
      <c r="R56" s="1888" t="s">
        <v>1530</v>
      </c>
    </row>
    <row r="57" spans="1:18" s="1844" customFormat="1" ht="24.75" thickBot="1">
      <c r="A57" s="1920"/>
      <c r="B57" s="1171" t="s">
        <v>1479</v>
      </c>
      <c r="C57" s="282">
        <f ca="1">C29</f>
        <v>127</v>
      </c>
      <c r="D57" s="1921"/>
      <c r="E57" s="1922"/>
      <c r="F57" s="1923"/>
      <c r="I57" s="1924" t="s">
        <v>1557</v>
      </c>
      <c r="J57" s="1925">
        <f ca="1">IF(OR(M47="住宅",J51&lt;L48,J56="是"),"——",J51-L48)</f>
        <v>13.39</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4</v>
      </c>
      <c r="D58" s="1181" t="s">
        <v>1426</v>
      </c>
      <c r="E58" s="1182"/>
      <c r="F58" s="1183"/>
      <c r="I58" s="1924" t="s">
        <v>1561</v>
      </c>
      <c r="J58" s="1926">
        <f ca="1">IF(J55&lt;0.4,0.4,J55)</f>
        <v>0.4</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1.1000000000000001</v>
      </c>
      <c r="D59" s="1184" t="s">
        <v>1431</v>
      </c>
      <c r="E59" s="1185" t="s">
        <v>1432</v>
      </c>
      <c r="F59" s="368" t="str">
        <f ca="1">IF(项目基本情况!B11="企业","",IF(INDIRECT("'数据-取费表'!c"&amp;$G$1)="住宅",5%,IF(F49*F50*F51/12/(1+'数据-取费表'!C42)&gt;20000,12%,7%)))</f>
        <v/>
      </c>
      <c r="I59" s="1924" t="s">
        <v>1564</v>
      </c>
      <c r="J59" s="1925">
        <f ca="1">IF(OR(M47="住宅",J51&lt;L48,J56="是"),"——",ROUND(C29*J58,0))</f>
        <v>51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IF(项目基本情况!B11="自然人","——",ROUND(C48*F60/(1+'数据-取费表'!C42),2))</f>
        <v>0</v>
      </c>
      <c r="D60" s="1185" t="s">
        <v>1435</v>
      </c>
      <c r="E60" s="1171" t="s">
        <v>1423</v>
      </c>
      <c r="F60" s="377">
        <f t="shared" ref="F60:F66" si="0">F32</f>
        <v>5.6000000000000001E-2</v>
      </c>
      <c r="I60" s="1927" t="s">
        <v>1566</v>
      </c>
      <c r="J60" s="1928">
        <f ca="1">IF(OR(M47="住宅",J51&lt;L48,J56="是"),"0",ROUND(J59/(1+J52)^J53,0))</f>
        <v>2</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IF(项目基本情况!B11="自然人","——",IF(D61="按租金收入计税",ROUND(C48*F61,2),IF(D61="按房产原值计税",ROUND(C57*F61*0.7,2),INDIRECT("'数据-取费表'!Aj"&amp;$G$1))))</f>
        <v>1.07</v>
      </c>
      <c r="D61" s="1830" t="s">
        <v>1439</v>
      </c>
      <c r="E61" s="1171" t="s">
        <v>1495</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1497</v>
      </c>
      <c r="C62" s="25">
        <f ca="1">IF(项目基本情况!B11="自然人","——",ROUND(F62*F63/10000,2))</f>
        <v>0.02</v>
      </c>
      <c r="D62" s="1186" t="s">
        <v>1498</v>
      </c>
      <c r="E62" s="1171" t="s">
        <v>1499</v>
      </c>
      <c r="F62" s="371">
        <f t="shared" si="0"/>
        <v>3</v>
      </c>
      <c r="I62" s="1931" t="s">
        <v>1571</v>
      </c>
      <c r="J62" s="1932" t="s">
        <v>1572</v>
      </c>
      <c r="K62" s="1932" t="s">
        <v>1573</v>
      </c>
      <c r="L62" s="1932" t="s">
        <v>1574</v>
      </c>
      <c r="M62" s="1933" t="s">
        <v>1575</v>
      </c>
      <c r="O62" s="1886" t="s">
        <v>1046</v>
      </c>
      <c r="P62" s="1887" t="s">
        <v>1576</v>
      </c>
      <c r="Q62" s="1888">
        <f ca="1">Q56+Q57</f>
        <v>749</v>
      </c>
      <c r="R62" s="1888" t="s">
        <v>1047</v>
      </c>
    </row>
    <row r="63" spans="1:18" s="1844" customFormat="1" ht="13.5" thickBot="1">
      <c r="A63" s="372"/>
      <c r="B63" s="1177"/>
      <c r="C63" s="29"/>
      <c r="D63" s="1187"/>
      <c r="E63" s="1171" t="s">
        <v>1500</v>
      </c>
      <c r="F63" s="348">
        <f t="shared" ca="1" si="0"/>
        <v>77.489999999999995</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ROUND(C57*F64,1)</f>
        <v>2.5</v>
      </c>
      <c r="D64" s="1185" t="s">
        <v>1503</v>
      </c>
      <c r="E64" s="1171" t="s">
        <v>1495</v>
      </c>
      <c r="F64" s="374">
        <f t="shared" ca="1" si="0"/>
        <v>0.02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0.2</v>
      </c>
      <c r="D65" s="1185" t="s">
        <v>1455</v>
      </c>
      <c r="E65" s="1171" t="s">
        <v>1456</v>
      </c>
      <c r="F65" s="376">
        <f t="shared" ca="1" si="0"/>
        <v>2E-3</v>
      </c>
      <c r="I65" s="1931" t="s">
        <v>1580</v>
      </c>
      <c r="J65" s="1932">
        <v>40</v>
      </c>
      <c r="K65" s="1932">
        <v>30</v>
      </c>
      <c r="L65" s="1932">
        <v>50</v>
      </c>
      <c r="M65" s="1934">
        <v>0.02</v>
      </c>
      <c r="O65" s="1886" t="s">
        <v>1040</v>
      </c>
      <c r="P65" s="1887" t="s">
        <v>1581</v>
      </c>
      <c r="Q65" s="1888">
        <f ca="1">C40+J29</f>
        <v>749</v>
      </c>
      <c r="R65" s="1888" t="s">
        <v>1530</v>
      </c>
    </row>
    <row r="66" spans="1:18" s="1844" customFormat="1" ht="16.5" thickBot="1">
      <c r="A66" s="1203" t="s">
        <v>1505</v>
      </c>
      <c r="B66" s="1171" t="s">
        <v>1440</v>
      </c>
      <c r="C66" s="24">
        <f ca="1">ROUND(C48*F66,1)</f>
        <v>0</v>
      </c>
      <c r="D66" s="1185" t="s">
        <v>1506</v>
      </c>
      <c r="E66" s="1171" t="s">
        <v>1423</v>
      </c>
      <c r="F66" s="357">
        <f t="shared" ca="1" si="0"/>
        <v>0.02</v>
      </c>
      <c r="O66" s="1886" t="s">
        <v>1041</v>
      </c>
      <c r="P66" s="1887" t="s">
        <v>1559</v>
      </c>
      <c r="Q66" s="1888">
        <f ca="1">L60</f>
        <v>0</v>
      </c>
      <c r="R66" s="1888" t="s">
        <v>1582</v>
      </c>
    </row>
    <row r="67" spans="1:18" s="1844" customFormat="1" ht="16.5" thickBot="1">
      <c r="A67" s="1178" t="s">
        <v>1031</v>
      </c>
      <c r="B67" s="1188" t="s">
        <v>1464</v>
      </c>
      <c r="C67" s="361">
        <f ca="1">C48-C58</f>
        <v>-4</v>
      </c>
      <c r="D67" s="1184" t="s">
        <v>1465</v>
      </c>
      <c r="E67" s="1189"/>
      <c r="F67" s="1190"/>
      <c r="O67" s="1896" t="s">
        <v>1042</v>
      </c>
      <c r="P67" s="1887" t="s">
        <v>1563</v>
      </c>
      <c r="Q67" s="1935">
        <f ca="1">L51</f>
        <v>487</v>
      </c>
      <c r="R67" s="1888" t="s">
        <v>1583</v>
      </c>
    </row>
    <row r="68" spans="1:18" s="1844" customFormat="1" ht="16.5" thickBot="1">
      <c r="A68" s="1168" t="s">
        <v>1032</v>
      </c>
      <c r="B68" s="1169" t="s">
        <v>1486</v>
      </c>
      <c r="C68" s="346">
        <f ca="1">ROUND(C67*(1-((1+F70)/(1+F68))^F69)/(F68-F70),0)</f>
        <v>-64</v>
      </c>
      <c r="D68" s="1186" t="s">
        <v>1470</v>
      </c>
      <c r="E68" s="1171" t="s">
        <v>1471</v>
      </c>
      <c r="F68" s="357">
        <f ca="1">F40</f>
        <v>5.5E-2</v>
      </c>
      <c r="O68" s="1896" t="s">
        <v>1043</v>
      </c>
      <c r="P68" s="1936" t="s">
        <v>1584</v>
      </c>
      <c r="Q68" s="1888">
        <f ca="1">ROUND(Q69-Q70*Q71,0)</f>
        <v>27</v>
      </c>
      <c r="R68" s="1888" t="s">
        <v>1051</v>
      </c>
    </row>
    <row r="69" spans="1:18" s="1844" customFormat="1" ht="13.5" thickBot="1">
      <c r="A69" s="1172"/>
      <c r="B69" s="1173"/>
      <c r="C69" s="351"/>
      <c r="D69" s="1191" t="s">
        <v>1474</v>
      </c>
      <c r="E69" s="1171" t="s">
        <v>1475</v>
      </c>
      <c r="F69" s="379">
        <f ca="1">F41</f>
        <v>38.61</v>
      </c>
      <c r="O69" s="1896" t="s">
        <v>1048</v>
      </c>
      <c r="P69" s="1936" t="s">
        <v>1585</v>
      </c>
      <c r="Q69" s="1888">
        <f ca="1">C39</f>
        <v>36</v>
      </c>
      <c r="R69" s="1888" t="s">
        <v>1530</v>
      </c>
    </row>
    <row r="70" spans="1:18" s="1844" customFormat="1" ht="13.5" thickBot="1">
      <c r="A70" s="1175"/>
      <c r="B70" s="1176"/>
      <c r="C70" s="355"/>
      <c r="D70" s="1187"/>
      <c r="E70" s="1171" t="s">
        <v>1478</v>
      </c>
      <c r="F70" s="1277"/>
      <c r="O70" s="1896" t="s">
        <v>1049</v>
      </c>
      <c r="P70" s="1936" t="s">
        <v>1586</v>
      </c>
      <c r="Q70" s="1888">
        <f ca="1">C13</f>
        <v>108</v>
      </c>
      <c r="R70" s="1888" t="s">
        <v>1530</v>
      </c>
    </row>
    <row r="71" spans="1:18" s="1844" customFormat="1" ht="13.5" thickBot="1">
      <c r="A71" s="1192" t="s">
        <v>1033</v>
      </c>
      <c r="B71" s="1193" t="s">
        <v>1488</v>
      </c>
      <c r="C71" s="382">
        <f ca="1">ROUND(C68*10000/F71,0)</f>
        <v>-2360</v>
      </c>
      <c r="D71" s="1194" t="s">
        <v>1489</v>
      </c>
      <c r="E71" s="1195" t="s">
        <v>1490</v>
      </c>
      <c r="F71" s="385">
        <f ca="1">F43</f>
        <v>271.14</v>
      </c>
      <c r="O71" s="1896" t="s">
        <v>1050</v>
      </c>
      <c r="P71" s="1936" t="s">
        <v>1587</v>
      </c>
      <c r="Q71" s="1899">
        <f ca="1">C76</f>
        <v>8.5000000000000006E-2</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9</v>
      </c>
      <c r="D75" s="1844"/>
      <c r="E75" s="1844"/>
      <c r="F75" s="1844"/>
      <c r="K75" s="1870"/>
      <c r="L75" s="1844"/>
      <c r="O75" s="1886" t="s">
        <v>1046</v>
      </c>
      <c r="P75" s="1887" t="s">
        <v>1550</v>
      </c>
      <c r="Q75" s="1888">
        <f ca="1">Q65+Q66</f>
        <v>749</v>
      </c>
      <c r="R75" s="1888" t="s">
        <v>1047</v>
      </c>
    </row>
    <row r="76" spans="1:18">
      <c r="B76" s="388" t="s">
        <v>1508</v>
      </c>
      <c r="C76" s="389">
        <f ca="1">INDIRECT("'数据-取费表'!j"&amp;$G$1)</f>
        <v>8.5000000000000006E-2</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0.75</v>
      </c>
    </row>
    <row r="80" spans="1:18">
      <c r="B80" s="386" t="s">
        <v>1512</v>
      </c>
      <c r="C80" s="318">
        <f ca="1">ROUND(C75/C39,3)</f>
        <v>0.25</v>
      </c>
    </row>
    <row r="81" spans="2:3">
      <c r="B81" s="314" t="s">
        <v>1513</v>
      </c>
      <c r="C81" s="282"/>
    </row>
    <row r="82" spans="2:3">
      <c r="B82" s="317" t="s">
        <v>1514</v>
      </c>
      <c r="C82" s="319">
        <f ca="1">1-C83</f>
        <v>0.85599999999999998</v>
      </c>
    </row>
    <row r="83" spans="2:3">
      <c r="B83" s="317" t="s">
        <v>1515</v>
      </c>
      <c r="C83" s="318">
        <f ca="1">ROUND(C13/C40,3)</f>
        <v>0.14399999999999999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c r="D1" s="1822"/>
      <c r="E1" s="1823" t="s">
        <v>1387</v>
      </c>
      <c r="F1" s="1285" t="b">
        <f>J53</f>
        <v>0</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4"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4">
        <f ca="1">C6+C10+C12</f>
        <v>0</v>
      </c>
      <c r="D5" s="1824" t="s">
        <v>1602</v>
      </c>
      <c r="E5" s="1295"/>
      <c r="F5" s="1296"/>
      <c r="G5" s="1853"/>
      <c r="H5" s="344">
        <v>1</v>
      </c>
      <c r="I5" s="345" t="s">
        <v>1601</v>
      </c>
      <c r="J5" s="1294">
        <f ca="1">J6+J10+J12</f>
        <v>0</v>
      </c>
      <c r="K5" s="1824" t="s">
        <v>1602</v>
      </c>
      <c r="L5" s="1295"/>
      <c r="M5" s="1296"/>
    </row>
    <row r="6" spans="1:37" ht="18" customHeight="1">
      <c r="A6" s="1293" t="s">
        <v>1035</v>
      </c>
      <c r="B6" s="3257" t="s">
        <v>1403</v>
      </c>
      <c r="C6" s="1298">
        <f ca="1">ROUND(F6*F8*F7*(1-F9),0)</f>
        <v>0</v>
      </c>
      <c r="D6" s="164" t="s">
        <v>3031</v>
      </c>
      <c r="E6" s="347" t="s">
        <v>1405</v>
      </c>
      <c r="F6" s="348">
        <f ca="1">INDIRECT("'数据-取费表'!u"&amp;$G$1)</f>
        <v>0</v>
      </c>
      <c r="G6" s="1853"/>
      <c r="H6" s="1293" t="s">
        <v>1035</v>
      </c>
      <c r="I6" s="3257" t="s">
        <v>1403</v>
      </c>
      <c r="J6" s="346">
        <f ca="1">ROUND(M6*M8*M7*(1-M9),0)</f>
        <v>0</v>
      </c>
      <c r="K6" s="1836" t="s">
        <v>3034</v>
      </c>
      <c r="L6" s="347" t="s">
        <v>1405</v>
      </c>
      <c r="M6" s="348">
        <f ca="1">INDIRECT("'数据-取费表'!z"&amp;$G$1)</f>
        <v>0</v>
      </c>
    </row>
    <row r="7" spans="1:37" ht="18" customHeight="1">
      <c r="A7" s="1297"/>
      <c r="B7" s="3258"/>
      <c r="C7" s="1299"/>
      <c r="D7" s="352"/>
      <c r="E7" s="1300" t="s">
        <v>1406</v>
      </c>
      <c r="F7" s="348">
        <f ca="1">IF(INDIRECT("'数据-取费表'!ah"&amp;$G$1)="",INDIRECT("'数据-取费表'!k"&amp;$G$1),INDIRECT("'数据-取费表'!ah"&amp;$G$1))</f>
        <v>0</v>
      </c>
      <c r="G7" s="1853"/>
      <c r="H7" s="349"/>
      <c r="I7" s="3258"/>
      <c r="J7" s="351"/>
      <c r="K7" s="352"/>
      <c r="L7" s="347" t="s">
        <v>1406</v>
      </c>
      <c r="M7" s="348">
        <f ca="1">F7</f>
        <v>0</v>
      </c>
    </row>
    <row r="8" spans="1:37" ht="18" customHeight="1">
      <c r="A8" s="349"/>
      <c r="B8" s="3258"/>
      <c r="C8" s="351"/>
      <c r="D8" s="352"/>
      <c r="E8" s="347" t="s">
        <v>1407</v>
      </c>
      <c r="F8" s="348">
        <f ca="1">INDIRECT("'数据-取费表'!ai"&amp;$G$1)</f>
        <v>0</v>
      </c>
      <c r="G8" s="1853"/>
      <c r="H8" s="349"/>
      <c r="I8" s="3258"/>
      <c r="J8" s="351"/>
      <c r="K8" s="352"/>
      <c r="L8" s="347" t="s">
        <v>1407</v>
      </c>
      <c r="M8" s="348">
        <f ca="1">INDIRECT("'数据-取费表'!ai"&amp;$G$1)</f>
        <v>0</v>
      </c>
    </row>
    <row r="9" spans="1:37" ht="18" customHeight="1">
      <c r="A9" s="349"/>
      <c r="B9" s="3259"/>
      <c r="C9" s="351"/>
      <c r="D9" s="352"/>
      <c r="E9" s="347" t="s">
        <v>1408</v>
      </c>
      <c r="F9" s="357">
        <f ca="1">INDIRECT("'数据-取费表'!w"&amp;$G$1)</f>
        <v>0</v>
      </c>
      <c r="G9" s="1853"/>
      <c r="H9" s="349"/>
      <c r="I9" s="3259"/>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ROUND(IF(F10="押一",F6*F8*F7/12*F11,IF(F10="押二",F6*F8*F7/12*2*F11,IF(F10="押三",F6*F8*F7/12*3*F11,C11*F11))),0)</f>
        <v>0</v>
      </c>
      <c r="D10" s="1826" t="s">
        <v>3032</v>
      </c>
      <c r="E10" s="358" t="s">
        <v>1411</v>
      </c>
      <c r="F10" s="1368"/>
      <c r="G10" s="1853"/>
      <c r="H10" s="1293" t="s">
        <v>1039</v>
      </c>
      <c r="I10" s="1825" t="s">
        <v>1409</v>
      </c>
      <c r="J10" s="346">
        <f ca="1">ROUND(IF(M10="押一",M6*M8*M7/12*M11,IF(M10="押二",M6*M8*M7/12*2*M11,IF(M10="押三",M6*M8*M7/12*3*M11,J11*M11))),0)</f>
        <v>0</v>
      </c>
      <c r="K10" s="1837" t="s">
        <v>3033</v>
      </c>
      <c r="L10" s="358" t="s">
        <v>1411</v>
      </c>
      <c r="M10" s="1368"/>
    </row>
    <row r="11" spans="1:37" ht="18" customHeight="1">
      <c r="A11" s="353"/>
      <c r="B11" s="1827" t="s">
        <v>1603</v>
      </c>
      <c r="C11" s="1180"/>
      <c r="D11" s="352"/>
      <c r="E11" s="358" t="s">
        <v>1413</v>
      </c>
      <c r="F11" s="359">
        <f ca="1">'数据-取费表'!B39</f>
        <v>1.4999999999999999E-2</v>
      </c>
      <c r="G11" s="1853"/>
      <c r="H11" s="1301"/>
      <c r="I11" s="1827" t="s">
        <v>1604</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0</v>
      </c>
      <c r="D13" s="1333" t="s">
        <v>1416</v>
      </c>
      <c r="E13" s="1333" t="s">
        <v>1417</v>
      </c>
      <c r="F13" s="1334">
        <f ca="1">INDIRECT("'数据-取费表'!y"&amp;$G$1)</f>
        <v>0</v>
      </c>
      <c r="G13" s="1853"/>
      <c r="H13" s="1331">
        <v>2</v>
      </c>
      <c r="I13" s="1332" t="s">
        <v>1415</v>
      </c>
      <c r="J13" s="1292">
        <f ca="1">ROUND(J14*J15,0)</f>
        <v>0</v>
      </c>
      <c r="K13" s="1339" t="s">
        <v>1416</v>
      </c>
      <c r="L13" s="1854"/>
      <c r="M13" s="1855"/>
    </row>
    <row r="14" spans="1:37" ht="18" customHeight="1">
      <c r="A14" s="1203" t="s">
        <v>1034</v>
      </c>
      <c r="B14" s="347" t="s">
        <v>1418</v>
      </c>
      <c r="C14" s="363">
        <f ca="1">ROUND(INDIRECT("'数据-取费表'!l"&amp;$G$1)*F43+'数据-取费表'!L14*INDIRECT("'数据-取费表'!S"&amp;$G$1),0)</f>
        <v>0</v>
      </c>
      <c r="D14" s="1802" t="s">
        <v>1419</v>
      </c>
      <c r="E14" s="1796"/>
      <c r="F14" s="364"/>
      <c r="G14" s="1853"/>
      <c r="H14" s="1203" t="s">
        <v>1035</v>
      </c>
      <c r="I14" s="347" t="s">
        <v>1420</v>
      </c>
      <c r="J14" s="24">
        <f ca="1">C29</f>
        <v>0</v>
      </c>
      <c r="K14" s="15"/>
      <c r="L14" s="981"/>
      <c r="M14" s="982"/>
    </row>
    <row r="15" spans="1:37" s="1860" customFormat="1" ht="18" customHeight="1" thickBot="1">
      <c r="A15" s="1203" t="s">
        <v>1036</v>
      </c>
      <c r="B15" s="347" t="s">
        <v>1421</v>
      </c>
      <c r="C15" s="24">
        <f ca="1">ROUND(C14*F15,0)</f>
        <v>0</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3"/>
      <c r="H16" s="1331" t="s">
        <v>1030</v>
      </c>
      <c r="I16" s="1332" t="s">
        <v>1425</v>
      </c>
      <c r="J16" s="355">
        <f ca="1">ROUND(J17+J22+J23+J24,0)</f>
        <v>0</v>
      </c>
      <c r="K16" s="1339" t="s">
        <v>1426</v>
      </c>
      <c r="L16" s="1340"/>
      <c r="M16" s="1296"/>
    </row>
    <row r="17" spans="1:37" s="1860" customFormat="1" ht="18" customHeight="1">
      <c r="A17" s="1203" t="s">
        <v>1390</v>
      </c>
      <c r="B17" s="347" t="s">
        <v>1427</v>
      </c>
      <c r="C17" s="24">
        <f ca="1">ROUND(F17*(F43+INDIRECT("'数据-取费表'!S"&amp;$G$1)),0)</f>
        <v>0</v>
      </c>
      <c r="D17" s="347" t="s">
        <v>1428</v>
      </c>
      <c r="E17" s="347" t="s">
        <v>1429</v>
      </c>
      <c r="F17" s="26">
        <f>'数据-取费表'!B35</f>
        <v>200</v>
      </c>
      <c r="G17" s="1856"/>
      <c r="H17" s="1203" t="s">
        <v>1035</v>
      </c>
      <c r="I17" s="347" t="s">
        <v>1430</v>
      </c>
      <c r="J17" s="24">
        <f ca="1">ROUND(IF(项目基本情况!B11="自然人",J5*M17,J18+J19+J20),0)</f>
        <v>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0</v>
      </c>
      <c r="D18" s="347" t="s">
        <v>1422</v>
      </c>
      <c r="E18" s="347" t="s">
        <v>1423</v>
      </c>
      <c r="F18" s="367">
        <f>'数据-取费表'!B36</f>
        <v>1.52E-2</v>
      </c>
      <c r="G18" s="1856"/>
      <c r="H18" s="1203" t="s">
        <v>1034</v>
      </c>
      <c r="I18" s="347" t="s">
        <v>1434</v>
      </c>
      <c r="J18" s="24">
        <f ca="1">ROUND(J5*M18/(1+'数据-取费表'!C42),0)</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0</v>
      </c>
      <c r="D19" s="140" t="s">
        <v>1437</v>
      </c>
      <c r="E19" s="1820"/>
      <c r="F19" s="26"/>
      <c r="G19" s="1853"/>
      <c r="H19" s="1203"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3" t="s">
        <v>1039</v>
      </c>
      <c r="B20" s="347" t="s">
        <v>1440</v>
      </c>
      <c r="C20" s="24">
        <f ca="1">ROUND(C19*F20,0)</f>
        <v>0</v>
      </c>
      <c r="D20" s="369" t="s">
        <v>1441</v>
      </c>
      <c r="E20" s="347" t="s">
        <v>1423</v>
      </c>
      <c r="F20" s="367">
        <f>'数据-取费表'!B37</f>
        <v>0.02</v>
      </c>
      <c r="G20" s="1856"/>
      <c r="H20" s="1203" t="s">
        <v>1389</v>
      </c>
      <c r="I20" s="164" t="s">
        <v>1442</v>
      </c>
      <c r="J20" s="25">
        <f ca="1">ROUND(M20*M21,0)</f>
        <v>0</v>
      </c>
      <c r="K20" s="370" t="s">
        <v>1443</v>
      </c>
      <c r="L20" s="347" t="s">
        <v>1444</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20"/>
      <c r="F22" s="26"/>
      <c r="G22" s="1853"/>
      <c r="H22" s="1203" t="s">
        <v>1039</v>
      </c>
      <c r="I22" s="347" t="s">
        <v>1450</v>
      </c>
      <c r="J22" s="24">
        <f ca="1">ROUND(J14*M22,0)</f>
        <v>0</v>
      </c>
      <c r="K22" s="1800" t="s">
        <v>1451</v>
      </c>
      <c r="L22" s="347" t="s">
        <v>1423</v>
      </c>
      <c r="M22" s="374">
        <f ca="1">INDIRECT("'数据-取费表'!Ak"&amp;$G$1)</f>
        <v>0</v>
      </c>
    </row>
    <row r="23" spans="1:37" s="1860" customFormat="1" ht="18" customHeight="1">
      <c r="A23" s="1203"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1.5</v>
      </c>
      <c r="G23" s="1856"/>
      <c r="H23" s="1203"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6.9999999999999999E-4</v>
      </c>
      <c r="D24" s="375" t="str">
        <f>IF(F23&lt;=1,"销售费用×利率×(建设周期÷2)","销售费用×((1+利率)^(建设周期÷2)-1)")</f>
        <v>销售费用×((1+利率)^(建设周期÷2)-1)</v>
      </c>
      <c r="E24" s="347" t="s">
        <v>1459</v>
      </c>
      <c r="F24" s="377">
        <f ca="1">'数据-取费表'!B40</f>
        <v>4.7500000000000001E-2</v>
      </c>
      <c r="G24" s="1856"/>
      <c r="H24" s="1341" t="s">
        <v>1393</v>
      </c>
      <c r="I24" s="1342" t="s">
        <v>1440</v>
      </c>
      <c r="J24" s="1343">
        <f ca="1">ROUND(J5*M24,0)</f>
        <v>0</v>
      </c>
      <c r="K24" s="1344" t="s">
        <v>1460</v>
      </c>
      <c r="L24" s="1342" t="s">
        <v>1456</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1461</v>
      </c>
      <c r="B25" s="347" t="s">
        <v>1462</v>
      </c>
      <c r="C25" s="24"/>
      <c r="D25" s="140" t="s">
        <v>1463</v>
      </c>
      <c r="E25" s="1820"/>
      <c r="F25" s="26"/>
      <c r="G25" s="1853"/>
      <c r="H25" s="1331" t="s">
        <v>1031</v>
      </c>
      <c r="I25" s="1346" t="s">
        <v>1464</v>
      </c>
      <c r="J25" s="355">
        <f ca="1">J5-J16</f>
        <v>0</v>
      </c>
      <c r="K25" s="1347" t="s">
        <v>1465</v>
      </c>
      <c r="L25" s="1348"/>
      <c r="M25" s="1349"/>
    </row>
    <row r="26" spans="1:37" ht="18" customHeight="1">
      <c r="A26" s="1203"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3"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0</v>
      </c>
      <c r="D29" s="1344"/>
      <c r="E29" s="1342"/>
      <c r="F29" s="1345"/>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0</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ROUND(IF(项目基本情况!B11="自然人",C5*F31,C32+C33+C34),0)</f>
        <v>0</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IF(项目基本情况!B11="自然人","——",ROUND(C5*F32/(1+'数据-取费表'!C42),0))</f>
        <v>0</v>
      </c>
      <c r="D32" s="180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0</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f>
        <v>0</v>
      </c>
      <c r="D34" s="370" t="s">
        <v>1443</v>
      </c>
      <c r="E34" s="347" t="s">
        <v>1444</v>
      </c>
      <c r="F34" s="371">
        <f>'数据-取费表'!B52</f>
        <v>3</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ROUND(C29*F36,0)</f>
        <v>0</v>
      </c>
      <c r="D36" s="1800" t="s">
        <v>1483</v>
      </c>
      <c r="E36" s="347" t="s">
        <v>1423</v>
      </c>
      <c r="F36" s="374">
        <f ca="1">INDIRECT("'数据-取费表'!Ak"&amp;$G$1)</f>
        <v>0</v>
      </c>
      <c r="G36" s="1853"/>
      <c r="H36" s="1861"/>
      <c r="I36" s="1862"/>
      <c r="J36" s="1863"/>
      <c r="K36" s="751"/>
      <c r="L36" s="1861"/>
      <c r="M36" s="1861"/>
    </row>
    <row r="37" spans="1:18" ht="18" customHeight="1">
      <c r="A37" s="1203" t="s">
        <v>1075</v>
      </c>
      <c r="B37" s="347" t="s">
        <v>1454</v>
      </c>
      <c r="C37" s="24">
        <f ca="1">ROUND(C13*F37,0)</f>
        <v>0</v>
      </c>
      <c r="D37" s="1800" t="s">
        <v>1455</v>
      </c>
      <c r="E37" s="347" t="s">
        <v>1456</v>
      </c>
      <c r="F37" s="376">
        <f ca="1">INDIRECT("'数据-取费表'!Al"&amp;$G$1)</f>
        <v>0</v>
      </c>
      <c r="G37" s="1853"/>
      <c r="H37" s="1861"/>
      <c r="I37" s="1862"/>
      <c r="J37" s="1863"/>
      <c r="K37" s="751"/>
      <c r="L37" s="1861"/>
      <c r="M37" s="1861"/>
    </row>
    <row r="38" spans="1:18" ht="18" customHeight="1" thickBot="1">
      <c r="A38" s="1341" t="s">
        <v>1393</v>
      </c>
      <c r="B38" s="1342" t="s">
        <v>1440</v>
      </c>
      <c r="C38" s="1343">
        <f ca="1">ROUND(C5*F38,1)</f>
        <v>0</v>
      </c>
      <c r="D38" s="1344" t="s">
        <v>1460</v>
      </c>
      <c r="E38" s="1342" t="s">
        <v>1456</v>
      </c>
      <c r="F38" s="1338">
        <f ca="1">INDIRECT("'数据-取费表'!Am"&amp;$G$1)</f>
        <v>0</v>
      </c>
      <c r="G38" s="1853"/>
      <c r="H38" s="1861"/>
      <c r="I38" s="1862"/>
      <c r="J38" s="1863"/>
      <c r="K38" s="1867"/>
      <c r="L38" s="1861"/>
      <c r="M38" s="1861"/>
    </row>
    <row r="39" spans="1:18" ht="24.6" customHeight="1" thickTop="1">
      <c r="A39" s="1331" t="s">
        <v>1031</v>
      </c>
      <c r="B39" s="1346" t="s">
        <v>1484</v>
      </c>
      <c r="C39" s="355">
        <f ca="1">C5-C30</f>
        <v>0</v>
      </c>
      <c r="D39" s="1347" t="s">
        <v>1485</v>
      </c>
      <c r="E39" s="1348"/>
      <c r="F39" s="1349"/>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7" t="s">
        <v>1396</v>
      </c>
      <c r="B47" s="1199" t="s">
        <v>1397</v>
      </c>
      <c r="C47" s="1199" t="s">
        <v>1398</v>
      </c>
      <c r="D47" s="1199" t="s">
        <v>1399</v>
      </c>
      <c r="E47" s="1281" t="s">
        <v>1400</v>
      </c>
      <c r="F47" s="1282"/>
      <c r="G47" s="792"/>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2" t="s">
        <v>1135</v>
      </c>
      <c r="B48" s="345" t="s">
        <v>1401</v>
      </c>
      <c r="C48" s="1819">
        <f ca="1">C49+C53+C55</f>
        <v>0</v>
      </c>
      <c r="D48" s="1364"/>
      <c r="E48" s="1365"/>
      <c r="F48" s="1183"/>
      <c r="G48" s="792"/>
      <c r="H48" s="793"/>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6" t="s">
        <v>1136</v>
      </c>
      <c r="B49" s="1831" t="s">
        <v>1491</v>
      </c>
      <c r="C49" s="1366">
        <f ca="1">ROUND(F49*F51*F50*(1-F52),0)</f>
        <v>0</v>
      </c>
      <c r="D49" s="1278" t="s">
        <v>1404</v>
      </c>
      <c r="E49" s="1832" t="s">
        <v>1492</v>
      </c>
      <c r="F49" s="1283"/>
      <c r="G49" s="1893"/>
      <c r="H49" s="793"/>
      <c r="I49" s="1889" t="s">
        <v>1535</v>
      </c>
      <c r="J49" s="1894"/>
      <c r="K49" s="1891" t="s">
        <v>1536</v>
      </c>
      <c r="L49" s="1895"/>
      <c r="O49" s="1896" t="s">
        <v>1042</v>
      </c>
      <c r="P49" s="1887" t="s">
        <v>1537</v>
      </c>
      <c r="Q49" s="1888">
        <f ca="1">C29</f>
        <v>0</v>
      </c>
      <c r="R49" s="1888" t="s">
        <v>1530</v>
      </c>
    </row>
    <row r="50" spans="1:18" s="1844" customFormat="1" ht="13.5" thickBot="1">
      <c r="A50" s="1197"/>
      <c r="B50" s="1200"/>
      <c r="C50" s="1201"/>
      <c r="D50" s="1174"/>
      <c r="E50" s="1279" t="s">
        <v>1406</v>
      </c>
      <c r="F50" s="1280">
        <f ca="1">F7</f>
        <v>0</v>
      </c>
      <c r="H50" s="793"/>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8"/>
      <c r="B51" s="1200"/>
      <c r="C51" s="1201"/>
      <c r="D51" s="1174"/>
      <c r="E51" s="1202"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t="b">
        <f>J53</f>
        <v>0</v>
      </c>
      <c r="R52" s="1888" t="s">
        <v>1547</v>
      </c>
    </row>
    <row r="53" spans="1:18" s="1844" customFormat="1" ht="30.75" customHeight="1" thickBot="1">
      <c r="A53" s="1363" t="s">
        <v>1137</v>
      </c>
      <c r="B53" s="369" t="s">
        <v>1409</v>
      </c>
      <c r="C53" s="361">
        <f ca="1">ROUND(IF(F53="押一",F49*F51*F50/12*F11,IF(F53="押二",F49*F51*F50/12*2*F11,IF(F53="押三",F49*F51*F50/12*3*F11,C54*F11))),0)</f>
        <v>0</v>
      </c>
      <c r="D53" s="1826" t="s">
        <v>1410</v>
      </c>
      <c r="E53" s="358" t="s">
        <v>1411</v>
      </c>
      <c r="F53" s="1368"/>
      <c r="I53" s="1907" t="s">
        <v>1548</v>
      </c>
      <c r="J53" s="1908" t="b">
        <f>IF(M47="住宅",J51,IF(D1="——",MIN(J51,L48),IF(D1="在建（套用方法）",MIN(J51,L48-'数据-取费表'!B24),IF(D1="土地（套用方法）",MIN(J51,L48-'数据-取费表'!B20)))))</f>
        <v>0</v>
      </c>
      <c r="K53" s="3255" t="s">
        <v>1549</v>
      </c>
      <c r="L53" s="3256"/>
      <c r="O53" s="1886" t="s">
        <v>1046</v>
      </c>
      <c r="P53" s="1887" t="s">
        <v>1550</v>
      </c>
      <c r="Q53" s="1888" t="e">
        <f ca="1">Q47+Q48</f>
        <v>#DIV/0!</v>
      </c>
      <c r="R53" s="1888" t="s">
        <v>1047</v>
      </c>
    </row>
    <row r="54" spans="1:18" s="1844" customFormat="1" ht="13.5" thickBot="1">
      <c r="A54" s="1196"/>
      <c r="B54" s="1943" t="s">
        <v>1604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8">
        <v>2</v>
      </c>
      <c r="B56" s="1179"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1"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79" t="s">
        <v>1425</v>
      </c>
      <c r="C58" s="361">
        <f ca="1">ROUND(C59+C64+C65+C66,0)</f>
        <v>0</v>
      </c>
      <c r="D58" s="1181" t="s">
        <v>1426</v>
      </c>
      <c r="E58" s="1182"/>
      <c r="F58" s="1183"/>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ROUND(IF(项目基本情况!B11="自然人",C48*F59,C60+C61+C62),0)</f>
        <v>0</v>
      </c>
      <c r="D59" s="1184" t="s">
        <v>1431</v>
      </c>
      <c r="E59" s="1185" t="s">
        <v>1432</v>
      </c>
      <c r="F59" s="368"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IF(项目基本情况!B11="自然人","——",ROUND(C48*F60/(1+'数据-取费表'!C42),0))</f>
        <v>0</v>
      </c>
      <c r="D60" s="1185" t="s">
        <v>1435</v>
      </c>
      <c r="E60" s="1171" t="s">
        <v>1423</v>
      </c>
      <c r="F60" s="377">
        <f t="shared" ref="F60:F66" si="0">F32</f>
        <v>5.6000000000000001E-2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IF(项目基本情况!B11="自然人","——",IF(D61="按租金收入计税",ROUND(C48*F61,0),IF(D61="按房产原值计税",ROUND(C57*F61*0.7,0),INDIRECT("'数据-取费表'!Aj"&amp;$G$1))))</f>
        <v>0</v>
      </c>
      <c r="D61" s="1830" t="s">
        <v>1439</v>
      </c>
      <c r="E61" s="1171"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3" t="s">
        <v>1496</v>
      </c>
      <c r="B62" s="1170" t="s">
        <v>1497</v>
      </c>
      <c r="C62" s="25">
        <f ca="1">IF(项目基本情况!B11="自然人","——",ROUND(F62*F63,0))</f>
        <v>0</v>
      </c>
      <c r="D62" s="1186" t="s">
        <v>1498</v>
      </c>
      <c r="E62" s="1171" t="s">
        <v>1499</v>
      </c>
      <c r="F62" s="371">
        <f t="shared" si="0"/>
        <v>3</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ROUND(C57*F64,0)</f>
        <v>0</v>
      </c>
      <c r="D64" s="1185" t="s">
        <v>1503</v>
      </c>
      <c r="E64" s="1171"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ROUND(C56*F65,0)</f>
        <v>0</v>
      </c>
      <c r="D65" s="1185" t="s">
        <v>1455</v>
      </c>
      <c r="E65" s="1171"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3" t="s">
        <v>1505</v>
      </c>
      <c r="B66" s="1171" t="s">
        <v>1440</v>
      </c>
      <c r="C66" s="24">
        <f ca="1">ROUND(C48*F66,0)</f>
        <v>0</v>
      </c>
      <c r="D66" s="1185" t="s">
        <v>1506</v>
      </c>
      <c r="E66" s="1171" t="s">
        <v>1423</v>
      </c>
      <c r="F66" s="357">
        <f t="shared" ca="1" si="0"/>
        <v>0</v>
      </c>
      <c r="O66" s="1886" t="s">
        <v>1041</v>
      </c>
      <c r="P66" s="1887" t="s">
        <v>1559</v>
      </c>
      <c r="Q66" s="1888" t="e">
        <f ca="1">L60</f>
        <v>#DIV/0!</v>
      </c>
      <c r="R66" s="1888" t="s">
        <v>1582</v>
      </c>
    </row>
    <row r="67" spans="1:18" s="1844" customFormat="1" ht="16.5" thickBot="1">
      <c r="A67" s="1178" t="s">
        <v>1031</v>
      </c>
      <c r="B67" s="1188" t="s">
        <v>1464</v>
      </c>
      <c r="C67" s="361">
        <f ca="1">C48-C58</f>
        <v>0</v>
      </c>
      <c r="D67" s="1184" t="s">
        <v>1465</v>
      </c>
      <c r="E67" s="1189"/>
      <c r="F67" s="1190"/>
      <c r="O67" s="1896" t="s">
        <v>1042</v>
      </c>
      <c r="P67" s="1887" t="s">
        <v>1563</v>
      </c>
      <c r="Q67" s="1935">
        <f ca="1">L51</f>
        <v>0</v>
      </c>
      <c r="R67" s="1888" t="s">
        <v>1583</v>
      </c>
    </row>
    <row r="68" spans="1:18" s="1844" customFormat="1" ht="16.5" thickBot="1">
      <c r="A68" s="1168" t="s">
        <v>1032</v>
      </c>
      <c r="B68" s="1169" t="s">
        <v>1486</v>
      </c>
      <c r="C68" s="346" t="e">
        <f ca="1">ROUND(C67*(1-((1+F70)/(1+F68))^F69)/(F68-F70),0)</f>
        <v>#DIV/0!</v>
      </c>
      <c r="D68" s="1186" t="s">
        <v>1470</v>
      </c>
      <c r="E68" s="1171" t="s">
        <v>1471</v>
      </c>
      <c r="F68" s="357">
        <f ca="1">F40</f>
        <v>0</v>
      </c>
      <c r="O68" s="1896" t="s">
        <v>1043</v>
      </c>
      <c r="P68" s="1936" t="s">
        <v>1584</v>
      </c>
      <c r="Q68" s="1888">
        <f ca="1">ROUND(Q69-Q70*Q71,0)</f>
        <v>0</v>
      </c>
      <c r="R68" s="1888" t="s">
        <v>1051</v>
      </c>
    </row>
    <row r="69" spans="1:18" s="1844" customFormat="1" ht="13.5" thickBot="1">
      <c r="A69" s="1172"/>
      <c r="B69" s="1173"/>
      <c r="C69" s="351"/>
      <c r="D69" s="1191" t="s">
        <v>1474</v>
      </c>
      <c r="E69" s="1171" t="s">
        <v>1475</v>
      </c>
      <c r="F69" s="379">
        <f ca="1">F41</f>
        <v>0</v>
      </c>
      <c r="O69" s="1896" t="s">
        <v>1048</v>
      </c>
      <c r="P69" s="1936" t="s">
        <v>1585</v>
      </c>
      <c r="Q69" s="1888">
        <f ca="1">C39</f>
        <v>0</v>
      </c>
      <c r="R69" s="1888" t="s">
        <v>1530</v>
      </c>
    </row>
    <row r="70" spans="1:18" s="1844" customFormat="1" ht="13.5" thickBot="1">
      <c r="A70" s="1175"/>
      <c r="B70" s="1176"/>
      <c r="C70" s="355"/>
      <c r="D70" s="1187"/>
      <c r="E70" s="1171" t="s">
        <v>1478</v>
      </c>
      <c r="F70" s="1277">
        <f ca="1">F42</f>
        <v>0</v>
      </c>
      <c r="O70" s="1896" t="s">
        <v>1049</v>
      </c>
      <c r="P70" s="1936" t="s">
        <v>1586</v>
      </c>
      <c r="Q70" s="1888">
        <f ca="1">C13</f>
        <v>0</v>
      </c>
      <c r="R70" s="1888" t="s">
        <v>1530</v>
      </c>
    </row>
    <row r="71" spans="1:18" s="1844" customFormat="1" ht="13.5" thickBot="1">
      <c r="A71" s="1192" t="s">
        <v>1033</v>
      </c>
      <c r="B71" s="1193" t="s">
        <v>1488</v>
      </c>
      <c r="C71" s="382" t="e">
        <f ca="1">ROUND(C68/F71,0)</f>
        <v>#DIV/0!</v>
      </c>
      <c r="D71" s="1194" t="s">
        <v>1489</v>
      </c>
      <c r="E71" s="1195" t="s">
        <v>1490</v>
      </c>
      <c r="F71" s="385">
        <f ca="1">F43</f>
        <v>0</v>
      </c>
      <c r="O71" s="1896" t="s">
        <v>1050</v>
      </c>
      <c r="P71" s="1936" t="s">
        <v>1587</v>
      </c>
      <c r="Q71" s="1899">
        <f ca="1">C76</f>
        <v>0</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0" t="s">
        <v>1076</v>
      </c>
      <c r="B1" s="3261"/>
      <c r="C1" s="3262"/>
      <c r="D1" s="3263">
        <f>SUM(I10,I15,I20,I21,I23)</f>
        <v>0</v>
      </c>
      <c r="E1" s="3263"/>
      <c r="F1" s="3263"/>
      <c r="G1" s="3263"/>
      <c r="H1" s="3263"/>
      <c r="I1" s="3264"/>
    </row>
    <row r="2" spans="1:9">
      <c r="A2" s="3265" t="s">
        <v>1077</v>
      </c>
      <c r="B2" s="3266" t="s">
        <v>1078</v>
      </c>
      <c r="C2" s="3266"/>
      <c r="D2" s="1303" t="s">
        <v>1079</v>
      </c>
      <c r="E2" s="1303" t="s">
        <v>1080</v>
      </c>
      <c r="F2" s="1303" t="s">
        <v>1081</v>
      </c>
      <c r="G2" s="1303" t="s">
        <v>1082</v>
      </c>
      <c r="H2" s="1303" t="s">
        <v>1083</v>
      </c>
      <c r="I2" s="1304" t="s">
        <v>1084</v>
      </c>
    </row>
    <row r="3" spans="1:9">
      <c r="A3" s="3265"/>
      <c r="B3" s="3266" t="s">
        <v>1085</v>
      </c>
      <c r="C3" s="3266"/>
      <c r="D3" s="1305"/>
      <c r="E3" s="1303"/>
      <c r="F3" s="1306"/>
      <c r="G3" s="1306"/>
      <c r="H3" s="1307"/>
      <c r="I3" s="1308">
        <f>ROUND(D3*E3*F3*G3*H3/10000,0)</f>
        <v>0</v>
      </c>
    </row>
    <row r="4" spans="1:9">
      <c r="A4" s="3265"/>
      <c r="B4" s="3266" t="s">
        <v>1086</v>
      </c>
      <c r="C4" s="3266"/>
      <c r="D4" s="1305"/>
      <c r="E4" s="1303"/>
      <c r="F4" s="1306"/>
      <c r="G4" s="1306"/>
      <c r="H4" s="1307"/>
      <c r="I4" s="1308">
        <f t="shared" ref="I4:I9" si="0">ROUND(D4*E4*F4*G4*H4/10000,0)</f>
        <v>0</v>
      </c>
    </row>
    <row r="5" spans="1:9">
      <c r="A5" s="3265"/>
      <c r="B5" s="3266" t="s">
        <v>1087</v>
      </c>
      <c r="C5" s="3266"/>
      <c r="D5" s="1305"/>
      <c r="E5" s="1303"/>
      <c r="F5" s="1306"/>
      <c r="G5" s="1306"/>
      <c r="H5" s="1307"/>
      <c r="I5" s="1308">
        <f t="shared" si="0"/>
        <v>0</v>
      </c>
    </row>
    <row r="6" spans="1:9">
      <c r="A6" s="3265"/>
      <c r="B6" s="3266" t="s">
        <v>1088</v>
      </c>
      <c r="C6" s="3266"/>
      <c r="D6" s="1305"/>
      <c r="E6" s="1303"/>
      <c r="F6" s="1306"/>
      <c r="G6" s="1306"/>
      <c r="H6" s="1307"/>
      <c r="I6" s="1308">
        <f t="shared" si="0"/>
        <v>0</v>
      </c>
    </row>
    <row r="7" spans="1:9">
      <c r="A7" s="3265"/>
      <c r="B7" s="3266" t="s">
        <v>1089</v>
      </c>
      <c r="C7" s="3266"/>
      <c r="D7" s="1305"/>
      <c r="E7" s="1303"/>
      <c r="F7" s="1306"/>
      <c r="G7" s="1306"/>
      <c r="H7" s="1307"/>
      <c r="I7" s="1308">
        <f t="shared" si="0"/>
        <v>0</v>
      </c>
    </row>
    <row r="8" spans="1:9">
      <c r="A8" s="3265"/>
      <c r="B8" s="3266" t="s">
        <v>1090</v>
      </c>
      <c r="C8" s="3266"/>
      <c r="D8" s="1305"/>
      <c r="E8" s="1303"/>
      <c r="F8" s="1306"/>
      <c r="G8" s="1306"/>
      <c r="H8" s="1307"/>
      <c r="I8" s="1308">
        <f t="shared" si="0"/>
        <v>0</v>
      </c>
    </row>
    <row r="9" spans="1:9">
      <c r="A9" s="3265"/>
      <c r="B9" s="3266" t="s">
        <v>1091</v>
      </c>
      <c r="C9" s="3266"/>
      <c r="D9" s="1305"/>
      <c r="E9" s="1303"/>
      <c r="F9" s="1306"/>
      <c r="G9" s="1306"/>
      <c r="H9" s="1307"/>
      <c r="I9" s="1308">
        <f t="shared" si="0"/>
        <v>0</v>
      </c>
    </row>
    <row r="10" spans="1:9">
      <c r="A10" s="3265"/>
      <c r="B10" s="3267" t="s">
        <v>1092</v>
      </c>
      <c r="C10" s="3267"/>
      <c r="D10" s="1309"/>
      <c r="E10" s="1309" t="e">
        <f>ROUND(D1*10000/D10/H9,0)</f>
        <v>#DIV/0!</v>
      </c>
      <c r="F10" s="1310"/>
      <c r="G10" s="1310"/>
      <c r="H10" s="1311"/>
      <c r="I10" s="1312">
        <f>SUM(I3:I9)</f>
        <v>0</v>
      </c>
    </row>
    <row r="11" spans="1:9" ht="14.25">
      <c r="A11" s="3265" t="s">
        <v>1093</v>
      </c>
      <c r="B11" s="3266" t="s">
        <v>1094</v>
      </c>
      <c r="C11" s="3266"/>
      <c r="D11" s="1305" t="s">
        <v>1095</v>
      </c>
      <c r="E11" s="1305" t="s">
        <v>1096</v>
      </c>
      <c r="F11" s="1306" t="s">
        <v>1097</v>
      </c>
      <c r="G11" s="1306" t="s">
        <v>1083</v>
      </c>
      <c r="H11" s="1313" t="s">
        <v>1098</v>
      </c>
      <c r="I11" s="1304" t="s">
        <v>1084</v>
      </c>
    </row>
    <row r="12" spans="1:9">
      <c r="A12" s="3265"/>
      <c r="B12" s="3266" t="s">
        <v>1099</v>
      </c>
      <c r="C12" s="3266"/>
      <c r="D12" s="1305"/>
      <c r="E12" s="1305"/>
      <c r="F12" s="1306"/>
      <c r="G12" s="1307"/>
      <c r="H12" s="1314"/>
      <c r="I12" s="1304">
        <f>ROUND(D12*E12*F12*G12/10000,0)</f>
        <v>0</v>
      </c>
    </row>
    <row r="13" spans="1:9">
      <c r="A13" s="3265"/>
      <c r="B13" s="3266" t="s">
        <v>1100</v>
      </c>
      <c r="C13" s="3266"/>
      <c r="D13" s="1305"/>
      <c r="E13" s="1305"/>
      <c r="F13" s="1306"/>
      <c r="G13" s="1307"/>
      <c r="H13" s="1314"/>
      <c r="I13" s="1304">
        <f>ROUND(D13*E13*F13*G13/10000,0)</f>
        <v>0</v>
      </c>
    </row>
    <row r="14" spans="1:9">
      <c r="A14" s="3265"/>
      <c r="B14" s="3266" t="s">
        <v>1101</v>
      </c>
      <c r="C14" s="3266"/>
      <c r="D14" s="1305"/>
      <c r="E14" s="1305"/>
      <c r="F14" s="1306"/>
      <c r="G14" s="1307"/>
      <c r="H14" s="1314"/>
      <c r="I14" s="1304">
        <f>ROUND(D14*E14*F14*G14/10000,0)</f>
        <v>0</v>
      </c>
    </row>
    <row r="15" spans="1:9">
      <c r="A15" s="3265"/>
      <c r="B15" s="3267" t="s">
        <v>1092</v>
      </c>
      <c r="C15" s="3267"/>
      <c r="D15" s="1309"/>
      <c r="E15" s="1309">
        <f>SUM(E12:E14)</f>
        <v>0</v>
      </c>
      <c r="F15" s="1310"/>
      <c r="G15" s="1307"/>
      <c r="H15" s="1314"/>
      <c r="I15" s="1315">
        <f>SUM(I12:I14)</f>
        <v>0</v>
      </c>
    </row>
    <row r="16" spans="1:9" ht="24">
      <c r="A16" s="3265" t="s">
        <v>1102</v>
      </c>
      <c r="B16" s="3266" t="s">
        <v>1103</v>
      </c>
      <c r="C16" s="3266"/>
      <c r="D16" s="1305" t="s">
        <v>1079</v>
      </c>
      <c r="E16" s="1316" t="s">
        <v>1104</v>
      </c>
      <c r="F16" s="1306" t="s">
        <v>1105</v>
      </c>
      <c r="G16" s="1307" t="s">
        <v>1083</v>
      </c>
      <c r="H16" s="1313" t="s">
        <v>1098</v>
      </c>
      <c r="I16" s="1304" t="s">
        <v>1084</v>
      </c>
    </row>
    <row r="17" spans="1:9" ht="14.25">
      <c r="A17" s="3265"/>
      <c r="B17" s="3266" t="s">
        <v>1106</v>
      </c>
      <c r="C17" s="3266"/>
      <c r="D17" s="1305"/>
      <c r="E17" s="1305"/>
      <c r="F17" s="1306"/>
      <c r="G17" s="1307"/>
      <c r="H17" s="1317"/>
      <c r="I17" s="1318">
        <f>ROUND(D17*E17*F17*G17/10000,0)</f>
        <v>0</v>
      </c>
    </row>
    <row r="18" spans="1:9" ht="14.25">
      <c r="A18" s="3265"/>
      <c r="B18" s="3266" t="s">
        <v>1107</v>
      </c>
      <c r="C18" s="3266"/>
      <c r="D18" s="1305"/>
      <c r="E18" s="1305"/>
      <c r="F18" s="1306"/>
      <c r="G18" s="1307"/>
      <c r="H18" s="1317"/>
      <c r="I18" s="1318">
        <f>ROUND(D18*E18*F18*G18/10000,0)</f>
        <v>0</v>
      </c>
    </row>
    <row r="19" spans="1:9" ht="14.25">
      <c r="A19" s="3265"/>
      <c r="B19" s="3266" t="s">
        <v>1108</v>
      </c>
      <c r="C19" s="3266"/>
      <c r="D19" s="1305"/>
      <c r="E19" s="1305"/>
      <c r="F19" s="1306"/>
      <c r="G19" s="1307"/>
      <c r="H19" s="1317"/>
      <c r="I19" s="1318">
        <f>ROUND(D19*E19*F19*G19/10000,0)</f>
        <v>0</v>
      </c>
    </row>
    <row r="20" spans="1:9">
      <c r="A20" s="3265"/>
      <c r="B20" s="3267" t="s">
        <v>1092</v>
      </c>
      <c r="C20" s="3267"/>
      <c r="D20" s="1309">
        <f>SUM(D17:D19)</f>
        <v>0</v>
      </c>
      <c r="E20" s="1309"/>
      <c r="F20" s="1310"/>
      <c r="G20" s="1307"/>
      <c r="H20" s="1314"/>
      <c r="I20" s="1315">
        <f>SUM(I17:I19)</f>
        <v>0</v>
      </c>
    </row>
    <row r="21" spans="1:9">
      <c r="A21" s="3265" t="s">
        <v>1109</v>
      </c>
      <c r="B21" s="3269"/>
      <c r="C21" s="3269"/>
      <c r="D21" s="3269"/>
      <c r="E21" s="3269"/>
      <c r="F21" s="3269"/>
      <c r="G21" s="3269"/>
      <c r="H21" s="1767">
        <v>0.1</v>
      </c>
      <c r="I21" s="1312">
        <f>ROUND(I10*H21,0)</f>
        <v>0</v>
      </c>
    </row>
    <row r="22" spans="1:9" ht="14.25">
      <c r="A22" s="3270" t="s">
        <v>1110</v>
      </c>
      <c r="B22" s="3271"/>
      <c r="C22" s="3272"/>
      <c r="D22" s="1319" t="s">
        <v>1111</v>
      </c>
      <c r="E22" s="1319" t="s">
        <v>1112</v>
      </c>
      <c r="F22" s="1320" t="s">
        <v>1113</v>
      </c>
      <c r="G22" s="1320" t="s">
        <v>1114</v>
      </c>
      <c r="H22" s="1313" t="s">
        <v>1115</v>
      </c>
      <c r="I22" s="1304" t="s">
        <v>1116</v>
      </c>
    </row>
    <row r="23" spans="1:9" ht="14.25" thickBot="1">
      <c r="A23" s="3273"/>
      <c r="B23" s="3274"/>
      <c r="C23" s="3275"/>
      <c r="D23" s="1321"/>
      <c r="E23" s="1321"/>
      <c r="F23" s="1321"/>
      <c r="G23" s="1322"/>
      <c r="H23" s="1323"/>
      <c r="I23" s="1324">
        <f>ROUND(E23*D23*F23*(1-G23)/10000,0)</f>
        <v>0</v>
      </c>
    </row>
    <row r="26" spans="1:9">
      <c r="A26" s="1325" t="s">
        <v>1117</v>
      </c>
      <c r="B26" s="1325"/>
      <c r="C26" s="1325"/>
      <c r="D26" s="1325"/>
      <c r="E26" s="3276">
        <f>C27-C30-C31-C32</f>
        <v>0</v>
      </c>
      <c r="F26" s="3276"/>
      <c r="G26" s="3276"/>
      <c r="H26" s="1739" t="s">
        <v>1340</v>
      </c>
    </row>
    <row r="27" spans="1:9">
      <c r="A27" s="1326">
        <v>1</v>
      </c>
      <c r="B27" s="1327" t="s">
        <v>1118</v>
      </c>
      <c r="C27" s="1327">
        <f>C28+C29</f>
        <v>0</v>
      </c>
      <c r="D27" s="1327"/>
      <c r="E27" s="3277"/>
      <c r="F27" s="3277"/>
      <c r="G27" s="3277"/>
    </row>
    <row r="28" spans="1:9">
      <c r="A28" s="1328" t="s">
        <v>1119</v>
      </c>
      <c r="B28" s="1327" t="s">
        <v>1120</v>
      </c>
      <c r="C28" s="1327"/>
      <c r="D28" s="1327"/>
      <c r="E28" s="3277"/>
      <c r="F28" s="3277"/>
      <c r="G28" s="327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68"/>
      <c r="F32" s="3268"/>
      <c r="G32" s="3268"/>
    </row>
    <row r="33" spans="1:7" hidden="1">
      <c r="A33" s="3278" t="s">
        <v>1129</v>
      </c>
      <c r="B33" s="3279"/>
      <c r="C33" s="3279"/>
      <c r="D33" s="3280"/>
      <c r="E33" s="3276"/>
      <c r="F33" s="3276"/>
      <c r="G33" s="3276"/>
    </row>
    <row r="34" spans="1:7" hidden="1">
      <c r="A34" s="1330">
        <v>1</v>
      </c>
      <c r="B34" s="1327" t="s">
        <v>1130</v>
      </c>
      <c r="C34" s="1327"/>
      <c r="D34" s="1327"/>
      <c r="E34" s="3277"/>
      <c r="F34" s="3277"/>
      <c r="G34" s="3277"/>
    </row>
    <row r="35" spans="1:7" hidden="1">
      <c r="A35" s="1330">
        <v>2</v>
      </c>
      <c r="B35" s="1327" t="s">
        <v>1131</v>
      </c>
      <c r="C35" s="1327"/>
      <c r="D35" s="1327"/>
      <c r="E35" s="3277"/>
      <c r="F35" s="3277"/>
      <c r="G35" s="3277"/>
    </row>
    <row r="36" spans="1:7" hidden="1">
      <c r="A36" s="1330">
        <v>3</v>
      </c>
      <c r="B36" s="1327" t="s">
        <v>1132</v>
      </c>
      <c r="C36" s="1327"/>
      <c r="D36" s="1327"/>
      <c r="E36" s="3277"/>
      <c r="F36" s="3277"/>
      <c r="G36" s="3277"/>
    </row>
    <row r="37" spans="1:7" hidden="1">
      <c r="A37" s="1330">
        <v>4</v>
      </c>
      <c r="B37" s="1327" t="s">
        <v>1133</v>
      </c>
      <c r="C37" s="1327"/>
      <c r="D37" s="1327"/>
      <c r="E37" s="3277"/>
      <c r="F37" s="3277"/>
      <c r="G37" s="3277"/>
    </row>
    <row r="38" spans="1:7" hidden="1">
      <c r="A38" s="3278" t="s">
        <v>1134</v>
      </c>
      <c r="B38" s="3279"/>
      <c r="C38" s="3279"/>
      <c r="D38" s="3280"/>
      <c r="E38" s="3276"/>
      <c r="F38" s="3276"/>
      <c r="G38" s="32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3" t="s">
        <v>2530</v>
      </c>
      <c r="C1" s="1636" t="s">
        <v>2531</v>
      </c>
      <c r="D1" s="1623"/>
      <c r="E1" s="2584"/>
      <c r="F1" s="2585" t="s">
        <v>2532</v>
      </c>
      <c r="G1" s="1633" t="s">
        <v>2533</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7"/>
      <c r="D2" s="1367" t="e">
        <f ca="1">SUMIF(INDIRECT("'"&amp;F2&amp;"'"&amp;"!A:A"),"承租人权益价值",INDIRECT("'"&amp;F2&amp;"'"&amp;"!c:c"))</f>
        <v>#REF!</v>
      </c>
      <c r="E2" s="2588" t="s">
        <v>2534</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2535</v>
      </c>
      <c r="D3" s="399">
        <f>IF(D1="",'数据-汇总表'!E3,SUMIF('数据-汇总表'!$C19:$C33,D1,'数据-汇总表'!$E19:$E33))</f>
        <v>3647.3</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2536</v>
      </c>
      <c r="B4" s="402"/>
      <c r="C4" s="3224" t="s">
        <v>2537</v>
      </c>
      <c r="D4" s="3225"/>
      <c r="E4" s="3226" t="s">
        <v>2538</v>
      </c>
      <c r="F4" s="3227"/>
      <c r="G4" s="3224" t="s">
        <v>2539</v>
      </c>
      <c r="H4" s="3225"/>
      <c r="I4" s="3224" t="s">
        <v>2540</v>
      </c>
      <c r="J4" s="3225"/>
      <c r="K4" s="2597" t="s">
        <v>2541</v>
      </c>
      <c r="L4" s="1132"/>
      <c r="M4" s="1133"/>
      <c r="N4" s="1133"/>
      <c r="O4" s="1133"/>
      <c r="P4" s="3286" t="s">
        <v>2542</v>
      </c>
      <c r="Q4" s="3287"/>
      <c r="R4" s="3282" t="s">
        <v>2538</v>
      </c>
      <c r="S4" s="3283"/>
      <c r="T4" s="3282" t="s">
        <v>2539</v>
      </c>
      <c r="U4" s="3283"/>
      <c r="V4" s="3237" t="s">
        <v>2540</v>
      </c>
      <c r="W4" s="3237"/>
      <c r="X4" s="1815"/>
      <c r="Y4" s="3282" t="s">
        <v>2542</v>
      </c>
      <c r="Z4" s="3283"/>
      <c r="AA4" s="3281" t="s">
        <v>2538</v>
      </c>
      <c r="AB4" s="3281" t="s">
        <v>2539</v>
      </c>
      <c r="AC4" s="3281" t="s">
        <v>2540</v>
      </c>
    </row>
    <row r="5" spans="1:29" ht="15">
      <c r="A5" s="404"/>
      <c r="B5" s="405"/>
      <c r="C5" s="3217" t="s">
        <v>2543</v>
      </c>
      <c r="D5" s="3214"/>
      <c r="E5" s="3284" t="s">
        <v>2544</v>
      </c>
      <c r="F5" s="3212"/>
      <c r="G5" s="3217" t="s">
        <v>2545</v>
      </c>
      <c r="H5" s="3214"/>
      <c r="I5" s="3217" t="s">
        <v>2546</v>
      </c>
      <c r="J5" s="3214"/>
      <c r="K5" s="2598"/>
      <c r="L5" s="1132"/>
      <c r="M5" s="1133"/>
      <c r="N5" s="1133"/>
      <c r="O5" s="1133"/>
      <c r="P5" s="3288"/>
      <c r="Q5" s="3231"/>
      <c r="R5" s="3209"/>
      <c r="S5" s="3210"/>
      <c r="T5" s="3209"/>
      <c r="U5" s="3210"/>
      <c r="V5" s="3237"/>
      <c r="W5" s="3237"/>
      <c r="X5" s="1815"/>
      <c r="Y5" s="3209"/>
      <c r="Z5" s="3210"/>
      <c r="AA5" s="3203"/>
      <c r="AB5" s="3203"/>
      <c r="AC5" s="3203"/>
    </row>
    <row r="6" spans="1:29" ht="15.75" thickBot="1">
      <c r="A6" s="406"/>
      <c r="B6" s="407"/>
      <c r="C6" s="3238" t="s">
        <v>2547</v>
      </c>
      <c r="D6" s="3216"/>
      <c r="E6" s="3285" t="s">
        <v>2547</v>
      </c>
      <c r="F6" s="3219"/>
      <c r="G6" s="3238" t="s">
        <v>2547</v>
      </c>
      <c r="H6" s="3216"/>
      <c r="I6" s="3238" t="s">
        <v>2547</v>
      </c>
      <c r="J6" s="3216"/>
      <c r="K6" s="2598" t="s">
        <v>2548</v>
      </c>
      <c r="L6" s="1132"/>
      <c r="M6" s="1133"/>
      <c r="N6" s="1133"/>
      <c r="O6" s="1133"/>
      <c r="P6" s="3289"/>
      <c r="Q6" s="3233"/>
      <c r="R6" s="3209"/>
      <c r="S6" s="3210"/>
      <c r="T6" s="3234"/>
      <c r="U6" s="3235"/>
      <c r="V6" s="3237"/>
      <c r="W6" s="3237"/>
      <c r="X6" s="1815"/>
      <c r="Y6" s="3234"/>
      <c r="Z6" s="3235"/>
      <c r="AA6" s="3204"/>
      <c r="AB6" s="3204"/>
      <c r="AC6" s="3204"/>
    </row>
    <row r="7" spans="1:29" s="117" customFormat="1" ht="15.75" thickBot="1">
      <c r="A7" s="408" t="s">
        <v>2549</v>
      </c>
      <c r="B7" s="409"/>
      <c r="C7" s="410">
        <f>'数据-取费表'!B2</f>
        <v>43100</v>
      </c>
      <c r="D7" s="411">
        <v>100</v>
      </c>
      <c r="E7" s="412"/>
      <c r="F7" s="413">
        <f>SUMIF(58:58,YEAR(E7)&amp;"-"&amp;MONTH(E7),59:59)</f>
        <v>0</v>
      </c>
      <c r="G7" s="412"/>
      <c r="H7" s="411">
        <f>SUMIF(58:58,YEAR(G7)&amp;"-"&amp;MONTH(G7),59:59)</f>
        <v>0</v>
      </c>
      <c r="I7" s="412"/>
      <c r="J7" s="411">
        <f>SUMIF(58:58,YEAR(I7)&amp;"-"&amp;MONTH(I7),59:59)</f>
        <v>0</v>
      </c>
      <c r="K7" s="2599"/>
      <c r="L7" s="1134"/>
      <c r="M7" s="1135"/>
      <c r="N7" s="1135"/>
      <c r="O7" s="1135"/>
      <c r="P7" s="3205" t="s">
        <v>2550</v>
      </c>
      <c r="Q7" s="3240"/>
      <c r="R7" s="770" t="s">
        <v>23</v>
      </c>
      <c r="S7" s="771">
        <f t="shared" ref="S7:S15" si="0">F7</f>
        <v>0</v>
      </c>
      <c r="T7" s="770" t="s">
        <v>23</v>
      </c>
      <c r="U7" s="771">
        <f t="shared" ref="U7:U15" si="1">H7</f>
        <v>0</v>
      </c>
      <c r="V7" s="770" t="s">
        <v>23</v>
      </c>
      <c r="W7" s="771">
        <f t="shared" ref="W7:W15" si="2">J7</f>
        <v>0</v>
      </c>
      <c r="X7" s="772"/>
      <c r="Y7" s="3205" t="s">
        <v>2550</v>
      </c>
      <c r="Z7" s="3206"/>
      <c r="AA7" s="773" t="e">
        <f>D7/F7</f>
        <v>#DIV/0!</v>
      </c>
      <c r="AB7" s="773" t="e">
        <f>D7/H7</f>
        <v>#DIV/0!</v>
      </c>
      <c r="AC7" s="773"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4"/>
      <c r="M8" s="1135"/>
      <c r="N8" s="1135"/>
      <c r="O8" s="1135"/>
      <c r="P8" s="3205" t="s">
        <v>2553</v>
      </c>
      <c r="Q8" s="3206"/>
      <c r="R8" s="770" t="s">
        <v>23</v>
      </c>
      <c r="S8" s="771">
        <f t="shared" si="0"/>
        <v>0</v>
      </c>
      <c r="T8" s="770" t="s">
        <v>23</v>
      </c>
      <c r="U8" s="771">
        <f t="shared" si="1"/>
        <v>0</v>
      </c>
      <c r="V8" s="770" t="s">
        <v>23</v>
      </c>
      <c r="W8" s="771">
        <f t="shared" si="2"/>
        <v>0</v>
      </c>
      <c r="X8" s="772"/>
      <c r="Y8" s="3205" t="s">
        <v>2553</v>
      </c>
      <c r="Z8" s="320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4"/>
      <c r="M9" s="1135"/>
      <c r="N9" s="1135"/>
      <c r="O9" s="1135"/>
      <c r="P9" s="3220" t="s">
        <v>2556</v>
      </c>
      <c r="Q9" s="1797" t="str">
        <f t="shared" ref="Q9:Q15" si="6">B9</f>
        <v>用途</v>
      </c>
      <c r="R9" s="770" t="s">
        <v>17</v>
      </c>
      <c r="S9" s="771">
        <f t="shared" si="0"/>
        <v>100</v>
      </c>
      <c r="T9" s="770" t="s">
        <v>17</v>
      </c>
      <c r="U9" s="771">
        <f t="shared" si="1"/>
        <v>100</v>
      </c>
      <c r="V9" s="770" t="s">
        <v>17</v>
      </c>
      <c r="W9" s="771">
        <f t="shared" si="2"/>
        <v>100</v>
      </c>
      <c r="X9" s="772"/>
      <c r="Y9" s="307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20"/>
      <c r="Q10" s="1797"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20"/>
      <c r="Q11" s="1797" t="str">
        <f t="shared" si="6"/>
        <v>容积率</v>
      </c>
      <c r="R11" s="770" t="s">
        <v>21</v>
      </c>
      <c r="S11" s="771" t="e">
        <f t="shared" si="0"/>
        <v>#N/A</v>
      </c>
      <c r="T11" s="770" t="s">
        <v>21</v>
      </c>
      <c r="U11" s="771" t="e">
        <f t="shared" si="1"/>
        <v>#N/A</v>
      </c>
      <c r="V11" s="770" t="s">
        <v>21</v>
      </c>
      <c r="W11" s="771" t="e">
        <f t="shared" si="2"/>
        <v>#N/A</v>
      </c>
      <c r="X11" s="772"/>
      <c r="Y11" s="3074"/>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4"/>
      <c r="M12" s="1135"/>
      <c r="N12" s="1135"/>
      <c r="O12" s="1135"/>
      <c r="P12" s="3220"/>
      <c r="Q12" s="1797">
        <f t="shared" si="6"/>
        <v>111</v>
      </c>
      <c r="R12" s="770" t="s">
        <v>21</v>
      </c>
      <c r="S12" s="771">
        <f t="shared" si="0"/>
        <v>100</v>
      </c>
      <c r="T12" s="770" t="s">
        <v>21</v>
      </c>
      <c r="U12" s="771">
        <f t="shared" si="1"/>
        <v>100</v>
      </c>
      <c r="V12" s="770" t="s">
        <v>21</v>
      </c>
      <c r="W12" s="771">
        <f t="shared" si="2"/>
        <v>100</v>
      </c>
      <c r="X12" s="772"/>
      <c r="Y12" s="307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220"/>
      <c r="Q13" s="1797">
        <f t="shared" si="6"/>
        <v>111</v>
      </c>
      <c r="R13" s="770" t="s">
        <v>21</v>
      </c>
      <c r="S13" s="771">
        <f t="shared" si="0"/>
        <v>100</v>
      </c>
      <c r="T13" s="770" t="s">
        <v>21</v>
      </c>
      <c r="U13" s="771">
        <f t="shared" si="1"/>
        <v>100</v>
      </c>
      <c r="V13" s="770" t="s">
        <v>21</v>
      </c>
      <c r="W13" s="771">
        <f t="shared" si="2"/>
        <v>100</v>
      </c>
      <c r="X13" s="772"/>
      <c r="Y13" s="3074"/>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220"/>
      <c r="Q14" s="1797">
        <f t="shared" si="6"/>
        <v>111</v>
      </c>
      <c r="R14" s="770" t="s">
        <v>21</v>
      </c>
      <c r="S14" s="771">
        <f t="shared" si="0"/>
        <v>100</v>
      </c>
      <c r="T14" s="770" t="s">
        <v>21</v>
      </c>
      <c r="U14" s="771">
        <f t="shared" si="1"/>
        <v>100</v>
      </c>
      <c r="V14" s="770" t="s">
        <v>21</v>
      </c>
      <c r="W14" s="771">
        <f t="shared" si="2"/>
        <v>100</v>
      </c>
      <c r="X14" s="772"/>
      <c r="Y14" s="3074"/>
      <c r="Z14" s="55">
        <f t="shared" si="7"/>
        <v>111</v>
      </c>
      <c r="AA14" s="773">
        <f t="shared" si="3"/>
        <v>1</v>
      </c>
      <c r="AB14" s="773">
        <f t="shared" si="4"/>
        <v>1</v>
      </c>
      <c r="AC14" s="773">
        <f t="shared" si="5"/>
        <v>1</v>
      </c>
    </row>
    <row r="15" spans="1:29" ht="15">
      <c r="A15" s="440" t="s">
        <v>2560</v>
      </c>
      <c r="B15" s="69" t="s">
        <v>2089</v>
      </c>
      <c r="C15" s="2604">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41" t="s">
        <v>2561</v>
      </c>
      <c r="Q15" s="1812" t="str">
        <f t="shared" si="6"/>
        <v>居住社区成熟度</v>
      </c>
      <c r="R15" s="774" t="s">
        <v>21</v>
      </c>
      <c r="S15" s="775">
        <f t="shared" si="0"/>
        <v>100</v>
      </c>
      <c r="T15" s="774" t="s">
        <v>21</v>
      </c>
      <c r="U15" s="775">
        <f t="shared" si="1"/>
        <v>100</v>
      </c>
      <c r="V15" s="774" t="s">
        <v>21</v>
      </c>
      <c r="W15" s="775">
        <f t="shared" si="2"/>
        <v>100</v>
      </c>
      <c r="X15" s="1815"/>
      <c r="Y15" s="3243" t="s">
        <v>2561</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2"/>
      <c r="M16" s="1133"/>
      <c r="N16" s="1133"/>
      <c r="O16" s="1133"/>
      <c r="P16" s="3242"/>
      <c r="Q16" s="1812"/>
      <c r="R16" s="774"/>
      <c r="S16" s="775"/>
      <c r="T16" s="774"/>
      <c r="U16" s="775"/>
      <c r="V16" s="774"/>
      <c r="W16" s="775"/>
      <c r="X16" s="1815"/>
      <c r="Y16" s="3244"/>
      <c r="Z16" s="1816"/>
      <c r="AA16" s="1813">
        <v>1</v>
      </c>
      <c r="AB16" s="1813">
        <v>1</v>
      </c>
      <c r="AC16" s="1813">
        <v>1</v>
      </c>
    </row>
    <row r="17" spans="1:29" ht="142.5">
      <c r="A17" s="428"/>
      <c r="B17" s="451" t="s">
        <v>2098</v>
      </c>
      <c r="C17" s="2608" t="str">
        <f>估价对象房地状况!C6</f>
        <v>估价对象周边道路较为密集，公共交通通达情况较好，1公里内有350路、411路及地铁1号线等公共交通，停车便捷程度较好，综合评价交通便捷度较好。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42"/>
      <c r="Q17" s="1812" t="str">
        <f>B17</f>
        <v>交通便捷度</v>
      </c>
      <c r="R17" s="774" t="s">
        <v>21</v>
      </c>
      <c r="S17" s="775">
        <f>F17</f>
        <v>100</v>
      </c>
      <c r="T17" s="774" t="s">
        <v>21</v>
      </c>
      <c r="U17" s="775">
        <f>H17</f>
        <v>100</v>
      </c>
      <c r="V17" s="774" t="s">
        <v>21</v>
      </c>
      <c r="W17" s="775">
        <f>J17</f>
        <v>100</v>
      </c>
      <c r="X17" s="1815"/>
      <c r="Y17" s="3244"/>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2"/>
      <c r="M18" s="1133"/>
      <c r="N18" s="1133"/>
      <c r="O18" s="1133"/>
      <c r="P18" s="3242"/>
      <c r="Q18" s="1812"/>
      <c r="R18" s="774"/>
      <c r="S18" s="775"/>
      <c r="T18" s="774"/>
      <c r="U18" s="775"/>
      <c r="V18" s="774"/>
      <c r="W18" s="775"/>
      <c r="X18" s="1815"/>
      <c r="Y18" s="3244"/>
      <c r="Z18" s="1816"/>
      <c r="AA18" s="1813">
        <v>1</v>
      </c>
      <c r="AB18" s="1813">
        <v>1</v>
      </c>
      <c r="AC18" s="1813">
        <v>1</v>
      </c>
    </row>
    <row r="19" spans="1:29" ht="185.25">
      <c r="A19" s="428"/>
      <c r="B19" s="451" t="s">
        <v>2096</v>
      </c>
      <c r="C19" s="2608" t="str">
        <f>估价对象房地状况!C7</f>
        <v>估价对象所在区域1公里范围内，有银行（中国工商银行、中国银行），购物（卜蜂莲花、物美超市），医院（民航总医院），学校（朝阳区兴隆小学、星河实验学校）等，公共配套设施齐备情况较好。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42"/>
      <c r="Q19" s="1812" t="str">
        <f>B19</f>
        <v>公共配套设施</v>
      </c>
      <c r="R19" s="774" t="s">
        <v>21</v>
      </c>
      <c r="S19" s="775">
        <f>F19</f>
        <v>100</v>
      </c>
      <c r="T19" s="774" t="s">
        <v>21</v>
      </c>
      <c r="U19" s="775">
        <f>H19</f>
        <v>100</v>
      </c>
      <c r="V19" s="774" t="s">
        <v>21</v>
      </c>
      <c r="W19" s="775">
        <f>J19</f>
        <v>100</v>
      </c>
      <c r="X19" s="1815"/>
      <c r="Y19" s="3244"/>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2"/>
      <c r="M20" s="1133"/>
      <c r="N20" s="1133"/>
      <c r="O20" s="1133"/>
      <c r="P20" s="3242"/>
      <c r="Q20" s="1812"/>
      <c r="R20" s="774"/>
      <c r="S20" s="775"/>
      <c r="T20" s="774"/>
      <c r="U20" s="775"/>
      <c r="V20" s="774"/>
      <c r="W20" s="775"/>
      <c r="X20" s="1815"/>
      <c r="Y20" s="3244"/>
      <c r="Z20" s="1816"/>
      <c r="AA20" s="1813">
        <v>1</v>
      </c>
      <c r="AB20" s="1813">
        <v>1</v>
      </c>
      <c r="AC20" s="1813">
        <v>1</v>
      </c>
    </row>
    <row r="21" spans="1:29" ht="42.75">
      <c r="A21" s="428"/>
      <c r="B21" s="1386" t="s">
        <v>2099</v>
      </c>
      <c r="C21" s="2608"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42"/>
      <c r="Q21" s="1812" t="str">
        <f>B21</f>
        <v>基础设施水平</v>
      </c>
      <c r="R21" s="774" t="s">
        <v>17</v>
      </c>
      <c r="S21" s="775">
        <f>F21</f>
        <v>100</v>
      </c>
      <c r="T21" s="774" t="s">
        <v>17</v>
      </c>
      <c r="U21" s="775">
        <f>H21</f>
        <v>100</v>
      </c>
      <c r="V21" s="774" t="s">
        <v>17</v>
      </c>
      <c r="W21" s="775">
        <f>J21</f>
        <v>100</v>
      </c>
      <c r="X21" s="1815"/>
      <c r="Y21" s="3244"/>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8"/>
      <c r="G22" s="2612"/>
      <c r="H22" s="448"/>
      <c r="I22" s="447"/>
      <c r="J22" s="448"/>
      <c r="K22" s="2613"/>
      <c r="L22" s="1142"/>
      <c r="M22" s="1133"/>
      <c r="N22" s="1133"/>
      <c r="O22" s="1133"/>
      <c r="P22" s="3242"/>
      <c r="Q22" s="1812"/>
      <c r="R22" s="774"/>
      <c r="S22" s="775"/>
      <c r="T22" s="774"/>
      <c r="U22" s="775"/>
      <c r="V22" s="774"/>
      <c r="W22" s="775"/>
      <c r="X22" s="1815"/>
      <c r="Y22" s="3244"/>
      <c r="Z22" s="1816"/>
      <c r="AA22" s="1813">
        <v>1</v>
      </c>
      <c r="AB22" s="1813">
        <v>1</v>
      </c>
      <c r="AC22" s="1813">
        <v>1</v>
      </c>
    </row>
    <row r="23" spans="1:29" ht="71.25">
      <c r="A23" s="428"/>
      <c r="B23" s="451" t="s">
        <v>2103</v>
      </c>
      <c r="C23" s="2608" t="str">
        <f>估价对象房地状况!C9</f>
        <v>区域自然环境：兴隆公园；人文环境：中国传媒大学；综合评价环境状况较好。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42"/>
      <c r="Q23" s="1812" t="str">
        <f>B23</f>
        <v>自然及人文环境</v>
      </c>
      <c r="R23" s="774" t="s">
        <v>21</v>
      </c>
      <c r="S23" s="775">
        <f>F23</f>
        <v>100</v>
      </c>
      <c r="T23" s="774" t="s">
        <v>21</v>
      </c>
      <c r="U23" s="775">
        <f>H23</f>
        <v>100</v>
      </c>
      <c r="V23" s="774" t="s">
        <v>21</v>
      </c>
      <c r="W23" s="775">
        <f>J23</f>
        <v>100</v>
      </c>
      <c r="X23" s="1815"/>
      <c r="Y23" s="3244"/>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2"/>
      <c r="M24" s="1133"/>
      <c r="N24" s="1133"/>
      <c r="O24" s="1133"/>
      <c r="P24" s="3242"/>
      <c r="Q24" s="1812"/>
      <c r="R24" s="774"/>
      <c r="S24" s="775"/>
      <c r="T24" s="774"/>
      <c r="U24" s="775"/>
      <c r="V24" s="774"/>
      <c r="W24" s="775"/>
      <c r="X24" s="1815"/>
      <c r="Y24" s="3244"/>
      <c r="Z24" s="1816"/>
      <c r="AA24" s="1813">
        <v>1</v>
      </c>
      <c r="AB24" s="1813">
        <v>1</v>
      </c>
      <c r="AC24" s="1813">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242"/>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44"/>
      <c r="Z25" s="1816" t="str">
        <f>Q25</f>
        <v>楼层-1</v>
      </c>
      <c r="AA25" s="1813">
        <f t="shared" ref="AA25:AA46" si="15">D25/F25</f>
        <v>1</v>
      </c>
      <c r="AB25" s="1813">
        <f t="shared" ref="AB25:AB46" si="16">D25/H25</f>
        <v>1</v>
      </c>
      <c r="AC25" s="1813">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242"/>
      <c r="Q26" s="1812" t="str">
        <f t="shared" si="11"/>
        <v>朝向</v>
      </c>
      <c r="R26" s="774" t="s">
        <v>21</v>
      </c>
      <c r="S26" s="775">
        <f t="shared" si="12"/>
        <v>100</v>
      </c>
      <c r="T26" s="774" t="s">
        <v>21</v>
      </c>
      <c r="U26" s="775">
        <f t="shared" si="13"/>
        <v>100</v>
      </c>
      <c r="V26" s="774" t="s">
        <v>21</v>
      </c>
      <c r="W26" s="775">
        <f t="shared" si="14"/>
        <v>100</v>
      </c>
      <c r="X26" s="1815"/>
      <c r="Y26" s="324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242"/>
      <c r="Q27" s="1797">
        <f t="shared" si="11"/>
        <v>111</v>
      </c>
      <c r="R27" s="770" t="s">
        <v>21</v>
      </c>
      <c r="S27" s="771">
        <f t="shared" si="12"/>
        <v>100</v>
      </c>
      <c r="T27" s="770" t="s">
        <v>21</v>
      </c>
      <c r="U27" s="771">
        <f t="shared" si="13"/>
        <v>100</v>
      </c>
      <c r="V27" s="770" t="s">
        <v>21</v>
      </c>
      <c r="W27" s="771">
        <f t="shared" si="14"/>
        <v>100</v>
      </c>
      <c r="X27" s="772"/>
      <c r="Y27" s="324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242"/>
      <c r="Q28" s="1812">
        <f t="shared" si="11"/>
        <v>111</v>
      </c>
      <c r="R28" s="774" t="s">
        <v>21</v>
      </c>
      <c r="S28" s="775">
        <f t="shared" si="12"/>
        <v>100</v>
      </c>
      <c r="T28" s="774" t="s">
        <v>21</v>
      </c>
      <c r="U28" s="775">
        <f t="shared" si="13"/>
        <v>100</v>
      </c>
      <c r="V28" s="774" t="s">
        <v>21</v>
      </c>
      <c r="W28" s="775">
        <f t="shared" si="14"/>
        <v>100</v>
      </c>
      <c r="X28" s="1815"/>
      <c r="Y28" s="324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242"/>
      <c r="Q29" s="1812">
        <f t="shared" si="11"/>
        <v>111</v>
      </c>
      <c r="R29" s="774" t="s">
        <v>21</v>
      </c>
      <c r="S29" s="775">
        <f t="shared" si="12"/>
        <v>100</v>
      </c>
      <c r="T29" s="774" t="s">
        <v>21</v>
      </c>
      <c r="U29" s="775">
        <f t="shared" si="13"/>
        <v>100</v>
      </c>
      <c r="V29" s="774" t="s">
        <v>21</v>
      </c>
      <c r="W29" s="775">
        <f t="shared" si="14"/>
        <v>100</v>
      </c>
      <c r="X29" s="1815"/>
      <c r="Y29" s="324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242"/>
      <c r="Q30" s="1812">
        <f t="shared" si="11"/>
        <v>111</v>
      </c>
      <c r="R30" s="774" t="s">
        <v>21</v>
      </c>
      <c r="S30" s="775">
        <f t="shared" si="12"/>
        <v>100</v>
      </c>
      <c r="T30" s="774" t="s">
        <v>21</v>
      </c>
      <c r="U30" s="775">
        <f t="shared" si="13"/>
        <v>100</v>
      </c>
      <c r="V30" s="774" t="s">
        <v>21</v>
      </c>
      <c r="W30" s="775">
        <f t="shared" si="14"/>
        <v>100</v>
      </c>
      <c r="X30" s="1815"/>
      <c r="Y30" s="324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242"/>
      <c r="Q31" s="1812">
        <f t="shared" si="11"/>
        <v>111</v>
      </c>
      <c r="R31" s="774" t="s">
        <v>21</v>
      </c>
      <c r="S31" s="775">
        <f t="shared" si="12"/>
        <v>100</v>
      </c>
      <c r="T31" s="774" t="s">
        <v>21</v>
      </c>
      <c r="U31" s="775">
        <f t="shared" si="13"/>
        <v>100</v>
      </c>
      <c r="V31" s="774" t="s">
        <v>21</v>
      </c>
      <c r="W31" s="775">
        <f t="shared" si="14"/>
        <v>100</v>
      </c>
      <c r="X31" s="1815"/>
      <c r="Y31" s="3244"/>
      <c r="Z31" s="1816">
        <f t="shared" si="18"/>
        <v>111</v>
      </c>
      <c r="AA31" s="1813">
        <f t="shared" si="15"/>
        <v>1</v>
      </c>
      <c r="AB31" s="1813">
        <f t="shared" si="16"/>
        <v>1</v>
      </c>
      <c r="AC31" s="1813">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2"/>
      <c r="M32" s="1133"/>
      <c r="N32" s="1133"/>
      <c r="O32" s="1133"/>
      <c r="P32" s="3245" t="s">
        <v>2566</v>
      </c>
      <c r="Q32" s="1812" t="str">
        <f t="shared" si="11"/>
        <v>建筑类型</v>
      </c>
      <c r="R32" s="774" t="s">
        <v>21</v>
      </c>
      <c r="S32" s="775">
        <f t="shared" si="12"/>
        <v>100</v>
      </c>
      <c r="T32" s="774" t="s">
        <v>21</v>
      </c>
      <c r="U32" s="775">
        <f t="shared" si="13"/>
        <v>100</v>
      </c>
      <c r="V32" s="774" t="s">
        <v>21</v>
      </c>
      <c r="W32" s="775">
        <f t="shared" si="14"/>
        <v>100</v>
      </c>
      <c r="X32" s="1815"/>
      <c r="Y32" s="3248" t="s">
        <v>2566</v>
      </c>
      <c r="Z32" s="1816" t="str">
        <f t="shared" si="18"/>
        <v>建筑类型</v>
      </c>
      <c r="AA32" s="1813">
        <f t="shared" si="15"/>
        <v>1</v>
      </c>
      <c r="AB32" s="1813">
        <f t="shared" si="16"/>
        <v>1</v>
      </c>
      <c r="AC32" s="1813">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0"/>
      <c r="M33" s="1143"/>
      <c r="N33" s="1143"/>
      <c r="O33" s="1143"/>
      <c r="P33" s="3246"/>
      <c r="Q33" s="776" t="str">
        <f t="shared" si="11"/>
        <v>项目建筑规模</v>
      </c>
      <c r="R33" s="777" t="s">
        <v>21</v>
      </c>
      <c r="S33" s="778" t="e">
        <f t="shared" si="12"/>
        <v>#N/A</v>
      </c>
      <c r="T33" s="777" t="s">
        <v>21</v>
      </c>
      <c r="U33" s="778" t="e">
        <f t="shared" si="13"/>
        <v>#N/A</v>
      </c>
      <c r="V33" s="777" t="s">
        <v>21</v>
      </c>
      <c r="W33" s="778" t="e">
        <f t="shared" si="14"/>
        <v>#N/A</v>
      </c>
      <c r="X33" s="779"/>
      <c r="Y33" s="3248"/>
      <c r="Z33" s="780" t="str">
        <f t="shared" si="18"/>
        <v>项目建筑规模</v>
      </c>
      <c r="AA33" s="1813" t="e">
        <f t="shared" si="15"/>
        <v>#N/A</v>
      </c>
      <c r="AB33" s="1813" t="e">
        <f t="shared" si="16"/>
        <v>#N/A</v>
      </c>
      <c r="AC33" s="1813"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2"/>
      <c r="M34" s="1133"/>
      <c r="N34" s="1133"/>
      <c r="O34" s="1133"/>
      <c r="P34" s="3246"/>
      <c r="Q34" s="1812" t="str">
        <f t="shared" si="11"/>
        <v>建筑结构</v>
      </c>
      <c r="R34" s="774" t="s">
        <v>21</v>
      </c>
      <c r="S34" s="775">
        <f t="shared" si="12"/>
        <v>100</v>
      </c>
      <c r="T34" s="774" t="s">
        <v>21</v>
      </c>
      <c r="U34" s="775">
        <f t="shared" si="13"/>
        <v>100</v>
      </c>
      <c r="V34" s="774" t="s">
        <v>21</v>
      </c>
      <c r="W34" s="775">
        <f t="shared" si="14"/>
        <v>100</v>
      </c>
      <c r="X34" s="1815"/>
      <c r="Y34" s="3248"/>
      <c r="Z34" s="1816" t="str">
        <f t="shared" si="18"/>
        <v>建筑结构</v>
      </c>
      <c r="AA34" s="1813">
        <f t="shared" si="15"/>
        <v>1</v>
      </c>
      <c r="AB34" s="1813">
        <f t="shared" si="16"/>
        <v>1</v>
      </c>
      <c r="AC34" s="1813">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2"/>
      <c r="M35" s="1133"/>
      <c r="N35" s="1133"/>
      <c r="O35" s="1133"/>
      <c r="P35" s="3246"/>
      <c r="Q35" s="1812" t="str">
        <f t="shared" si="11"/>
        <v>建筑品质</v>
      </c>
      <c r="R35" s="774" t="s">
        <v>21</v>
      </c>
      <c r="S35" s="775">
        <f t="shared" si="12"/>
        <v>100</v>
      </c>
      <c r="T35" s="774" t="s">
        <v>21</v>
      </c>
      <c r="U35" s="775">
        <f t="shared" si="13"/>
        <v>100</v>
      </c>
      <c r="V35" s="774" t="s">
        <v>21</v>
      </c>
      <c r="W35" s="775">
        <f t="shared" si="14"/>
        <v>100</v>
      </c>
      <c r="X35" s="1815"/>
      <c r="Y35" s="3248"/>
      <c r="Z35" s="1816" t="str">
        <f t="shared" si="18"/>
        <v>建筑品质</v>
      </c>
      <c r="AA35" s="1813">
        <f t="shared" si="15"/>
        <v>1</v>
      </c>
      <c r="AB35" s="1813">
        <f t="shared" si="16"/>
        <v>1</v>
      </c>
      <c r="AC35" s="1813">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2"/>
      <c r="M36" s="1133"/>
      <c r="N36" s="1133"/>
      <c r="O36" s="1133"/>
      <c r="P36" s="3246"/>
      <c r="Q36" s="1812" t="str">
        <f t="shared" si="11"/>
        <v>公共部分装修</v>
      </c>
      <c r="R36" s="774" t="s">
        <v>21</v>
      </c>
      <c r="S36" s="775">
        <f t="shared" si="12"/>
        <v>100</v>
      </c>
      <c r="T36" s="774" t="s">
        <v>21</v>
      </c>
      <c r="U36" s="775">
        <f t="shared" si="13"/>
        <v>100</v>
      </c>
      <c r="V36" s="774" t="s">
        <v>21</v>
      </c>
      <c r="W36" s="775">
        <f t="shared" si="14"/>
        <v>100</v>
      </c>
      <c r="X36" s="1815"/>
      <c r="Y36" s="3248"/>
      <c r="Z36" s="1816" t="str">
        <f t="shared" si="18"/>
        <v>公共部分装修</v>
      </c>
      <c r="AA36" s="1813">
        <f t="shared" si="15"/>
        <v>1</v>
      </c>
      <c r="AB36" s="1813">
        <f t="shared" si="16"/>
        <v>1</v>
      </c>
      <c r="AC36" s="1813">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46"/>
      <c r="Q37" s="1797" t="str">
        <f t="shared" si="11"/>
        <v>成新度</v>
      </c>
      <c r="R37" s="770" t="s">
        <v>21</v>
      </c>
      <c r="S37" s="771" t="e">
        <f t="shared" si="12"/>
        <v>#N/A</v>
      </c>
      <c r="T37" s="770" t="s">
        <v>21</v>
      </c>
      <c r="U37" s="771" t="e">
        <f t="shared" si="13"/>
        <v>#N/A</v>
      </c>
      <c r="V37" s="770" t="s">
        <v>21</v>
      </c>
      <c r="W37" s="771" t="e">
        <f t="shared" si="14"/>
        <v>#N/A</v>
      </c>
      <c r="X37" s="772"/>
      <c r="Y37" s="3248"/>
      <c r="Z37" s="55" t="str">
        <f t="shared" si="18"/>
        <v>成新度</v>
      </c>
      <c r="AA37" s="773" t="e">
        <f t="shared" si="15"/>
        <v>#N/A</v>
      </c>
      <c r="AB37" s="773" t="e">
        <f t="shared" si="16"/>
        <v>#N/A</v>
      </c>
      <c r="AC37" s="773"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2"/>
      <c r="M38" s="1133"/>
      <c r="N38" s="1133"/>
      <c r="O38" s="1133"/>
      <c r="P38" s="3246" t="s">
        <v>2566</v>
      </c>
      <c r="Q38" s="1812" t="str">
        <f t="shared" si="11"/>
        <v>物业管理</v>
      </c>
      <c r="R38" s="774" t="s">
        <v>21</v>
      </c>
      <c r="S38" s="775">
        <f t="shared" si="12"/>
        <v>100</v>
      </c>
      <c r="T38" s="774" t="s">
        <v>21</v>
      </c>
      <c r="U38" s="775">
        <f t="shared" si="13"/>
        <v>100</v>
      </c>
      <c r="V38" s="774" t="s">
        <v>21</v>
      </c>
      <c r="W38" s="775">
        <f t="shared" si="14"/>
        <v>100</v>
      </c>
      <c r="X38" s="1815"/>
      <c r="Y38" s="3248" t="s">
        <v>2566</v>
      </c>
      <c r="Z38" s="1816" t="str">
        <f t="shared" si="18"/>
        <v>物业管理</v>
      </c>
      <c r="AA38" s="1813">
        <f t="shared" si="15"/>
        <v>1</v>
      </c>
      <c r="AB38" s="1813">
        <f t="shared" si="16"/>
        <v>1</v>
      </c>
      <c r="AC38" s="1813">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2"/>
      <c r="M39" s="1133"/>
      <c r="N39" s="1133"/>
      <c r="O39" s="1133"/>
      <c r="P39" s="3246"/>
      <c r="Q39" s="1812" t="str">
        <f t="shared" si="11"/>
        <v>市政基础设施</v>
      </c>
      <c r="R39" s="774" t="s">
        <v>21</v>
      </c>
      <c r="S39" s="775">
        <f t="shared" si="12"/>
        <v>100</v>
      </c>
      <c r="T39" s="774" t="s">
        <v>21</v>
      </c>
      <c r="U39" s="775">
        <f t="shared" si="13"/>
        <v>100</v>
      </c>
      <c r="V39" s="774" t="s">
        <v>21</v>
      </c>
      <c r="W39" s="775">
        <f t="shared" si="14"/>
        <v>100</v>
      </c>
      <c r="X39" s="1815"/>
      <c r="Y39" s="3248"/>
      <c r="Z39" s="1816" t="str">
        <f t="shared" si="18"/>
        <v>市政基础设施</v>
      </c>
      <c r="AA39" s="1813">
        <f t="shared" si="15"/>
        <v>1</v>
      </c>
      <c r="AB39" s="1813">
        <f t="shared" si="16"/>
        <v>1</v>
      </c>
      <c r="AC39" s="1813">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2"/>
      <c r="M40" s="1133"/>
      <c r="N40" s="1133"/>
      <c r="O40" s="1133"/>
      <c r="P40" s="3246"/>
      <c r="Q40" s="1812" t="str">
        <f t="shared" si="11"/>
        <v>房型</v>
      </c>
      <c r="R40" s="774" t="s">
        <v>21</v>
      </c>
      <c r="S40" s="775">
        <f t="shared" si="12"/>
        <v>100</v>
      </c>
      <c r="T40" s="774" t="s">
        <v>21</v>
      </c>
      <c r="U40" s="775">
        <f t="shared" si="13"/>
        <v>100</v>
      </c>
      <c r="V40" s="774" t="s">
        <v>21</v>
      </c>
      <c r="W40" s="775">
        <f t="shared" si="14"/>
        <v>100</v>
      </c>
      <c r="X40" s="1815"/>
      <c r="Y40" s="3248"/>
      <c r="Z40" s="1816" t="str">
        <f t="shared" si="18"/>
        <v>房型</v>
      </c>
      <c r="AA40" s="1813">
        <f t="shared" si="15"/>
        <v>1</v>
      </c>
      <c r="AB40" s="1813">
        <f t="shared" si="16"/>
        <v>1</v>
      </c>
      <c r="AC40" s="1813">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0"/>
      <c r="M41" s="1143"/>
      <c r="N41" s="1143"/>
      <c r="O41" s="1143"/>
      <c r="P41" s="3246"/>
      <c r="Q41" s="776" t="str">
        <f t="shared" si="11"/>
        <v>单套/主力户型建筑面积</v>
      </c>
      <c r="R41" s="777" t="s">
        <v>21</v>
      </c>
      <c r="S41" s="778">
        <f t="shared" si="12"/>
        <v>100</v>
      </c>
      <c r="T41" s="777" t="s">
        <v>21</v>
      </c>
      <c r="U41" s="778">
        <f t="shared" si="13"/>
        <v>100</v>
      </c>
      <c r="V41" s="777" t="s">
        <v>21</v>
      </c>
      <c r="W41" s="778">
        <f t="shared" si="14"/>
        <v>100</v>
      </c>
      <c r="X41" s="779"/>
      <c r="Y41" s="3248"/>
      <c r="Z41" s="780" t="str">
        <f t="shared" si="18"/>
        <v>单套/主力户型建筑面积</v>
      </c>
      <c r="AA41" s="1813">
        <f t="shared" si="15"/>
        <v>1</v>
      </c>
      <c r="AB41" s="1813">
        <f t="shared" si="16"/>
        <v>1</v>
      </c>
      <c r="AC41" s="1813">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2"/>
      <c r="M42" s="1133"/>
      <c r="N42" s="1133"/>
      <c r="O42" s="1133"/>
      <c r="P42" s="3246"/>
      <c r="Q42" s="1812" t="str">
        <f t="shared" si="11"/>
        <v>内部装修</v>
      </c>
      <c r="R42" s="774" t="s">
        <v>21</v>
      </c>
      <c r="S42" s="775">
        <f t="shared" si="12"/>
        <v>100</v>
      </c>
      <c r="T42" s="774" t="s">
        <v>21</v>
      </c>
      <c r="U42" s="775">
        <f t="shared" si="13"/>
        <v>100</v>
      </c>
      <c r="V42" s="774" t="s">
        <v>21</v>
      </c>
      <c r="W42" s="775">
        <f t="shared" si="14"/>
        <v>100</v>
      </c>
      <c r="X42" s="1815"/>
      <c r="Y42" s="3248"/>
      <c r="Z42" s="1816" t="str">
        <f t="shared" si="18"/>
        <v>内部装修</v>
      </c>
      <c r="AA42" s="1813">
        <f t="shared" si="15"/>
        <v>1</v>
      </c>
      <c r="AB42" s="1813">
        <f t="shared" si="16"/>
        <v>1</v>
      </c>
      <c r="AC42" s="1813">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2"/>
      <c r="M43" s="1133"/>
      <c r="N43" s="1133"/>
      <c r="O43" s="1133"/>
      <c r="P43" s="3246"/>
      <c r="Q43" s="1812" t="str">
        <f t="shared" si="11"/>
        <v>内部装修维护情况</v>
      </c>
      <c r="R43" s="774" t="s">
        <v>21</v>
      </c>
      <c r="S43" s="775">
        <f t="shared" si="12"/>
        <v>100</v>
      </c>
      <c r="T43" s="774" t="s">
        <v>21</v>
      </c>
      <c r="U43" s="775">
        <f t="shared" si="13"/>
        <v>100</v>
      </c>
      <c r="V43" s="774" t="s">
        <v>21</v>
      </c>
      <c r="W43" s="775">
        <f t="shared" si="14"/>
        <v>100</v>
      </c>
      <c r="X43" s="1815"/>
      <c r="Y43" s="324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246"/>
      <c r="Q44" s="1797">
        <f t="shared" si="11"/>
        <v>111</v>
      </c>
      <c r="R44" s="770" t="s">
        <v>21</v>
      </c>
      <c r="S44" s="771">
        <f t="shared" si="12"/>
        <v>100</v>
      </c>
      <c r="T44" s="770" t="s">
        <v>21</v>
      </c>
      <c r="U44" s="771">
        <f t="shared" si="13"/>
        <v>100</v>
      </c>
      <c r="V44" s="770" t="s">
        <v>21</v>
      </c>
      <c r="W44" s="771">
        <f t="shared" si="14"/>
        <v>100</v>
      </c>
      <c r="X44" s="772"/>
      <c r="Y44" s="3248"/>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246"/>
      <c r="Q45" s="1812">
        <f t="shared" si="11"/>
        <v>111</v>
      </c>
      <c r="R45" s="774" t="s">
        <v>21</v>
      </c>
      <c r="S45" s="775">
        <f t="shared" si="12"/>
        <v>100</v>
      </c>
      <c r="T45" s="774" t="s">
        <v>21</v>
      </c>
      <c r="U45" s="775">
        <f t="shared" si="13"/>
        <v>100</v>
      </c>
      <c r="V45" s="774" t="s">
        <v>21</v>
      </c>
      <c r="W45" s="775">
        <f t="shared" si="14"/>
        <v>100</v>
      </c>
      <c r="X45" s="1815"/>
      <c r="Y45" s="3248"/>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247"/>
      <c r="Q46" s="1812">
        <f t="shared" si="11"/>
        <v>111</v>
      </c>
      <c r="R46" s="774" t="s">
        <v>20</v>
      </c>
      <c r="S46" s="775">
        <f t="shared" si="12"/>
        <v>100</v>
      </c>
      <c r="T46" s="774" t="s">
        <v>20</v>
      </c>
      <c r="U46" s="775">
        <f t="shared" si="13"/>
        <v>100</v>
      </c>
      <c r="V46" s="774" t="s">
        <v>20</v>
      </c>
      <c r="W46" s="775">
        <f t="shared" si="14"/>
        <v>100</v>
      </c>
      <c r="X46" s="1815"/>
      <c r="Y46" s="3249"/>
      <c r="Z46" s="1816">
        <f t="shared" si="18"/>
        <v>111</v>
      </c>
      <c r="AA46" s="1813">
        <f t="shared" si="15"/>
        <v>1</v>
      </c>
      <c r="AB46" s="1813">
        <f t="shared" si="16"/>
        <v>1</v>
      </c>
      <c r="AC46" s="1813">
        <f t="shared" si="17"/>
        <v>1</v>
      </c>
    </row>
    <row r="47" spans="1:29" ht="15">
      <c r="A47" s="479" t="s">
        <v>2578</v>
      </c>
      <c r="B47" s="480"/>
      <c r="C47" s="1409" t="s">
        <v>19</v>
      </c>
      <c r="D47" s="1410"/>
      <c r="E47" s="1411"/>
      <c r="F47" s="1412"/>
      <c r="G47" s="1413"/>
      <c r="H47" s="1414"/>
      <c r="I47" s="1411"/>
      <c r="J47" s="1414"/>
      <c r="K47" s="2622"/>
      <c r="L47" s="1145"/>
      <c r="M47" s="1146"/>
      <c r="N47" s="1133"/>
      <c r="O47" s="1146"/>
      <c r="P47" s="3250" t="str">
        <f>A47</f>
        <v>成交单价（元/平方米）</v>
      </c>
      <c r="Q47" s="3250"/>
      <c r="R47" s="3251">
        <f>E47</f>
        <v>0</v>
      </c>
      <c r="S47" s="3251"/>
      <c r="T47" s="3251">
        <f>G47</f>
        <v>0</v>
      </c>
      <c r="U47" s="3251"/>
      <c r="V47" s="3251">
        <f>I47</f>
        <v>0</v>
      </c>
      <c r="W47" s="3251"/>
      <c r="X47" s="759"/>
      <c r="Y47" s="781"/>
      <c r="Z47" s="759"/>
      <c r="AA47" s="759"/>
      <c r="AB47" s="759"/>
      <c r="AC47" s="759"/>
    </row>
    <row r="48" spans="1:29" ht="15.75" thickBot="1">
      <c r="A48" s="486" t="s">
        <v>2579</v>
      </c>
      <c r="B48" s="487"/>
      <c r="C48" s="1415" t="e">
        <f>R49</f>
        <v>#DIV/0!</v>
      </c>
      <c r="D48" s="1416"/>
      <c r="E48" s="1417" t="e">
        <f>R48</f>
        <v>#DIV/0!</v>
      </c>
      <c r="F48" s="1417"/>
      <c r="G48" s="1415" t="e">
        <f>T48</f>
        <v>#DIV/0!</v>
      </c>
      <c r="H48" s="1416"/>
      <c r="I48" s="1417" t="e">
        <f>V48</f>
        <v>#DIV/0!</v>
      </c>
      <c r="J48" s="1416"/>
      <c r="K48" s="2623"/>
      <c r="L48" s="1145"/>
      <c r="M48" s="1146"/>
      <c r="N48" s="1146"/>
      <c r="O48" s="1146"/>
      <c r="P48" s="3250" t="str">
        <f>A48</f>
        <v>比较价值（元/平方米）</v>
      </c>
      <c r="Q48" s="3250"/>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59"/>
      <c r="Y48" s="759"/>
      <c r="Z48" s="759"/>
      <c r="AA48" s="759"/>
      <c r="AB48" s="759"/>
      <c r="AC48" s="759"/>
    </row>
    <row r="49" spans="1:29" ht="15.75" thickBot="1">
      <c r="A49" s="492" t="s">
        <v>2580</v>
      </c>
      <c r="B49" s="493"/>
      <c r="C49" s="1418" t="e">
        <f>R49</f>
        <v>#DIV/0!</v>
      </c>
      <c r="D49" s="1419"/>
      <c r="E49" s="1419"/>
      <c r="F49" s="1419"/>
      <c r="G49" s="1419"/>
      <c r="H49" s="1419"/>
      <c r="I49" s="1419"/>
      <c r="J49" s="1419"/>
      <c r="K49" s="2624"/>
      <c r="L49" s="1145"/>
      <c r="M49" s="1146"/>
      <c r="N49" s="1146"/>
      <c r="O49" s="1146"/>
      <c r="P49" s="3290" t="str">
        <f>A49</f>
        <v>估价对象XX用房的比较价值（楼面单价，元/平方米）</v>
      </c>
      <c r="Q49" s="3291"/>
      <c r="R49" s="3292" t="e">
        <f>IF(F1="售价",ROUND(AVERAGE(R48:V48),0),ROUND(AVERAGE(R48:V48),1))</f>
        <v>#DIV/0!</v>
      </c>
      <c r="S49" s="3292"/>
      <c r="T49" s="3292"/>
      <c r="U49" s="3292"/>
      <c r="V49" s="3292"/>
      <c r="W49" s="3292"/>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3" t="s">
        <v>2584</v>
      </c>
      <c r="B57" s="759"/>
      <c r="C57" s="764"/>
      <c r="D57" s="764"/>
      <c r="E57" s="764"/>
      <c r="F57" s="765"/>
      <c r="G57" s="765"/>
      <c r="H57" s="764"/>
      <c r="I57" s="764"/>
      <c r="J57" s="764"/>
      <c r="K57" s="1162"/>
      <c r="L57" s="1163"/>
      <c r="M57" s="1161"/>
      <c r="N57" s="1161"/>
      <c r="O57" s="1161"/>
      <c r="P57" s="2627"/>
      <c r="Q57" s="504"/>
    </row>
    <row r="58" spans="1:29" s="508" customFormat="1" ht="15">
      <c r="A58" s="505" t="s">
        <v>2585</v>
      </c>
      <c r="B58" s="506"/>
      <c r="C58" s="1578" t="str">
        <f>YEAR(C7)&amp;"-"&amp;MONTH(C7)</f>
        <v>2017-12</v>
      </c>
      <c r="D58" s="1577">
        <f>EDATE(C58,-1)</f>
        <v>43040</v>
      </c>
      <c r="E58" s="1577">
        <f>EDATE(D58,-1)</f>
        <v>43009</v>
      </c>
      <c r="F58" s="1577">
        <f t="shared" ref="F58:O58" si="19">EDATE(E58,-1)</f>
        <v>42979</v>
      </c>
      <c r="G58" s="1577">
        <f t="shared" si="19"/>
        <v>42948</v>
      </c>
      <c r="H58" s="1577">
        <f t="shared" si="19"/>
        <v>42917</v>
      </c>
      <c r="I58" s="1577">
        <f t="shared" si="19"/>
        <v>42887</v>
      </c>
      <c r="J58" s="1577">
        <f t="shared" si="19"/>
        <v>42856</v>
      </c>
      <c r="K58" s="1577">
        <f t="shared" si="19"/>
        <v>42826</v>
      </c>
      <c r="L58" s="1577">
        <f t="shared" si="19"/>
        <v>42795</v>
      </c>
      <c r="M58" s="1577">
        <f t="shared" si="19"/>
        <v>42767</v>
      </c>
      <c r="N58" s="1577">
        <f t="shared" si="19"/>
        <v>42736</v>
      </c>
      <c r="O58" s="1577">
        <f t="shared" si="19"/>
        <v>42705</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2589</v>
      </c>
      <c r="B63" s="528" t="s">
        <v>2555</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4"/>
      <c r="O65" s="1154"/>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60"/>
      <c r="E73" s="560"/>
      <c r="F73" s="560"/>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2099</v>
      </c>
      <c r="C82" s="539" t="s">
        <v>2605</v>
      </c>
      <c r="D82" s="539" t="s">
        <v>2606</v>
      </c>
      <c r="E82" s="539" t="s">
        <v>2607</v>
      </c>
      <c r="F82" s="539" t="s">
        <v>2608</v>
      </c>
      <c r="G82" s="539" t="s">
        <v>2609</v>
      </c>
      <c r="H82" s="539"/>
      <c r="I82" s="539"/>
      <c r="J82" s="539"/>
      <c r="K82" s="539"/>
      <c r="L82" s="539"/>
      <c r="M82" s="1384"/>
      <c r="N82" s="1155"/>
      <c r="O82" s="1155"/>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2611</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1"/>
      <c r="Q87" s="504"/>
    </row>
    <row r="88" spans="1:17" s="117" customFormat="1" ht="15.75" thickTop="1">
      <c r="A88" s="579"/>
      <c r="B88" s="538" t="s">
        <v>2612</v>
      </c>
      <c r="C88" s="554"/>
      <c r="D88" s="554"/>
      <c r="E88" s="554"/>
      <c r="F88" s="2636"/>
      <c r="G88" s="554"/>
      <c r="H88" s="554"/>
      <c r="I88" s="554"/>
      <c r="J88" s="554"/>
      <c r="K88" s="554"/>
      <c r="L88" s="554"/>
      <c r="M88" s="581"/>
      <c r="N88" s="1153"/>
      <c r="O88" s="1153"/>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5.75" thickTop="1">
      <c r="A90" s="553"/>
      <c r="B90" s="538">
        <f>B27</f>
        <v>111</v>
      </c>
      <c r="C90" s="554"/>
      <c r="D90" s="554"/>
      <c r="E90" s="554"/>
      <c r="F90" s="554"/>
      <c r="G90" s="554"/>
      <c r="H90" s="555"/>
      <c r="I90" s="555"/>
      <c r="J90" s="555"/>
      <c r="K90" s="555"/>
      <c r="L90" s="556"/>
      <c r="M90" s="557"/>
      <c r="N90" s="1156"/>
      <c r="O90" s="1156"/>
      <c r="P90" s="2632"/>
      <c r="Q90" s="559"/>
    </row>
    <row r="91" spans="1:17" s="471" customFormat="1" ht="15.75" thickBot="1">
      <c r="A91" s="553"/>
      <c r="B91" s="543"/>
      <c r="C91" s="560"/>
      <c r="D91" s="560"/>
      <c r="E91" s="560"/>
      <c r="F91" s="560"/>
      <c r="G91" s="560"/>
      <c r="H91" s="562"/>
      <c r="I91" s="562"/>
      <c r="J91" s="562"/>
      <c r="K91" s="562"/>
      <c r="L91" s="562"/>
      <c r="M91" s="563"/>
      <c r="N91" s="1156"/>
      <c r="O91" s="1156"/>
      <c r="P91" s="2632"/>
      <c r="Q91" s="559"/>
    </row>
    <row r="92" spans="1:17" ht="15.75" thickTop="1">
      <c r="A92" s="534"/>
      <c r="B92" s="538">
        <f>B28</f>
        <v>111</v>
      </c>
      <c r="C92" s="554"/>
      <c r="D92" s="554"/>
      <c r="E92" s="554"/>
      <c r="F92" s="554"/>
      <c r="G92" s="583"/>
      <c r="H92" s="583"/>
      <c r="I92" s="583"/>
      <c r="J92" s="583"/>
      <c r="K92" s="584"/>
      <c r="L92" s="585"/>
      <c r="M92" s="586"/>
      <c r="N92" s="1154"/>
      <c r="O92" s="1154"/>
      <c r="P92" s="2631"/>
      <c r="Q92" s="504"/>
    </row>
    <row r="93" spans="1:17" ht="15.75" thickBot="1">
      <c r="A93" s="534"/>
      <c r="B93" s="543"/>
      <c r="C93" s="560"/>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60"/>
      <c r="E95" s="560"/>
      <c r="F95" s="560"/>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70"/>
      <c r="D97" s="570"/>
      <c r="E97" s="570"/>
      <c r="F97" s="570"/>
      <c r="G97" s="536"/>
      <c r="H97" s="536"/>
      <c r="I97" s="536"/>
      <c r="J97" s="536"/>
      <c r="K97" s="536"/>
      <c r="L97" s="536"/>
      <c r="M97" s="537"/>
      <c r="N97" s="1155"/>
      <c r="O97" s="1155"/>
      <c r="P97" s="2631"/>
      <c r="Q97" s="504"/>
    </row>
    <row r="98" spans="1:17" ht="15.75" thickTop="1">
      <c r="A98" s="534"/>
      <c r="B98" s="546">
        <f>B31</f>
        <v>111</v>
      </c>
      <c r="C98" s="587"/>
      <c r="D98" s="587"/>
      <c r="E98" s="587"/>
      <c r="F98" s="587"/>
      <c r="G98" s="587"/>
      <c r="H98" s="587"/>
      <c r="I98" s="587"/>
      <c r="J98" s="587"/>
      <c r="K98" s="588"/>
      <c r="L98" s="589"/>
      <c r="M98" s="590"/>
      <c r="N98" s="1154"/>
      <c r="O98" s="1154"/>
      <c r="P98" s="2631"/>
      <c r="Q98" s="504"/>
    </row>
    <row r="99" spans="1:17" ht="15.75" thickBot="1">
      <c r="A99" s="2637"/>
      <c r="B99" s="569"/>
      <c r="C99" s="591"/>
      <c r="D99" s="591"/>
      <c r="E99" s="591"/>
      <c r="F99" s="591"/>
      <c r="G99" s="591"/>
      <c r="H99" s="591"/>
      <c r="I99" s="591"/>
      <c r="J99" s="591"/>
      <c r="K99" s="591"/>
      <c r="L99" s="591"/>
      <c r="M99" s="592"/>
      <c r="N99" s="1155"/>
      <c r="O99" s="1155"/>
      <c r="P99" s="2631"/>
      <c r="Q99" s="504"/>
    </row>
    <row r="100" spans="1:17">
      <c r="A100" s="527" t="s">
        <v>2564</v>
      </c>
      <c r="B100" s="528" t="s">
        <v>2613</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2"/>
      <c r="Q104" s="559"/>
    </row>
    <row r="105" spans="1:17" ht="15" thickTop="1">
      <c r="A105" s="599"/>
      <c r="B105" s="538" t="s">
        <v>2615</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2616</v>
      </c>
      <c r="C107" s="583"/>
      <c r="D107" s="583"/>
      <c r="E107" s="583"/>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2617</v>
      </c>
      <c r="C109" s="554"/>
      <c r="D109" s="554"/>
      <c r="E109" s="554"/>
      <c r="F109" s="583"/>
      <c r="G109" s="583"/>
      <c r="H109" s="583"/>
      <c r="I109" s="583"/>
      <c r="J109" s="583"/>
      <c r="K109" s="584"/>
      <c r="L109" s="585"/>
      <c r="M109" s="586"/>
      <c r="N109" s="1154"/>
      <c r="O109" s="1154"/>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2618</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2619</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2620</v>
      </c>
      <c r="C118" s="583"/>
      <c r="D118" s="583"/>
      <c r="E118" s="583"/>
      <c r="F118" s="583"/>
      <c r="G118" s="583"/>
      <c r="H118" s="583"/>
      <c r="I118" s="583"/>
      <c r="J118" s="583"/>
      <c r="K118" s="584"/>
      <c r="L118" s="585"/>
      <c r="M118" s="586"/>
      <c r="N118" s="1154"/>
      <c r="O118" s="1154"/>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8.5" thickTop="1">
      <c r="A120" s="593"/>
      <c r="B120" s="538" t="s">
        <v>2575</v>
      </c>
      <c r="C120" s="554"/>
      <c r="D120" s="554"/>
      <c r="E120" s="554"/>
      <c r="F120" s="554"/>
      <c r="G120" s="554"/>
      <c r="H120" s="554"/>
      <c r="I120" s="554"/>
      <c r="J120" s="554"/>
      <c r="K120" s="554"/>
      <c r="L120" s="580"/>
      <c r="M120" s="581"/>
      <c r="N120" s="1156"/>
      <c r="O120" s="1156"/>
      <c r="P120" s="2632"/>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2"/>
      <c r="Q121" s="559"/>
    </row>
    <row r="122" spans="1:17" ht="15" thickTop="1">
      <c r="A122" s="599"/>
      <c r="B122" s="538" t="s">
        <v>2621</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60"/>
      <c r="E129" s="560"/>
      <c r="F129" s="560"/>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6">
        <v>6</v>
      </c>
      <c r="C139" s="1087">
        <v>96</v>
      </c>
      <c r="D139" s="2649" t="s">
        <v>2632</v>
      </c>
      <c r="E139" s="1088">
        <v>100</v>
      </c>
      <c r="F139" s="1089">
        <v>102.5</v>
      </c>
      <c r="G139" s="2649" t="s">
        <v>2632</v>
      </c>
      <c r="H139" s="1090">
        <v>105</v>
      </c>
      <c r="I139" s="2650" t="s">
        <v>2633</v>
      </c>
      <c r="J139" s="1087">
        <v>20</v>
      </c>
      <c r="K139" s="1091">
        <f>C145/(J139-2)</f>
        <v>4.0555555555555553E-3</v>
      </c>
    </row>
    <row r="140" spans="1:17" ht="15">
      <c r="B140" s="1092">
        <v>5</v>
      </c>
      <c r="C140" s="1093">
        <v>100</v>
      </c>
      <c r="D140" s="1093"/>
      <c r="E140" s="1094"/>
      <c r="F140" s="1095">
        <v>102</v>
      </c>
      <c r="G140" s="1093"/>
      <c r="H140" s="1096"/>
      <c r="I140" s="2651" t="s">
        <v>2634</v>
      </c>
      <c r="J140" s="315">
        <f>ROUNDUP((J139-1)/2,0)</f>
        <v>10</v>
      </c>
      <c r="K140" s="1097">
        <v>100</v>
      </c>
    </row>
    <row r="141" spans="1:17" ht="15">
      <c r="B141" s="1092">
        <v>4</v>
      </c>
      <c r="C141" s="1093">
        <v>102</v>
      </c>
      <c r="D141" s="1093"/>
      <c r="E141" s="1094"/>
      <c r="F141" s="1095">
        <v>101.5</v>
      </c>
      <c r="G141" s="1093"/>
      <c r="H141" s="1096"/>
      <c r="I141" s="2651" t="s">
        <v>2635</v>
      </c>
      <c r="J141" s="315">
        <v>1</v>
      </c>
      <c r="K141" s="1098">
        <f>ROUND(100+(J141-J140)*K139*100,1)</f>
        <v>96.4</v>
      </c>
    </row>
    <row r="142" spans="1:17" ht="15">
      <c r="B142" s="1092">
        <v>3</v>
      </c>
      <c r="C142" s="1093">
        <v>103</v>
      </c>
      <c r="D142" s="1093"/>
      <c r="E142" s="1094"/>
      <c r="F142" s="1095">
        <v>101</v>
      </c>
      <c r="G142" s="1093"/>
      <c r="H142" s="1096"/>
      <c r="I142" s="2651" t="s">
        <v>2636</v>
      </c>
      <c r="J142" s="315">
        <f>J139</f>
        <v>20</v>
      </c>
      <c r="K142" s="1099">
        <v>95</v>
      </c>
    </row>
    <row r="143" spans="1:17" ht="15">
      <c r="B143" s="1092">
        <v>2</v>
      </c>
      <c r="C143" s="1093">
        <v>100</v>
      </c>
      <c r="D143" s="1093"/>
      <c r="E143" s="1094"/>
      <c r="F143" s="1095">
        <v>100.5</v>
      </c>
      <c r="G143" s="1093"/>
      <c r="H143" s="1096"/>
      <c r="I143" s="2651" t="s">
        <v>2637</v>
      </c>
      <c r="J143" s="1093">
        <v>15</v>
      </c>
      <c r="K143" s="1098">
        <f>ROUND(100+(J143-J140)*K139*100,1)</f>
        <v>102</v>
      </c>
    </row>
    <row r="144" spans="1:17" ht="15">
      <c r="B144" s="1092">
        <v>1</v>
      </c>
      <c r="C144" s="1093">
        <v>98</v>
      </c>
      <c r="D144" s="2652" t="s">
        <v>2638</v>
      </c>
      <c r="E144" s="1094">
        <v>102</v>
      </c>
      <c r="F144" s="1100">
        <v>100</v>
      </c>
      <c r="G144" s="2652" t="s">
        <v>2638</v>
      </c>
      <c r="H144" s="1096">
        <v>105</v>
      </c>
      <c r="I144" s="2651" t="s">
        <v>2637</v>
      </c>
      <c r="J144" s="1093">
        <v>18</v>
      </c>
      <c r="K144" s="1098">
        <f>ROUND(100+(J144-J140)*K139*100,1)</f>
        <v>103.2</v>
      </c>
    </row>
    <row r="145" spans="2:11" ht="15.75" thickBot="1">
      <c r="B145" s="2653" t="s">
        <v>2639</v>
      </c>
      <c r="C145" s="1101">
        <f>ROUND(MAX(C139:C144)/MIN(C139:C144)-1,3)</f>
        <v>7.2999999999999995E-2</v>
      </c>
      <c r="D145" s="1102"/>
      <c r="E145" s="1102"/>
      <c r="F145" s="2654" t="s">
        <v>2640</v>
      </c>
      <c r="G145" s="2655"/>
      <c r="H145" s="2656"/>
      <c r="I145" s="2657" t="s">
        <v>2637</v>
      </c>
      <c r="J145" s="1103">
        <v>8</v>
      </c>
      <c r="K145" s="1104">
        <f>ROUND(100+(J145-J140)*K139*100,1)</f>
        <v>99.2</v>
      </c>
    </row>
    <row r="147" spans="2:11">
      <c r="B147" s="2638" t="s">
        <v>2641</v>
      </c>
    </row>
    <row r="148" spans="2:11">
      <c r="B148" s="2638"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2" priority="15" stopIfTrue="1" operator="containsText" text="超过">
      <formula>NOT(ISERROR(SEARCH("超过",F52)))</formula>
    </cfRule>
  </conditionalFormatting>
  <conditionalFormatting sqref="J54">
    <cfRule type="containsText" dxfId="151" priority="14" stopIfTrue="1" operator="containsText" text="超过">
      <formula>NOT(ISERROR(SEARCH("超过",J54)))</formula>
    </cfRule>
  </conditionalFormatting>
  <conditionalFormatting sqref="H54">
    <cfRule type="containsText" dxfId="150" priority="13" stopIfTrue="1" operator="containsText" text="超过">
      <formula>NOT(ISERROR(SEARCH("超过",H54)))</formula>
    </cfRule>
  </conditionalFormatting>
  <conditionalFormatting sqref="F54">
    <cfRule type="containsText" dxfId="149" priority="12" stopIfTrue="1" operator="containsText" text="超过">
      <formula>NOT(ISERROR(SEARCH("超过",F54)))</formula>
    </cfRule>
  </conditionalFormatting>
  <conditionalFormatting sqref="F53 H53 J53">
    <cfRule type="containsText" dxfId="148" priority="11" stopIfTrue="1" operator="containsText" text="超过">
      <formula>NOT(ISERROR(SEARCH("超过",F53)))</formula>
    </cfRule>
  </conditionalFormatting>
  <conditionalFormatting sqref="E52">
    <cfRule type="expression" dxfId="147" priority="10" stopIfTrue="1">
      <formula>$F$52="超过30%"</formula>
    </cfRule>
  </conditionalFormatting>
  <conditionalFormatting sqref="G54">
    <cfRule type="expression" dxfId="146" priority="8" stopIfTrue="1">
      <formula>$H$54="超过30%"</formula>
    </cfRule>
  </conditionalFormatting>
  <conditionalFormatting sqref="E53">
    <cfRule type="expression" dxfId="145" priority="7" stopIfTrue="1">
      <formula>$F$53="超过20%"</formula>
    </cfRule>
  </conditionalFormatting>
  <conditionalFormatting sqref="E54">
    <cfRule type="expression" dxfId="144" priority="6" stopIfTrue="1">
      <formula>$F$54="超过30%"</formula>
    </cfRule>
  </conditionalFormatting>
  <conditionalFormatting sqref="G52">
    <cfRule type="expression" dxfId="143" priority="5" stopIfTrue="1">
      <formula>$H$52="超过30%"</formula>
    </cfRule>
  </conditionalFormatting>
  <conditionalFormatting sqref="G53">
    <cfRule type="expression" dxfId="142" priority="4" stopIfTrue="1">
      <formula>$H$53="超过20%"</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6" t="s">
        <v>2118</v>
      </c>
      <c r="B1" s="2417"/>
      <c r="C1" s="2418"/>
      <c r="D1" s="2417"/>
      <c r="E1" s="2417"/>
      <c r="F1" s="2419" t="s">
        <v>2119</v>
      </c>
      <c r="G1" s="2072" t="s">
        <v>3213</v>
      </c>
      <c r="H1" s="2420" t="str">
        <f>IF(G1="现房","——","估价对象范围")</f>
        <v>——</v>
      </c>
      <c r="I1" s="2421"/>
    </row>
    <row r="2" spans="1:12" ht="21.75" customHeight="1" thickBot="1">
      <c r="A2" s="3177" t="str">
        <f>项目基本情况!S2</f>
        <v>北京市朝阳区朝阳路71号房地产</v>
      </c>
      <c r="B2" s="3178"/>
      <c r="C2" s="3178"/>
      <c r="D2" s="3178"/>
      <c r="E2" s="3178"/>
      <c r="F2" s="3178"/>
      <c r="G2" s="3178"/>
      <c r="H2" s="3178"/>
      <c r="I2" s="3179"/>
    </row>
    <row r="3" spans="1:12" ht="12.75">
      <c r="A3" s="3180" t="s">
        <v>2120</v>
      </c>
      <c r="B3" s="3181"/>
      <c r="C3" s="3181"/>
      <c r="D3" s="3181"/>
      <c r="E3" s="3181"/>
      <c r="F3" s="3181"/>
      <c r="G3" s="3181"/>
      <c r="H3" s="3181"/>
      <c r="I3" s="3181"/>
    </row>
    <row r="4" spans="1:12" ht="14.25">
      <c r="A4" s="2424" t="s">
        <v>2121</v>
      </c>
      <c r="B4" s="2425" t="s">
        <v>2122</v>
      </c>
      <c r="C4" s="2426" t="s">
        <v>3214</v>
      </c>
      <c r="D4" s="2426" t="s">
        <v>3100</v>
      </c>
      <c r="E4" s="3161" t="s">
        <v>2123</v>
      </c>
      <c r="F4" s="3174"/>
      <c r="G4" s="3174"/>
      <c r="H4" s="3174"/>
      <c r="I4" s="3162"/>
      <c r="K4" s="2427" t="str">
        <f>IF(ISNUMBER(FIND("比较法",'结果表-地下商业'!C4)),"比较法",IF(ISNUMBER(FIND("成本法",'结果表-地下商业'!C4)),"成本法",IF(ISNUMBER(FIND("假设开发法",'结果表-地下商业'!C4)),"假设开发法",IF(ISNUMBER(FIND("收益法",'结果表-地下商业'!C4)),"收益法","基准地价系数修正法"))))</f>
        <v>比较法</v>
      </c>
      <c r="L4" s="2427" t="str">
        <f>IF(ISNUMBER(FIND("比较法",'结果表-地下商业'!D4)),"比较法",IF(ISNUMBER(FIND("成本法",'结果表-地下商业'!D4)),"成本法",IF(ISNUMBER(FIND("假设开发法",'结果表-地下商业'!D4)),"假设开发法",IF(ISNUMBER(FIND("收益法",'结果表-地下商业'!D4)),"收益法","基准地价系数修正法"))))</f>
        <v>收益法</v>
      </c>
    </row>
    <row r="5" spans="1:12" ht="12.75">
      <c r="A5" s="3152" t="s">
        <v>2124</v>
      </c>
      <c r="B5" s="3074">
        <v>25</v>
      </c>
      <c r="C5" s="3182"/>
      <c r="D5" s="3170"/>
      <c r="E5" s="140" t="s">
        <v>2125</v>
      </c>
      <c r="F5" s="2428"/>
      <c r="G5" s="2428"/>
      <c r="H5" s="2428"/>
      <c r="I5" s="1833"/>
    </row>
    <row r="6" spans="1:12" ht="12.75">
      <c r="A6" s="3152"/>
      <c r="B6" s="3074"/>
      <c r="C6" s="3184"/>
      <c r="D6" s="3170"/>
      <c r="E6" s="140" t="s">
        <v>2126</v>
      </c>
      <c r="F6" s="2428"/>
      <c r="G6" s="2428"/>
      <c r="H6" s="2428"/>
      <c r="I6" s="1833"/>
    </row>
    <row r="7" spans="1:12" ht="12.75">
      <c r="A7" s="3152"/>
      <c r="B7" s="3074"/>
      <c r="C7" s="3183"/>
      <c r="D7" s="3170"/>
      <c r="E7" s="140" t="s">
        <v>2127</v>
      </c>
      <c r="F7" s="2428"/>
      <c r="G7" s="2428"/>
      <c r="H7" s="2428"/>
      <c r="I7" s="1833"/>
    </row>
    <row r="8" spans="1:12" ht="12.75">
      <c r="A8" s="3152" t="s">
        <v>2128</v>
      </c>
      <c r="B8" s="3074">
        <v>15</v>
      </c>
      <c r="C8" s="3182"/>
      <c r="D8" s="3170"/>
      <c r="E8" s="140" t="s">
        <v>2129</v>
      </c>
      <c r="F8" s="2428"/>
      <c r="G8" s="2428"/>
      <c r="H8" s="2428"/>
      <c r="I8" s="1833"/>
    </row>
    <row r="9" spans="1:12" ht="12.75">
      <c r="A9" s="3152"/>
      <c r="B9" s="3074"/>
      <c r="C9" s="3183"/>
      <c r="D9" s="3170"/>
      <c r="E9" s="140" t="s">
        <v>2130</v>
      </c>
      <c r="F9" s="2428"/>
      <c r="G9" s="2428"/>
      <c r="H9" s="2428"/>
      <c r="I9" s="1833"/>
    </row>
    <row r="10" spans="1:12" ht="12.75">
      <c r="A10" s="3152" t="s">
        <v>2131</v>
      </c>
      <c r="B10" s="3074">
        <v>15</v>
      </c>
      <c r="C10" s="3182"/>
      <c r="D10" s="3170"/>
      <c r="E10" s="140" t="s">
        <v>2132</v>
      </c>
      <c r="F10" s="2428"/>
      <c r="G10" s="2428"/>
      <c r="H10" s="2428"/>
      <c r="I10" s="1833"/>
    </row>
    <row r="11" spans="1:12" ht="12.75">
      <c r="A11" s="3152"/>
      <c r="B11" s="3074"/>
      <c r="C11" s="3183"/>
      <c r="D11" s="3170"/>
      <c r="E11" s="140" t="s">
        <v>2133</v>
      </c>
      <c r="F11" s="2428"/>
      <c r="G11" s="2428"/>
      <c r="H11" s="2428"/>
      <c r="I11" s="1833"/>
    </row>
    <row r="12" spans="1:12" ht="12.75">
      <c r="A12" s="3152" t="s">
        <v>2134</v>
      </c>
      <c r="B12" s="3074">
        <v>15</v>
      </c>
      <c r="C12" s="3182"/>
      <c r="D12" s="3170"/>
      <c r="E12" s="140" t="s">
        <v>2135</v>
      </c>
      <c r="F12" s="2428"/>
      <c r="G12" s="2428"/>
      <c r="H12" s="2428"/>
      <c r="I12" s="1833"/>
    </row>
    <row r="13" spans="1:12" ht="12.75">
      <c r="A13" s="3152"/>
      <c r="B13" s="3074"/>
      <c r="C13" s="3183"/>
      <c r="D13" s="3170"/>
      <c r="E13" s="140" t="s">
        <v>2136</v>
      </c>
      <c r="F13" s="2428"/>
      <c r="G13" s="2428"/>
      <c r="H13" s="2428"/>
      <c r="I13" s="1833"/>
    </row>
    <row r="14" spans="1:12" ht="12.75">
      <c r="A14" s="3152" t="s">
        <v>2137</v>
      </c>
      <c r="B14" s="3074">
        <v>30</v>
      </c>
      <c r="C14" s="3182">
        <v>5</v>
      </c>
      <c r="D14" s="3170">
        <v>5</v>
      </c>
      <c r="E14" s="140" t="s">
        <v>2138</v>
      </c>
      <c r="F14" s="2428"/>
      <c r="G14" s="2428"/>
      <c r="H14" s="2428"/>
      <c r="I14" s="1833"/>
    </row>
    <row r="15" spans="1:12" ht="12.75">
      <c r="A15" s="3152"/>
      <c r="B15" s="3074"/>
      <c r="C15" s="3184"/>
      <c r="D15" s="3170"/>
      <c r="E15" s="140" t="s">
        <v>2139</v>
      </c>
      <c r="F15" s="2428"/>
      <c r="G15" s="2428"/>
      <c r="H15" s="2428"/>
      <c r="I15" s="1833"/>
    </row>
    <row r="16" spans="1:12" ht="12.75">
      <c r="A16" s="3152"/>
      <c r="B16" s="3074"/>
      <c r="C16" s="3183"/>
      <c r="D16" s="3170"/>
      <c r="E16" s="140" t="s">
        <v>2140</v>
      </c>
      <c r="F16" s="2428"/>
      <c r="G16" s="2428"/>
      <c r="H16" s="2428"/>
      <c r="I16" s="1833"/>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3647.3</v>
      </c>
      <c r="M18" s="2427">
        <f>IF(C1="",'数据-汇总表'!E3,SUMIF(项目类型,C1,'数据-汇总表'!E17:E26))</f>
        <v>3647.3</v>
      </c>
    </row>
    <row r="19" spans="1:35" ht="15">
      <c r="A19" s="2433" t="s">
        <v>2146</v>
      </c>
      <c r="B19" s="2434" t="s">
        <v>2147</v>
      </c>
      <c r="C19" s="143">
        <f ca="1">SUMIF(INDIRECT("'"&amp;C4&amp;"'"&amp;"!A:A"),'结果表-地下商业'!B19,INDIRECT("'"&amp;C4&amp;"'"&amp;"!B:B"))</f>
        <v>10523</v>
      </c>
      <c r="D19" s="144">
        <f ca="1">SUMIF(INDIRECT("'"&amp;D4&amp;"'"&amp;"!A:A"),'结果表-地下商业'!B19,INDIRECT("'"&amp;D4&amp;"'"&amp;"!B:B"))</f>
        <v>7388</v>
      </c>
      <c r="E19" s="2433" t="s">
        <v>2148</v>
      </c>
      <c r="F19" s="2434" t="s">
        <v>2147</v>
      </c>
      <c r="G19" s="145">
        <f ca="1">ROUND(C19*$C$18+D19*$D$18,0)</f>
        <v>8956</v>
      </c>
      <c r="H19" s="2435" t="s">
        <v>2149</v>
      </c>
      <c r="I19" s="138"/>
      <c r="K19" s="2427" t="s">
        <v>2150</v>
      </c>
      <c r="L19" s="2427">
        <f>IF(C1="",'数据-汇总表'!D3,SUMIF(项目类型,C1,'数据-汇总表'!D17:D26)+SUMIF(项目类型,C1,'数据-汇总表'!H17:H27))</f>
        <v>1042.42</v>
      </c>
      <c r="M19" s="2427">
        <f>IF(C1="",'数据-汇总表'!D3,SUMIF(项目类型,C1,'数据-汇总表'!D17:D26))</f>
        <v>1042.42</v>
      </c>
    </row>
    <row r="20" spans="1:35" ht="15">
      <c r="A20" s="2436"/>
      <c r="B20" s="1249" t="s">
        <v>2151</v>
      </c>
      <c r="C20" s="146">
        <f ca="1">SUMIF(INDIRECT("'"&amp;C4&amp;"'"&amp;"!A:A"),'结果表-地下商业'!B20,INDIRECT("'"&amp;C4&amp;"'"&amp;"!B:B"))</f>
        <v>34473.699999999997</v>
      </c>
      <c r="D20" s="147">
        <f ca="1">SUMIF(INDIRECT("'"&amp;D4&amp;"'"&amp;"!A:A"),'结果表-地下商业'!B20,INDIRECT("'"&amp;D4&amp;"'"&amp;"!B:B"))</f>
        <v>24204</v>
      </c>
      <c r="E20" s="2436"/>
      <c r="F20" s="1249" t="s">
        <v>2151</v>
      </c>
      <c r="G20" s="148">
        <f ca="1">ROUND(C20*$C$18+D20*$D$18,0)</f>
        <v>29339</v>
      </c>
      <c r="H20" s="982" t="s">
        <v>2152</v>
      </c>
      <c r="I20" s="138"/>
      <c r="K20" s="3001"/>
    </row>
    <row r="21" spans="1:35" ht="15" customHeight="1" thickBot="1">
      <c r="A21" s="1002"/>
      <c r="B21" s="2437" t="s">
        <v>2153</v>
      </c>
      <c r="C21" s="789">
        <f ca="1">ROUND(C19*10000/L19,0)</f>
        <v>100948</v>
      </c>
      <c r="D21" s="790">
        <f ca="1">ROUND(D19*10000/L19,0)</f>
        <v>70874</v>
      </c>
      <c r="E21" s="1002"/>
      <c r="F21" s="2437" t="s">
        <v>2153</v>
      </c>
      <c r="G21" s="149">
        <f ca="1">ROUND(G19*10000/L19,0)</f>
        <v>85915</v>
      </c>
      <c r="H21" s="2438" t="s">
        <v>2152</v>
      </c>
      <c r="I21" s="138"/>
    </row>
    <row r="22" spans="1:35" ht="15" thickBot="1">
      <c r="A22" s="2281" t="s">
        <v>2154</v>
      </c>
      <c r="B22" s="2439"/>
      <c r="C22" s="2440"/>
      <c r="D22" s="791">
        <f ca="1">IF(C19&lt;D19,D19/C19-1,C19/D19-1)</f>
        <v>0.42433676231727135</v>
      </c>
      <c r="E22" s="138"/>
      <c r="F22" s="138"/>
      <c r="G22" s="138"/>
      <c r="H22" s="138"/>
      <c r="I22" s="138"/>
      <c r="J22" s="3002" t="s">
        <v>3223</v>
      </c>
    </row>
    <row r="23" spans="1:35" ht="13.5" thickBot="1">
      <c r="A23" s="2417"/>
      <c r="B23" s="2417"/>
      <c r="C23" s="2417"/>
      <c r="D23" s="2417"/>
      <c r="E23" s="138"/>
      <c r="F23" s="138"/>
      <c r="G23" s="138"/>
      <c r="H23" s="138"/>
      <c r="I23" s="138"/>
      <c r="J23" s="3003">
        <f ca="1">ROUND(G20*0.6,0)</f>
        <v>17603</v>
      </c>
      <c r="K23" s="3001" t="s">
        <v>3225</v>
      </c>
    </row>
    <row r="24" spans="1:35" ht="14.25">
      <c r="A24" s="3191" t="s">
        <v>2155</v>
      </c>
      <c r="B24" s="2434" t="s">
        <v>2147</v>
      </c>
      <c r="C24" s="145">
        <f>IF(B30=0,0,D30)</f>
        <v>0</v>
      </c>
      <c r="D24" s="2441"/>
      <c r="E24" s="138"/>
      <c r="F24" s="138"/>
      <c r="G24" s="138"/>
      <c r="H24" s="138"/>
      <c r="I24" s="138"/>
      <c r="J24" s="3003">
        <f ca="1">ROUND(J23*'数据-基础表'!K17/10000,0)</f>
        <v>5373</v>
      </c>
      <c r="K24" s="3001" t="s">
        <v>3224</v>
      </c>
    </row>
    <row r="25" spans="1:35" ht="14.25">
      <c r="A25" s="3192"/>
      <c r="B25" s="1249"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6" t="s">
        <v>3042</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8956</v>
      </c>
      <c r="D32" s="2448" t="s">
        <v>2162</v>
      </c>
      <c r="E32" s="138"/>
      <c r="F32" s="138"/>
      <c r="G32" s="138"/>
      <c r="H32" s="138"/>
      <c r="I32" s="138"/>
    </row>
    <row r="33" spans="1:15" ht="15">
      <c r="A33" s="959" t="s">
        <v>2163</v>
      </c>
      <c r="B33" s="2449"/>
      <c r="C33" s="2450"/>
      <c r="D33" s="2451"/>
      <c r="E33" s="2452" t="s">
        <v>2164</v>
      </c>
      <c r="F33" s="2942" t="str">
        <f>IF(D32="楼面单价","取值（单价）","取值（总价）")</f>
        <v>取值（总价）</v>
      </c>
      <c r="G33" s="138"/>
      <c r="H33" s="138"/>
      <c r="I33" s="138"/>
    </row>
    <row r="34" spans="1:15" ht="15">
      <c r="A34" s="2454"/>
      <c r="B34" s="2455" t="s">
        <v>2165</v>
      </c>
      <c r="C34" s="157" t="e">
        <f ca="1">IF(C33="自定义",F34,C32-C35)</f>
        <v>#REF!</v>
      </c>
      <c r="D34" s="1057" t="e">
        <f ca="1">IF(C33="自定义",ROUND(C34/C32,3),IF(C33="收益比率",SUMIF(INDIRECT("'"&amp;D33&amp;"'"&amp;"!b:b"),"土地收益比率",INDIRECT("'"&amp;D33&amp;"'"&amp;"!c:c")),SUMIF(INDIRECT("'"&amp;D33&amp;"'"&amp;"!b:b"),"土地成本比率",INDIRECT("'"&amp;D33&amp;"'"&amp;"!c:c"))))</f>
        <v>#REF!</v>
      </c>
      <c r="E34" s="2456" t="s">
        <v>2166</v>
      </c>
      <c r="F34" s="1738"/>
      <c r="G34" s="138"/>
      <c r="H34" s="138"/>
      <c r="I34" s="138"/>
    </row>
    <row r="35" spans="1:15" ht="15.75" thickBot="1">
      <c r="A35" s="2457"/>
      <c r="B35" s="2458" t="s">
        <v>2167</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71" t="s">
        <v>2169</v>
      </c>
      <c r="B36" s="2460" t="s">
        <v>2170</v>
      </c>
      <c r="C36" s="154"/>
      <c r="D36" s="2461"/>
      <c r="E36" s="2462"/>
      <c r="F36" s="2463"/>
      <c r="G36" s="138"/>
      <c r="H36" s="138"/>
      <c r="I36" s="138"/>
    </row>
    <row r="37" spans="1:15" ht="15.75" thickBot="1">
      <c r="A37" s="3172"/>
      <c r="B37" s="2267" t="s">
        <v>2171</v>
      </c>
      <c r="C37" s="156"/>
      <c r="D37" s="1394"/>
      <c r="E37" s="1394"/>
      <c r="F37" s="2463"/>
      <c r="G37" s="138"/>
      <c r="H37" s="138"/>
      <c r="I37" s="138"/>
    </row>
    <row r="38" spans="1:15" ht="15.75" thickBot="1">
      <c r="A38" s="3173"/>
      <c r="B38" s="2464" t="s">
        <v>2172</v>
      </c>
      <c r="C38" s="727"/>
      <c r="D38" s="2465" t="s">
        <v>2173</v>
      </c>
      <c r="E38" s="1394"/>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6"/>
      <c r="B43" s="2166"/>
      <c r="C43" s="2166"/>
      <c r="D43" s="2166"/>
      <c r="E43" s="2166"/>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88" t="s">
        <v>2183</v>
      </c>
      <c r="B45" s="3189"/>
      <c r="C45" s="3190"/>
      <c r="D45" s="164">
        <f ca="1">ROUND(H101*F45,0)</f>
        <v>8956</v>
      </c>
      <c r="E45" s="165" t="s">
        <v>2184</v>
      </c>
      <c r="F45" s="166">
        <v>1</v>
      </c>
      <c r="G45" s="167" t="s">
        <v>2185</v>
      </c>
      <c r="H45" s="138"/>
      <c r="I45" s="138"/>
      <c r="J45" s="3107" t="s">
        <v>2186</v>
      </c>
      <c r="K45" s="3107"/>
      <c r="L45" s="3107"/>
      <c r="M45" s="3107"/>
      <c r="N45" s="3107"/>
      <c r="O45" s="3107"/>
    </row>
    <row r="46" spans="1:15" ht="14.25" customHeight="1">
      <c r="A46" s="3185" t="s">
        <v>2187</v>
      </c>
      <c r="B46" s="3186"/>
      <c r="C46" s="3186"/>
      <c r="D46" s="3186"/>
      <c r="E46" s="3186"/>
      <c r="F46" s="3186"/>
      <c r="G46" s="3187"/>
      <c r="H46" s="2479"/>
      <c r="I46" s="168"/>
      <c r="J46" s="2956">
        <v>1</v>
      </c>
      <c r="K46" s="3107" t="s">
        <v>2188</v>
      </c>
      <c r="L46" s="3107"/>
      <c r="M46" s="3108"/>
      <c r="N46" s="3108"/>
      <c r="O46" s="3108"/>
    </row>
    <row r="47" spans="1:15" ht="12" customHeight="1">
      <c r="A47" s="169" t="s">
        <v>2189</v>
      </c>
      <c r="B47" s="170"/>
      <c r="C47" s="171"/>
      <c r="D47" s="172" t="s">
        <v>2190</v>
      </c>
      <c r="E47" s="24" t="s">
        <v>2191</v>
      </c>
      <c r="F47" s="173" t="s">
        <v>2192</v>
      </c>
      <c r="G47" s="174" t="s">
        <v>2193</v>
      </c>
      <c r="H47" s="2479"/>
      <c r="I47" s="168"/>
      <c r="J47" s="2956">
        <v>2</v>
      </c>
      <c r="K47" s="3107" t="s">
        <v>2194</v>
      </c>
      <c r="L47" s="3107"/>
      <c r="M47" s="3109">
        <f>'数据-取费表'!B2</f>
        <v>43100</v>
      </c>
      <c r="N47" s="3109"/>
      <c r="O47" s="3109"/>
    </row>
    <row r="48" spans="1:15" ht="25.5">
      <c r="A48" s="3175" t="s">
        <v>2195</v>
      </c>
      <c r="B48" s="3176"/>
      <c r="C48" s="3176"/>
      <c r="D48" s="140">
        <f>IF(H48="情况1",0,IF(H48="情况2",D52,IF(H48="情况3",D53,IF(H48="情况4",D54))))</f>
        <v>0</v>
      </c>
      <c r="E48" s="2946" t="str">
        <f>IF(H48="情况4","(销售额-原购置价)×税（费）率","销售额×税（费）率")</f>
        <v>销售额×税（费）率</v>
      </c>
      <c r="F48" s="175" t="str">
        <f>IF(H48="情况1","免征",'数据-取费表'!B41)</f>
        <v>免征</v>
      </c>
      <c r="G48" s="2480" t="s">
        <v>2196</v>
      </c>
      <c r="H48" s="2481" t="s">
        <v>2197</v>
      </c>
      <c r="I48" s="2479"/>
      <c r="J48" s="2956">
        <v>3</v>
      </c>
      <c r="K48" s="3107" t="s">
        <v>2198</v>
      </c>
      <c r="L48" s="3107"/>
      <c r="M48" s="3110">
        <f ca="1">H101</f>
        <v>8956</v>
      </c>
      <c r="N48" s="3110"/>
      <c r="O48" s="3110"/>
    </row>
    <row r="49" spans="1:35" ht="25.5" customHeight="1">
      <c r="A49" s="176" t="s">
        <v>2199</v>
      </c>
      <c r="B49" s="3155" t="s">
        <v>2200</v>
      </c>
      <c r="C49" s="3155"/>
      <c r="D49" s="177">
        <v>0</v>
      </c>
      <c r="E49" s="23" t="s">
        <v>2201</v>
      </c>
      <c r="F49" s="28" t="s">
        <v>34</v>
      </c>
      <c r="G49" s="3136"/>
      <c r="H49" s="138"/>
      <c r="I49" s="2482"/>
      <c r="J49" s="2956">
        <v>4</v>
      </c>
      <c r="K49" s="3107" t="str">
        <f>IF(项目基本情况!E8="房地产抵押价值","房地产抵押价值","抵押担保权已注销时的房地产抵押价值")</f>
        <v>抵押担保权已注销时的房地产抵押价值</v>
      </c>
      <c r="L49" s="3107"/>
      <c r="M49" s="3110" t="str">
        <f>IF(项目基本情况!E8="房地产抵押价值",H107,H109)</f>
        <v>——</v>
      </c>
      <c r="N49" s="3110"/>
      <c r="O49" s="3110"/>
    </row>
    <row r="50" spans="1:35" ht="25.5" customHeight="1">
      <c r="A50" s="178"/>
      <c r="B50" s="3155" t="s">
        <v>2202</v>
      </c>
      <c r="C50" s="3155"/>
      <c r="D50" s="179"/>
      <c r="E50" s="31"/>
      <c r="F50" s="180"/>
      <c r="G50" s="3137"/>
      <c r="H50" s="138"/>
      <c r="I50" s="2482"/>
      <c r="J50" s="3107" t="s">
        <v>2203</v>
      </c>
      <c r="K50" s="3107"/>
      <c r="L50" s="3107"/>
      <c r="M50" s="3107"/>
      <c r="N50" s="3107"/>
      <c r="O50" s="3107"/>
    </row>
    <row r="51" spans="1:35" ht="12" customHeight="1">
      <c r="A51" s="181"/>
      <c r="B51" s="3155" t="s">
        <v>2204</v>
      </c>
      <c r="C51" s="3155"/>
      <c r="D51" s="182"/>
      <c r="E51" s="30"/>
      <c r="F51" s="180"/>
      <c r="G51" s="3138"/>
      <c r="H51" s="138"/>
      <c r="I51" s="2482"/>
      <c r="J51" s="2955" t="s">
        <v>2205</v>
      </c>
      <c r="K51" s="3107" t="s">
        <v>2206</v>
      </c>
      <c r="L51" s="3107"/>
      <c r="M51" s="2955" t="s">
        <v>2207</v>
      </c>
      <c r="N51" s="2955" t="s">
        <v>2208</v>
      </c>
      <c r="O51" s="2955" t="s">
        <v>2209</v>
      </c>
    </row>
    <row r="52" spans="1:35" ht="24" customHeight="1">
      <c r="A52" s="183" t="s">
        <v>2210</v>
      </c>
      <c r="B52" s="3155" t="s">
        <v>2211</v>
      </c>
      <c r="C52" s="3155"/>
      <c r="D52" s="182">
        <f ca="1">ROUND(D45*'数据-取费表'!B41/(1+'数据-取费表'!C42),0)</f>
        <v>478</v>
      </c>
      <c r="E52" s="11" t="s">
        <v>2212</v>
      </c>
      <c r="F52" s="184">
        <f>'数据-取费表'!B41</f>
        <v>5.6000000000000001E-2</v>
      </c>
      <c r="G52" s="2484"/>
      <c r="H52" s="138"/>
      <c r="I52" s="2482"/>
      <c r="J52" s="2956">
        <v>1</v>
      </c>
      <c r="K52" s="3130" t="s">
        <v>2213</v>
      </c>
      <c r="L52" s="3130"/>
      <c r="M52" s="1753">
        <f>D48</f>
        <v>0</v>
      </c>
      <c r="N52" s="2956" t="str">
        <f>E48</f>
        <v>销售额×税（费）率</v>
      </c>
      <c r="O52" s="1754" t="str">
        <f>F48</f>
        <v>免征</v>
      </c>
    </row>
    <row r="53" spans="1:35" ht="12" customHeight="1">
      <c r="A53" s="183" t="s">
        <v>2214</v>
      </c>
      <c r="B53" s="3156" t="s">
        <v>2215</v>
      </c>
      <c r="C53" s="3157"/>
      <c r="D53" s="182">
        <f ca="1">ROUND(D45*'数据-取费表'!B41/(1+'数据-取费表'!C42),0)</f>
        <v>478</v>
      </c>
      <c r="E53" s="11" t="s">
        <v>2212</v>
      </c>
      <c r="F53" s="184">
        <f>'数据-取费表'!B41</f>
        <v>5.6000000000000001E-2</v>
      </c>
      <c r="G53" s="2484"/>
      <c r="H53" s="138"/>
      <c r="I53" s="2482"/>
      <c r="J53" s="2956">
        <v>2</v>
      </c>
      <c r="K53" s="3130" t="s">
        <v>2216</v>
      </c>
      <c r="L53" s="3130"/>
      <c r="M53" s="1753">
        <f t="shared" ref="M53:O54" ca="1" si="0">D55</f>
        <v>4</v>
      </c>
      <c r="N53" s="2956" t="str">
        <f t="shared" si="0"/>
        <v>销售额×税（费）率</v>
      </c>
      <c r="O53" s="1754">
        <f t="shared" si="0"/>
        <v>5.0000000000000001E-4</v>
      </c>
    </row>
    <row r="54" spans="1:35" ht="12" customHeight="1">
      <c r="A54" s="183" t="s">
        <v>2217</v>
      </c>
      <c r="B54" s="3156" t="s">
        <v>2218</v>
      </c>
      <c r="C54" s="3157"/>
      <c r="D54" s="182">
        <f ca="1">C68</f>
        <v>478</v>
      </c>
      <c r="E54" s="30" t="s">
        <v>2219</v>
      </c>
      <c r="F54" s="184">
        <f>'数据-取费表'!B41</f>
        <v>5.6000000000000001E-2</v>
      </c>
      <c r="G54" s="2484"/>
      <c r="H54" s="2485"/>
      <c r="I54" s="2482"/>
      <c r="J54" s="2956">
        <v>3</v>
      </c>
      <c r="K54" s="3130" t="s">
        <v>2220</v>
      </c>
      <c r="L54" s="3130"/>
      <c r="M54" s="1753">
        <f t="shared" ca="1" si="0"/>
        <v>5070</v>
      </c>
      <c r="N54" s="2956" t="str">
        <f t="shared" si="0"/>
        <v>增值额×税（费）率</v>
      </c>
      <c r="O54" s="1755" t="str">
        <f t="shared" si="0"/>
        <v>——</v>
      </c>
    </row>
    <row r="55" spans="1:35" ht="24" customHeight="1">
      <c r="A55" s="3194" t="s">
        <v>2221</v>
      </c>
      <c r="B55" s="3176"/>
      <c r="C55" s="3176"/>
      <c r="D55" s="185">
        <f ca="1">IF(H55="个人住宅",0,ROUND(D45*I55,0))</f>
        <v>4</v>
      </c>
      <c r="E55" s="11" t="s">
        <v>2222</v>
      </c>
      <c r="F55" s="184">
        <f>IF(H55="正常",I55,"免征")</f>
        <v>5.0000000000000001E-4</v>
      </c>
      <c r="G55" s="2484"/>
      <c r="H55" s="2481" t="s">
        <v>2223</v>
      </c>
      <c r="I55" s="186">
        <f>'数据-取费表'!B49</f>
        <v>5.0000000000000001E-4</v>
      </c>
      <c r="J55" s="2956" t="str">
        <f>IF(H59="非个人房产","",4)</f>
        <v/>
      </c>
      <c r="K55" s="3130" t="str">
        <f>IF(H59="非个人房产","——","个人所得税")</f>
        <v>——</v>
      </c>
      <c r="L55" s="3130"/>
      <c r="M55" s="1756" t="str">
        <f>D59</f>
        <v>——</v>
      </c>
      <c r="N55" s="2957" t="str">
        <f>E59</f>
        <v>——</v>
      </c>
      <c r="O55" s="1757" t="str">
        <f>F59</f>
        <v>——</v>
      </c>
    </row>
    <row r="56" spans="1:35" ht="24.75">
      <c r="A56" s="3194" t="s">
        <v>2224</v>
      </c>
      <c r="B56" s="3176"/>
      <c r="C56" s="3176"/>
      <c r="D56" s="185">
        <f ca="1">IF(H56="个人住宅",D57,D58)</f>
        <v>5070</v>
      </c>
      <c r="E56" s="11" t="s">
        <v>2225</v>
      </c>
      <c r="F56" s="184" t="str">
        <f>IF(H56="正常",F58,"免征")</f>
        <v>——</v>
      </c>
      <c r="G56" s="2486" t="s">
        <v>2226</v>
      </c>
      <c r="H56" s="2487" t="s">
        <v>2223</v>
      </c>
      <c r="I56" s="2488"/>
      <c r="J56" s="2956" t="str">
        <f>IF(项目基本情况!K6="上海银行",IF(J55="",4,J55+1),"")</f>
        <v/>
      </c>
      <c r="K56" s="3113" t="str">
        <f>IF(项目基本情况!K6="上海银行","其他处置费用","")</f>
        <v/>
      </c>
      <c r="L56" s="3114"/>
      <c r="M56" s="1753" t="str">
        <f>IF(项目基本情况!K6="上海银行",M69,"")</f>
        <v/>
      </c>
      <c r="N56" s="3116" t="str">
        <f>IF(项目基本情况!K6="上海银行","包含处置中涉及的律师、诉讼、拍卖、评估等费用","")</f>
        <v/>
      </c>
      <c r="O56" s="3117"/>
    </row>
    <row r="57" spans="1:35" ht="12.75">
      <c r="A57" s="183" t="s">
        <v>2199</v>
      </c>
      <c r="B57" s="3161" t="s">
        <v>2227</v>
      </c>
      <c r="C57" s="3162"/>
      <c r="D57" s="187">
        <v>0</v>
      </c>
      <c r="E57" s="23" t="s">
        <v>2201</v>
      </c>
      <c r="F57" s="155"/>
      <c r="G57" s="2484"/>
      <c r="H57" s="2488"/>
      <c r="I57" s="2488"/>
      <c r="J57" s="3130">
        <f>IF(AND(J55="",J56=""),4,IF(项目基本情况!K6="上海银行",'结果表-地下商业'!J56+1,'结果表-地下商业'!J55+1))</f>
        <v>4</v>
      </c>
      <c r="K57" s="3130" t="s">
        <v>2228</v>
      </c>
      <c r="L57" s="2489" t="s">
        <v>2229</v>
      </c>
      <c r="M57" s="1758"/>
      <c r="N57" s="1759">
        <f ca="1">SUMIF(M52:M56,"&lt;9e307")</f>
        <v>5074</v>
      </c>
      <c r="O57" s="2490"/>
      <c r="P57" s="1752" t="e">
        <f ca="1">N57/M49</f>
        <v>#VALUE!</v>
      </c>
    </row>
    <row r="58" spans="1:35" ht="24.75">
      <c r="A58" s="183" t="s">
        <v>2210</v>
      </c>
      <c r="B58" s="3161" t="s">
        <v>2230</v>
      </c>
      <c r="C58" s="3174"/>
      <c r="D58" s="185">
        <f ca="1">IF(H58="转让取得",C81,C97)</f>
        <v>5070</v>
      </c>
      <c r="E58" s="11" t="s">
        <v>2225</v>
      </c>
      <c r="F58" s="24" t="s">
        <v>34</v>
      </c>
      <c r="G58" s="2484"/>
      <c r="H58" s="2487" t="s">
        <v>2231</v>
      </c>
      <c r="I58" s="2488"/>
      <c r="J58" s="3130"/>
      <c r="K58" s="3130"/>
      <c r="L58" s="2489" t="s">
        <v>2232</v>
      </c>
      <c r="M58" s="1760"/>
      <c r="N58" s="2491" t="str">
        <f ca="1">NUMBERSTRING(INT(N57*10000),2)&amp;"元整"</f>
        <v>伍仟零柒拾肆万元整</v>
      </c>
      <c r="O58" s="2492"/>
    </row>
    <row r="59" spans="1:35" ht="24.75" thickBot="1">
      <c r="A59" s="3134" t="s">
        <v>2233</v>
      </c>
      <c r="B59" s="3135"/>
      <c r="C59" s="3135"/>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32">
        <f>J57+1</f>
        <v>5</v>
      </c>
      <c r="K59" s="3130" t="s">
        <v>2235</v>
      </c>
      <c r="L59" s="2956" t="s">
        <v>2229</v>
      </c>
      <c r="M59" s="1761"/>
      <c r="N59" s="1762" t="e">
        <f ca="1">M49-N57</f>
        <v>#VALUE!</v>
      </c>
      <c r="O59" s="2494"/>
    </row>
    <row r="60" spans="1:35" ht="12" customHeight="1">
      <c r="A60" s="2495"/>
      <c r="B60" s="2417"/>
      <c r="C60" s="2417"/>
      <c r="D60" s="2417"/>
      <c r="E60" s="2167"/>
      <c r="F60" s="2488"/>
      <c r="G60" s="2488"/>
      <c r="H60" s="2496"/>
      <c r="I60" s="138"/>
      <c r="J60" s="3133"/>
      <c r="K60" s="3130"/>
      <c r="L60" s="2489" t="s">
        <v>2232</v>
      </c>
      <c r="M60" s="1760"/>
      <c r="N60" s="2491" t="e">
        <f ca="1">NUMBERSTRING(INT(N59*10000),2)&amp;"元整"</f>
        <v>#VALUE!</v>
      </c>
      <c r="O60" s="2492"/>
    </row>
    <row r="61" spans="1:35" ht="13.5" thickBot="1">
      <c r="A61" s="3193" t="s">
        <v>2236</v>
      </c>
      <c r="B61" s="3193"/>
      <c r="C61" s="3193"/>
      <c r="D61" s="3193"/>
      <c r="E61" s="3193"/>
      <c r="F61" s="2488"/>
      <c r="G61" s="2488"/>
      <c r="H61" s="2496"/>
      <c r="I61" s="138"/>
      <c r="J61" s="2956">
        <f>J59+1</f>
        <v>6</v>
      </c>
      <c r="K61" s="3130" t="s">
        <v>2237</v>
      </c>
      <c r="L61" s="3130"/>
      <c r="M61" s="1763"/>
      <c r="N61" s="1764" t="e">
        <f ca="1">ROUND(N59*10000/'数据-汇总表'!E3,0)</f>
        <v>#VALUE!</v>
      </c>
      <c r="O61" s="2497"/>
    </row>
    <row r="62" spans="1:35" ht="12.75">
      <c r="A62" s="3150" t="s">
        <v>2238</v>
      </c>
      <c r="B62" s="3151"/>
      <c r="C62" s="2949"/>
      <c r="D62" s="2949" t="s">
        <v>2239</v>
      </c>
      <c r="E62" s="192" t="s">
        <v>2240</v>
      </c>
      <c r="F62" s="2488"/>
      <c r="G62" s="2488"/>
      <c r="H62" s="2496"/>
      <c r="I62" s="138"/>
    </row>
    <row r="63" spans="1:35" ht="12.75">
      <c r="A63" s="203" t="s">
        <v>775</v>
      </c>
      <c r="B63" s="193" t="s">
        <v>2241</v>
      </c>
      <c r="C63" s="194">
        <f ca="1">ROUND((C64+C65)/(1+'数据-取费表'!C42),0)</f>
        <v>8530</v>
      </c>
      <c r="D63" s="195"/>
      <c r="E63" s="196"/>
      <c r="F63" s="2488"/>
      <c r="G63" s="2488"/>
      <c r="H63" s="2496"/>
      <c r="I63" s="138"/>
      <c r="J63" s="3115" t="s">
        <v>2242</v>
      </c>
      <c r="K63" s="2960" t="s">
        <v>2243</v>
      </c>
      <c r="L63" s="1751"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8956</v>
      </c>
      <c r="D64" s="200" t="s">
        <v>32</v>
      </c>
      <c r="E64" s="201"/>
      <c r="F64" s="2488"/>
      <c r="G64" s="2488"/>
      <c r="H64" s="2496"/>
      <c r="I64" s="138"/>
      <c r="J64" s="3115"/>
      <c r="K64" s="2960" t="s">
        <v>2245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15"/>
      <c r="K65" s="2960" t="s">
        <v>2248</v>
      </c>
      <c r="L65" s="1751"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5" t="s">
        <v>1371</v>
      </c>
      <c r="F66" s="2488"/>
      <c r="G66" s="2488"/>
      <c r="H66" s="2496"/>
      <c r="I66" s="138"/>
      <c r="J66" s="3115"/>
      <c r="K66" s="2960" t="s">
        <v>2250</v>
      </c>
      <c r="L66" s="1751" t="e">
        <f>M49*0.5%</f>
        <v>#VALUE!</v>
      </c>
      <c r="M66" s="24" t="e">
        <f>IF(L66&gt;0.5,0.5,ROUND(L66,0))</f>
        <v>#VALUE!</v>
      </c>
      <c r="N66" s="138" t="s">
        <v>2251</v>
      </c>
      <c r="Z66" s="2422"/>
      <c r="AI66" s="2423"/>
    </row>
    <row r="67" spans="1:35" ht="14.25" customHeight="1">
      <c r="A67" s="203" t="s">
        <v>773</v>
      </c>
      <c r="B67" s="204" t="s">
        <v>2252</v>
      </c>
      <c r="C67" s="207">
        <f ca="1">C63-C66</f>
        <v>8530</v>
      </c>
      <c r="D67" s="200" t="s">
        <v>32</v>
      </c>
      <c r="E67" s="201"/>
      <c r="F67" s="2488"/>
      <c r="G67" s="2488"/>
      <c r="H67" s="2496"/>
      <c r="I67" s="138"/>
      <c r="J67" s="3115"/>
      <c r="K67" s="2960" t="s">
        <v>2253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478</v>
      </c>
      <c r="D68" s="211">
        <f>'数据-取费表'!B41</f>
        <v>5.6000000000000001E-2</v>
      </c>
      <c r="E68" s="212"/>
      <c r="F68" s="2488"/>
      <c r="G68" s="2488"/>
      <c r="H68" s="2496"/>
      <c r="I68" s="138"/>
      <c r="J68" s="3115"/>
      <c r="K68" s="2960" t="s">
        <v>2255</v>
      </c>
      <c r="L68" s="1751"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7"/>
      <c r="G69" s="2167"/>
      <c r="H69" s="2166"/>
      <c r="I69" s="2417"/>
      <c r="J69" s="3115"/>
      <c r="K69" s="2960" t="s">
        <v>2256</v>
      </c>
      <c r="L69" s="2504"/>
      <c r="M69" s="24" t="e">
        <f>ROUND(SUM(M63:M68),0)</f>
        <v>#VALUE!</v>
      </c>
      <c r="N69" s="1752"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59" t="s">
        <v>2257</v>
      </c>
      <c r="B70" s="3160"/>
      <c r="C70" s="3160"/>
      <c r="D70" s="3160"/>
      <c r="E70" s="3160"/>
      <c r="F70" s="3160"/>
      <c r="G70" s="3160"/>
      <c r="H70" s="316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0" t="s">
        <v>2238</v>
      </c>
      <c r="B71" s="3151"/>
      <c r="C71" s="2949"/>
      <c r="D71" s="294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8530</v>
      </c>
      <c r="D72" s="200" t="s">
        <v>32</v>
      </c>
      <c r="E72" s="2948"/>
      <c r="F72" s="2943"/>
      <c r="G72" s="294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51</v>
      </c>
      <c r="D73" s="200" t="s">
        <v>32</v>
      </c>
      <c r="E73" s="2948"/>
      <c r="F73" s="2943"/>
      <c r="G73" s="294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48"/>
      <c r="F74" s="2943"/>
      <c r="G74" s="294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56" t="s">
        <v>2266</v>
      </c>
      <c r="F76" s="3155"/>
      <c r="G76" s="3155"/>
      <c r="H76" s="315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61" t="s">
        <v>2268</v>
      </c>
      <c r="F77" s="224"/>
      <c r="G77" s="2512" t="s">
        <v>2269</v>
      </c>
      <c r="H77" s="295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51</v>
      </c>
      <c r="D78" s="226">
        <f>'数据-取费表'!B43</f>
        <v>6.000000000000001E-3</v>
      </c>
      <c r="E78" s="3147" t="s">
        <v>2271</v>
      </c>
      <c r="F78" s="3148"/>
      <c r="G78" s="3148"/>
      <c r="H78" s="314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2272</v>
      </c>
      <c r="C79" s="207">
        <f ca="1">C72-C73</f>
        <v>8479</v>
      </c>
      <c r="D79" s="200" t="s">
        <v>32</v>
      </c>
      <c r="E79" s="2948"/>
      <c r="F79" s="2943"/>
      <c r="G79" s="294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166.25490196078431</v>
      </c>
      <c r="D80" s="200" t="s">
        <v>32</v>
      </c>
      <c r="E80" s="2961" t="str">
        <f ca="1">IF(C80&gt;=200%,"增值额超过扣除项目金额200%",IF(C80&gt;=100%,"增值额超过扣除项目金额100%，未超过200%",IF(C80&gt;=50%,"增值额超过扣除项目金额50%，未超过100%",IF(C80&lt;50%,"增值额未超过扣除项目金额50%"))))</f>
        <v>增值额超过扣除项目金额200%</v>
      </c>
      <c r="F80" s="2943"/>
      <c r="G80" s="294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5070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59" t="s">
        <v>2275</v>
      </c>
      <c r="B83" s="3160"/>
      <c r="C83" s="3160"/>
      <c r="D83" s="3160"/>
      <c r="E83" s="3160"/>
      <c r="F83" s="3160"/>
      <c r="G83" s="3160"/>
      <c r="H83" s="316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0" t="s">
        <v>2238</v>
      </c>
      <c r="B84" s="3151"/>
      <c r="C84" s="2949"/>
      <c r="D84" s="294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8530</v>
      </c>
      <c r="D85" s="200" t="s">
        <v>32</v>
      </c>
      <c r="E85" s="2948"/>
      <c r="F85" s="2943"/>
      <c r="G85" s="294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51</v>
      </c>
      <c r="D86" s="235"/>
      <c r="E86" s="2948"/>
      <c r="F86" s="2943"/>
      <c r="G86" s="294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44"/>
      <c r="F87" s="2945"/>
      <c r="G87" s="2945"/>
      <c r="H87" s="294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45"/>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45"/>
      <c r="G89" s="2945"/>
      <c r="H89" s="294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45"/>
      <c r="G90" s="2945"/>
      <c r="H90" s="294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47" t="s">
        <v>2284</v>
      </c>
      <c r="F91" s="3148"/>
      <c r="G91" s="3148"/>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47" t="s">
        <v>2288</v>
      </c>
      <c r="F92" s="3148"/>
      <c r="G92" s="3148"/>
      <c r="H92" s="314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51</v>
      </c>
      <c r="D93" s="226">
        <f>'数据-取费表'!B43</f>
        <v>6.000000000000001E-3</v>
      </c>
      <c r="E93" s="3147" t="s">
        <v>2271</v>
      </c>
      <c r="F93" s="3148"/>
      <c r="G93" s="3148"/>
      <c r="H93" s="314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95" t="s">
        <v>2292</v>
      </c>
      <c r="F94" s="3196"/>
      <c r="G94" s="3196"/>
      <c r="H94" s="319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2272</v>
      </c>
      <c r="C95" s="207">
        <f ca="1">ROUND(C85-C86,0)</f>
        <v>8479</v>
      </c>
      <c r="D95" s="200" t="s">
        <v>32</v>
      </c>
      <c r="E95" s="2948"/>
      <c r="F95" s="2943"/>
      <c r="G95" s="294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166.25490196078431</v>
      </c>
      <c r="D96" s="200" t="s">
        <v>32</v>
      </c>
      <c r="E96" s="2961" t="str">
        <f ca="1">IF(C96&gt;=200%,"增值额超过扣除项目金额200%",IF(C96&gt;=100%,"增值额超过扣除项目金额100%，未超过200%",IF(C96&gt;=50%,"增值额超过扣除项目金额50%，未超过100%",IF(C96&lt;50%,"增值额未超过扣除项目金额50%"))))</f>
        <v>增值额超过扣除项目金额200%</v>
      </c>
      <c r="F96" s="2943"/>
      <c r="G96" s="294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5070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7"/>
      <c r="F98" s="2167"/>
      <c r="G98" s="2167"/>
      <c r="H98" s="2166"/>
      <c r="I98" s="138"/>
    </row>
    <row r="99" spans="1:35" ht="21.75" customHeight="1" thickBot="1">
      <c r="A99" s="2473" t="s">
        <v>2293</v>
      </c>
      <c r="B99" s="2417"/>
      <c r="C99" s="2417"/>
      <c r="D99" s="2417"/>
      <c r="E99" s="2167"/>
      <c r="F99" s="2167"/>
      <c r="G99" s="2167"/>
      <c r="H99" s="2166"/>
      <c r="I99" s="138"/>
    </row>
    <row r="100" spans="1:35" ht="18.75" customHeight="1">
      <c r="A100" s="3095" t="s">
        <v>2294</v>
      </c>
      <c r="B100" s="3096"/>
      <c r="C100" s="3096"/>
      <c r="D100" s="3131"/>
      <c r="E100" s="3096" t="s">
        <v>2295</v>
      </c>
      <c r="F100" s="3096"/>
      <c r="G100" s="3096"/>
      <c r="H100" s="3131"/>
      <c r="I100" s="138"/>
    </row>
    <row r="101" spans="1:35" ht="18.75" customHeight="1">
      <c r="A101" s="3139" t="s">
        <v>2296</v>
      </c>
      <c r="B101" s="3140"/>
      <c r="C101" s="736" t="str">
        <f>C4</f>
        <v>比较法-商业</v>
      </c>
      <c r="D101" s="737" t="str">
        <f>D4</f>
        <v>收益法 (地下商业)</v>
      </c>
      <c r="E101" s="3111" t="s">
        <v>2297</v>
      </c>
      <c r="F101" s="3112"/>
      <c r="G101" s="2519" t="s">
        <v>2298</v>
      </c>
      <c r="H101" s="1047">
        <f ca="1">H118</f>
        <v>8956</v>
      </c>
      <c r="I101" s="138"/>
    </row>
    <row r="102" spans="1:35" ht="18.75" customHeight="1">
      <c r="A102" s="3141" t="s">
        <v>2299</v>
      </c>
      <c r="B102" s="2519" t="s">
        <v>2298</v>
      </c>
      <c r="C102" s="736">
        <f ca="1">C19</f>
        <v>10523</v>
      </c>
      <c r="D102" s="737">
        <f ca="1">D19</f>
        <v>7388</v>
      </c>
      <c r="E102" s="3111"/>
      <c r="F102" s="3112"/>
      <c r="G102" s="2519" t="s">
        <v>2300</v>
      </c>
      <c r="H102" s="371">
        <f ca="1">I118</f>
        <v>24555</v>
      </c>
      <c r="I102" s="138"/>
    </row>
    <row r="103" spans="1:35" ht="42.75" customHeight="1">
      <c r="A103" s="3141"/>
      <c r="B103" s="2519" t="s">
        <v>2300</v>
      </c>
      <c r="C103" s="738">
        <f ca="1">C20</f>
        <v>34473.699999999997</v>
      </c>
      <c r="D103" s="739">
        <f ca="1">D20</f>
        <v>24204</v>
      </c>
      <c r="E103" s="3105" t="s">
        <v>2301</v>
      </c>
      <c r="F103" s="3106"/>
      <c r="G103" s="2520" t="s">
        <v>2302</v>
      </c>
      <c r="H103" s="1047">
        <f>IF(D36="正常操作",H104+H105+H106,H105+H106)</f>
        <v>0</v>
      </c>
      <c r="I103" s="138"/>
    </row>
    <row r="104" spans="1:35" ht="18.75" customHeight="1">
      <c r="A104" s="3141" t="s">
        <v>2303</v>
      </c>
      <c r="B104" s="2521" t="s">
        <v>2298</v>
      </c>
      <c r="C104" s="740">
        <f ca="1">H118</f>
        <v>8956</v>
      </c>
      <c r="D104" s="741"/>
      <c r="E104" s="2267" t="s">
        <v>2304</v>
      </c>
      <c r="F104" s="2259"/>
      <c r="G104" s="2520" t="s">
        <v>2302</v>
      </c>
      <c r="H104" s="1048">
        <f>IF(D36="同一抵押权人同一抵押物续贷",C36&amp;"（未扣减，详见特别提示）",C36)</f>
        <v>0</v>
      </c>
      <c r="I104" s="138"/>
    </row>
    <row r="105" spans="1:35" ht="18.75" customHeight="1" thickBot="1">
      <c r="A105" s="3153"/>
      <c r="B105" s="2522" t="s">
        <v>2300</v>
      </c>
      <c r="C105" s="742">
        <f ca="1">I118</f>
        <v>24555</v>
      </c>
      <c r="D105" s="743"/>
      <c r="E105" s="2267" t="s">
        <v>2305</v>
      </c>
      <c r="F105" s="2259"/>
      <c r="G105" s="2520" t="s">
        <v>2302</v>
      </c>
      <c r="H105" s="1048">
        <f>C37</f>
        <v>0</v>
      </c>
      <c r="I105" s="138"/>
    </row>
    <row r="106" spans="1:35" ht="18.75" customHeight="1">
      <c r="A106" s="2417" t="s">
        <v>2306</v>
      </c>
      <c r="B106" s="2417"/>
      <c r="C106" s="2417"/>
      <c r="D106" s="2417"/>
      <c r="E106" s="2523" t="s">
        <v>2307</v>
      </c>
      <c r="F106" s="2259"/>
      <c r="G106" s="2520" t="s">
        <v>2302</v>
      </c>
      <c r="H106" s="1048">
        <f>C38</f>
        <v>0</v>
      </c>
      <c r="I106" s="138"/>
    </row>
    <row r="107" spans="1:35" ht="18.75" customHeight="1">
      <c r="A107" s="138"/>
      <c r="B107" s="138"/>
      <c r="C107" s="138"/>
      <c r="D107" s="138"/>
      <c r="E107" s="3142" t="str">
        <f>IF(项目基本情况!E8="已注销","——","3.房地产抵押价值")</f>
        <v>3.房地产抵押价值</v>
      </c>
      <c r="F107" s="3112"/>
      <c r="G107" s="2519" t="s">
        <v>2298</v>
      </c>
      <c r="H107" s="1047">
        <f ca="1">IF(E107="——","——",H101-H103)</f>
        <v>8956</v>
      </c>
      <c r="I107" s="138"/>
    </row>
    <row r="108" spans="1:35" ht="18.75" customHeight="1">
      <c r="A108" s="138"/>
      <c r="B108" s="138"/>
      <c r="C108" s="138"/>
      <c r="D108" s="138"/>
      <c r="E108" s="3142"/>
      <c r="F108" s="3112"/>
      <c r="G108" s="2519" t="s">
        <v>2300</v>
      </c>
      <c r="H108" s="371">
        <f ca="1">ROUND(H107*10000/'数据-汇总表'!E3,0)</f>
        <v>24555</v>
      </c>
      <c r="I108" s="138"/>
    </row>
    <row r="109" spans="1:35" ht="18.75" customHeight="1">
      <c r="A109" s="138"/>
      <c r="B109" s="138"/>
      <c r="C109" s="138"/>
      <c r="D109" s="138"/>
      <c r="E109" s="3142" t="str">
        <f>IF(项目基本情况!E8="已注销及未注销","4.抵押担保权已注销时的房地产抵押价值",IF(项目基本情况!E8="已注销","3.抵押担保权已注销时的房地产抵押价值","——"))</f>
        <v>——</v>
      </c>
      <c r="F109" s="3112"/>
      <c r="G109" s="2519" t="s">
        <v>2298</v>
      </c>
      <c r="H109" s="348" t="str">
        <f>IF(E109="——","——",H101-H105-H106)</f>
        <v>——</v>
      </c>
      <c r="I109" s="138"/>
    </row>
    <row r="110" spans="1:35" ht="18.75" customHeight="1">
      <c r="A110" s="138"/>
      <c r="B110" s="138"/>
      <c r="C110" s="138"/>
      <c r="D110" s="138"/>
      <c r="E110" s="3142"/>
      <c r="F110" s="3112"/>
      <c r="G110" s="2519" t="s">
        <v>2300</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19" t="s">
        <v>2298</v>
      </c>
      <c r="H111" s="1047" t="str">
        <f>IF(E111="——","——",N59)</f>
        <v>——</v>
      </c>
      <c r="I111" s="138"/>
    </row>
    <row r="112" spans="1:35" ht="18.75" customHeight="1" thickBot="1">
      <c r="A112" s="138"/>
      <c r="B112" s="138"/>
      <c r="C112" s="138"/>
      <c r="D112" s="138"/>
      <c r="E112" s="3145"/>
      <c r="F112" s="3146"/>
      <c r="G112" s="2524" t="s">
        <v>2300</v>
      </c>
      <c r="H112" s="790" t="str">
        <f>IF(E111="——","——",N61)</f>
        <v>——</v>
      </c>
      <c r="I112" s="138"/>
    </row>
    <row r="113" spans="1:11" ht="18.75" customHeight="1">
      <c r="A113" s="138"/>
      <c r="B113" s="138"/>
      <c r="C113" s="138"/>
      <c r="D113" s="138"/>
      <c r="E113" s="3154" t="s">
        <v>2306</v>
      </c>
      <c r="F113" s="3154"/>
      <c r="G113" s="3154"/>
      <c r="H113" s="3154"/>
      <c r="I113" s="138"/>
    </row>
    <row r="114" spans="1:11" ht="3.75" customHeight="1">
      <c r="A114" s="2417"/>
      <c r="B114" s="2417"/>
      <c r="C114" s="2417"/>
      <c r="D114" s="2417"/>
      <c r="E114" s="2495"/>
      <c r="F114" s="2495"/>
      <c r="G114" s="2495"/>
      <c r="H114" s="2495"/>
      <c r="I114" s="2417"/>
    </row>
    <row r="115" spans="1:11" ht="18.75" customHeight="1">
      <c r="A115" s="3167" t="s">
        <v>2308</v>
      </c>
      <c r="B115" s="3168"/>
      <c r="C115" s="3168"/>
      <c r="D115" s="3168"/>
      <c r="E115" s="3168"/>
      <c r="F115" s="3168"/>
      <c r="G115" s="3168"/>
      <c r="H115" s="3168"/>
      <c r="I115" s="3169"/>
    </row>
    <row r="116" spans="1:11" ht="27" customHeight="1">
      <c r="A116" s="3074" t="s">
        <v>2309</v>
      </c>
      <c r="B116" s="3121" t="s">
        <v>2310</v>
      </c>
      <c r="C116" s="3121" t="s">
        <v>2311</v>
      </c>
      <c r="D116" s="3127" t="s">
        <v>2312</v>
      </c>
      <c r="E116" s="3128"/>
      <c r="F116" s="3163" t="s">
        <v>2313</v>
      </c>
      <c r="G116" s="3163"/>
      <c r="H116" s="3074" t="s">
        <v>2314</v>
      </c>
      <c r="I116" s="3074"/>
    </row>
    <row r="117" spans="1:11" ht="18.75" customHeight="1">
      <c r="A117" s="3074"/>
      <c r="B117" s="3122"/>
      <c r="C117" s="3122"/>
      <c r="D117" s="2940" t="s">
        <v>2315</v>
      </c>
      <c r="E117" s="2940" t="s">
        <v>2316</v>
      </c>
      <c r="F117" s="2940" t="s">
        <v>2315</v>
      </c>
      <c r="G117" s="2940" t="s">
        <v>2317</v>
      </c>
      <c r="H117" s="2940" t="s">
        <v>2315</v>
      </c>
      <c r="I117" s="2940" t="s">
        <v>2317</v>
      </c>
    </row>
    <row r="118" spans="1:11" ht="24.75" customHeight="1">
      <c r="A118" s="2525" t="str">
        <f>项目基本情况!S2</f>
        <v>北京市朝阳区朝阳路71号房地产</v>
      </c>
      <c r="B118" s="2940">
        <f>M18</f>
        <v>3647.3</v>
      </c>
      <c r="C118" s="2940">
        <f>M19</f>
        <v>1042.42</v>
      </c>
      <c r="D118" s="2940" t="e">
        <f ca="1">ROUND(IF(D32="总价",C34,E118*B118/10000),0)</f>
        <v>#REF!</v>
      </c>
      <c r="E118" s="2940" t="e">
        <f ca="1">ROUND(IF(C33="自定义",IF(D32="楼面单价",C34,D118*10000/B118),I118-G118),0)</f>
        <v>#REF!</v>
      </c>
      <c r="F118" s="2940" t="e">
        <f ca="1">ROUND(IF(D32="总价",C35,G118*B118/10000),0)</f>
        <v>#REF!</v>
      </c>
      <c r="G118" s="2940" t="e">
        <f ca="1">ROUND(IF(D32="楼面单价",C35,F118*10000/B118),0)</f>
        <v>#REF!</v>
      </c>
      <c r="H118" s="2940">
        <f ca="1">ROUND(IF(D32="总价",C32,I118*B118/10000),0)</f>
        <v>8956</v>
      </c>
      <c r="I118" s="2940">
        <f ca="1">ROUND(IF(D32="楼面单价",C32,H118*10000/B118),0)</f>
        <v>24555</v>
      </c>
    </row>
    <row r="119" spans="1:11" ht="18.75" customHeight="1">
      <c r="A119" s="3074" t="s">
        <v>2318</v>
      </c>
      <c r="B119" s="3074"/>
      <c r="C119" s="3074"/>
      <c r="D119" s="3123" t="e">
        <f ca="1">NUMBERSTRING(INT(D118*10000),2)&amp;"元整"</f>
        <v>#REF!</v>
      </c>
      <c r="E119" s="3124"/>
      <c r="F119" s="3123" t="e">
        <f ca="1">NUMBERSTRING(INT(F118*10000),2)&amp;"元整"</f>
        <v>#REF!</v>
      </c>
      <c r="G119" s="3124"/>
      <c r="H119" s="3123" t="str">
        <f ca="1">NUMBERSTRING(INT(H118*10000),2)&amp;"元整"</f>
        <v>捌仟玖佰伍拾陆万元整</v>
      </c>
      <c r="I119" s="3124"/>
    </row>
    <row r="120" spans="1:11" ht="18.75" customHeight="1">
      <c r="A120" s="3118" t="str">
        <f>IF(项目基本情况!B9="房地产市场价值","",MID(E103,3,LEN(E103)-2))</f>
        <v/>
      </c>
      <c r="B120" s="3119"/>
      <c r="C120" s="3120"/>
      <c r="D120" s="3118">
        <f>H103</f>
        <v>0</v>
      </c>
      <c r="E120" s="3119"/>
      <c r="F120" s="3119"/>
      <c r="G120" s="3119"/>
      <c r="H120" s="3119"/>
      <c r="I120" s="3120"/>
      <c r="K120" s="2422" t="str">
        <f>IF(D120=0,"故，本次评估不存在"&amp;A120,"故，本次评估"&amp;A120&amp;"为人民币"&amp;D120&amp;"万元整。")</f>
        <v>故，本次评估不存在</v>
      </c>
    </row>
    <row r="121" spans="1:11" ht="18.75" customHeight="1">
      <c r="A121" s="3164" t="s">
        <v>2318</v>
      </c>
      <c r="B121" s="3165"/>
      <c r="C121" s="3166"/>
      <c r="D121" s="3123" t="str">
        <f>IF(D120=0,"零元整",NUMBERSTRING(INT(D120*10000),2)&amp;"元整")</f>
        <v>零元整</v>
      </c>
      <c r="E121" s="3125"/>
      <c r="F121" s="3125"/>
      <c r="G121" s="3125"/>
      <c r="H121" s="3125"/>
      <c r="I121" s="3124"/>
    </row>
    <row r="122" spans="1:11" ht="18.75" customHeight="1">
      <c r="A122" s="3129" t="str">
        <f>IF(项目基本情况!B9="房地产市场价值","",MID(E107,3,LEN(E107)-2))</f>
        <v/>
      </c>
      <c r="B122" s="3129"/>
      <c r="C122" s="3129"/>
      <c r="D122" s="3118">
        <f ca="1">H107</f>
        <v>8956</v>
      </c>
      <c r="E122" s="3119"/>
      <c r="F122" s="3119"/>
      <c r="G122" s="3119"/>
      <c r="H122" s="3119"/>
      <c r="I122" s="3120"/>
    </row>
    <row r="123" spans="1:11" ht="18.75" customHeight="1">
      <c r="A123" s="3074" t="s">
        <v>2318</v>
      </c>
      <c r="B123" s="3074"/>
      <c r="C123" s="3074"/>
      <c r="D123" s="3123" t="str">
        <f ca="1">NUMBERSTRING(INT(D122*10000),2)&amp;"元整"</f>
        <v>捌仟玖佰伍拾陆万元整</v>
      </c>
      <c r="E123" s="3125"/>
      <c r="F123" s="3125"/>
      <c r="G123" s="3125"/>
      <c r="H123" s="3125"/>
      <c r="I123" s="3124"/>
    </row>
    <row r="124" spans="1:11" ht="18.75" customHeight="1">
      <c r="A124" s="3129" t="str">
        <f>IF(项目基本情况!B9="房地产市场价值","",MID(E109,3,LEN(E109)-2))</f>
        <v/>
      </c>
      <c r="B124" s="3129"/>
      <c r="C124" s="3129"/>
      <c r="D124" s="3118" t="str">
        <f>H109</f>
        <v>——</v>
      </c>
      <c r="E124" s="3119"/>
      <c r="F124" s="3119"/>
      <c r="G124" s="3119"/>
      <c r="H124" s="3119"/>
      <c r="I124" s="3120"/>
    </row>
    <row r="125" spans="1:11" ht="18.75" customHeight="1">
      <c r="A125" s="3074" t="s">
        <v>2318</v>
      </c>
      <c r="B125" s="3074"/>
      <c r="C125" s="3074"/>
      <c r="D125" s="3123" t="e">
        <f>NUMBERSTRING(INT(D124*10000),2)&amp;"元整"</f>
        <v>#VALUE!</v>
      </c>
      <c r="E125" s="3125"/>
      <c r="F125" s="3125"/>
      <c r="G125" s="3125"/>
      <c r="H125" s="3125"/>
      <c r="I125" s="3124"/>
    </row>
    <row r="126" spans="1:11" ht="18.75" customHeight="1">
      <c r="A126" s="3129" t="str">
        <f>IF(项目基本情况!B9="房地产市场价值","",MID(E111,3,LEN(E111)-2))</f>
        <v/>
      </c>
      <c r="B126" s="3129"/>
      <c r="C126" s="3129"/>
      <c r="D126" s="3118" t="str">
        <f>H111</f>
        <v>——</v>
      </c>
      <c r="E126" s="3119"/>
      <c r="F126" s="3119"/>
      <c r="G126" s="3119"/>
      <c r="H126" s="3119"/>
      <c r="I126" s="3120"/>
    </row>
    <row r="127" spans="1:11" ht="18.75" customHeight="1">
      <c r="A127" s="3074" t="s">
        <v>2318</v>
      </c>
      <c r="B127" s="3074"/>
      <c r="C127" s="3074"/>
      <c r="D127" s="3123" t="e">
        <f>NUMBERSTRING(INT(D126*10000),2)&amp;"元整"</f>
        <v>#VALUE!</v>
      </c>
      <c r="E127" s="3125"/>
      <c r="F127" s="3125"/>
      <c r="G127" s="3125"/>
      <c r="H127" s="3125"/>
      <c r="I127" s="3124"/>
    </row>
    <row r="128" spans="1:11" ht="21.75" customHeight="1">
      <c r="A128" s="3126" t="s">
        <v>2319</v>
      </c>
      <c r="B128" s="3126"/>
      <c r="C128" s="3126"/>
      <c r="D128" s="3126"/>
      <c r="E128" s="3126"/>
      <c r="F128" s="3126"/>
      <c r="G128" s="3126"/>
      <c r="H128" s="3126"/>
      <c r="I128" s="3126"/>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38" priority="10" stopIfTrue="1" operator="equal">
      <formula>25</formula>
    </cfRule>
  </conditionalFormatting>
  <conditionalFormatting sqref="C8:C9">
    <cfRule type="cellIs" dxfId="137" priority="9" stopIfTrue="1" operator="equal">
      <formula>15</formula>
    </cfRule>
  </conditionalFormatting>
  <conditionalFormatting sqref="C14:C16">
    <cfRule type="cellIs" dxfId="136" priority="8" stopIfTrue="1" operator="equal">
      <formula>30</formula>
    </cfRule>
  </conditionalFormatting>
  <conditionalFormatting sqref="D5:D7">
    <cfRule type="cellIs" dxfId="135" priority="7" stopIfTrue="1" operator="equal">
      <formula>25</formula>
    </cfRule>
  </conditionalFormatting>
  <conditionalFormatting sqref="D8:D9">
    <cfRule type="cellIs" dxfId="134" priority="6" stopIfTrue="1" operator="equal">
      <formula>15</formula>
    </cfRule>
  </conditionalFormatting>
  <conditionalFormatting sqref="C10:D13">
    <cfRule type="cellIs" dxfId="133" priority="5" stopIfTrue="1" operator="equal">
      <formula>15</formula>
    </cfRule>
  </conditionalFormatting>
  <conditionalFormatting sqref="D14:D16">
    <cfRule type="cellIs" dxfId="132" priority="4" stopIfTrue="1" operator="equal">
      <formula>30</formula>
    </cfRule>
  </conditionalFormatting>
  <conditionalFormatting sqref="C90">
    <cfRule type="expression" dxfId="131" priority="3" stopIfTrue="1">
      <formula>$H$88&lt;&gt;"仅含出让金"</formula>
    </cfRule>
  </conditionalFormatting>
  <conditionalFormatting sqref="C91">
    <cfRule type="expression" dxfId="130" priority="2" stopIfTrue="1">
      <formula>$H$91="由企业提供"</formula>
    </cfRule>
  </conditionalFormatting>
  <conditionalFormatting sqref="E36">
    <cfRule type="expression" dxfId="12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北京国锐房地产开发有限公司：</v>
      </c>
    </row>
    <row r="4" spans="1:1" ht="36">
      <c r="A4" s="1950" t="str">
        <f>"受贵公司委托，我公司对"&amp;项目基本情况!S1&amp;"进行了预评估。"</f>
        <v>受贵公司委托，我公司对北京市朝阳区朝阳路71号房地产市场价值进行了预评估。</v>
      </c>
    </row>
    <row r="5" spans="1:1" ht="18.75">
      <c r="A5" s="1951" t="s">
        <v>1613</v>
      </c>
    </row>
    <row r="6" spans="1:1" ht="18.75">
      <c r="A6" s="1952" t="s">
        <v>1614</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估价对象为北京市朝阳区朝阳路71号房地产，为北京国锐房地产开发有限公司所有。根据《国有土地使用证》[]，估价对象（分摊）出让国有建设用地使用权面积为1042.42平方米，建筑面积为3647.3平方米。</v>
      </c>
    </row>
    <row r="8" spans="1:1" ht="57.75">
      <c r="A8" s="1953" t="s">
        <v>1615</v>
      </c>
    </row>
    <row r="9" spans="1:1" ht="18.75">
      <c r="A9" s="1952" t="s">
        <v>1616</v>
      </c>
    </row>
    <row r="10" spans="1:1" ht="72">
      <c r="A10" s="1950"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路71号房地产,属北京国锐房地产开发有限公司开发建设的，该项目尚在开发建设中。根据《国有土地使用证》[]，估价对象（分摊）出让国有建设用地使用权面积为1042.42平方米，规划建筑面积为3647.3平方米。</v>
      </c>
    </row>
    <row r="11" spans="1:1" ht="76.5">
      <c r="A11" s="1953" t="s">
        <v>1617</v>
      </c>
    </row>
    <row r="12" spans="1:1" ht="18.75">
      <c r="A12" s="1951" t="s">
        <v>1618</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1619</v>
      </c>
    </row>
    <row r="15" spans="1:1" ht="18">
      <c r="A15" s="1956" t="str">
        <f>TEXT(项目基本情况!D3,"yyyy年m月d日;;")&amp;IF(项目基本情况!D3=项目基本情况!B3,"（评估专业人员实地查勘之日）","")</f>
        <v>2017年12月31日</v>
      </c>
    </row>
    <row r="16" spans="1:1" ht="18.75">
      <c r="A16" s="1955" t="s">
        <v>1620</v>
      </c>
    </row>
    <row r="17" spans="1:1" ht="75">
      <c r="A17" s="1950" t="s">
        <v>1621</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31日，估价对象规划用途为办公、地下商业、地下仓储，土地取得方式为出让，出让国有建设用地使用权剩余土地使用年限为地下商业28.6年、办公及地下仓储38.6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商业、地下仓储，实际开发程度为宗地红线外“七通”（即、、、、、、）、红线内场地平整条件下，剩余土地使用年限为地下商业28.6年、办公及地下仓储38.6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1610</v>
      </c>
    </row>
    <row r="24" spans="1:1" ht="18">
      <c r="A24" s="1957" t="str">
        <f>"本次评估采用的主估价方法为"&amp;'结果表-办公'!K4&amp;"和"&amp;'结果表-办公'!L4&amp;"。"</f>
        <v>本次评估采用的主估价方法为比较法和收益法。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2" zoomScale="90" zoomScaleNormal="90" workbookViewId="0">
      <selection activeCell="L50" sqref="L5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3" t="s">
        <v>2643</v>
      </c>
      <c r="C1" s="1636" t="s">
        <v>2531</v>
      </c>
      <c r="D1" s="1623" t="s">
        <v>3124</v>
      </c>
      <c r="E1" s="2658"/>
      <c r="F1" s="2585"/>
      <c r="G1" s="1633" t="s">
        <v>2644</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2328</v>
      </c>
      <c r="B2" s="1420">
        <f>IF(C2="——",ROUND(C49*D3/10000,0),ROUND(C49*D3/10000,0)-D2)</f>
        <v>10523</v>
      </c>
      <c r="C2" s="2587" t="s">
        <v>70</v>
      </c>
      <c r="D2" s="1367" t="e">
        <f ca="1">SUMIF(INDIRECT("'"&amp;F2&amp;"'"&amp;"!A:A"),"承租人权益价值",INDIRECT("'"&amp;F2&amp;"'"&amp;"!c:c"))</f>
        <v>#REF!</v>
      </c>
      <c r="E2" s="2588" t="s">
        <v>2329</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8" customFormat="1" ht="28.5" customHeight="1" thickBot="1">
      <c r="A3" s="247" t="s">
        <v>2330</v>
      </c>
      <c r="B3" s="609">
        <f>IF(C2="——",C49,ROUND(B2*10000/D3,0))</f>
        <v>34473.699999999997</v>
      </c>
      <c r="C3" s="400" t="s">
        <v>2645</v>
      </c>
      <c r="D3" s="399">
        <f>IF(D1="",'数据-汇总表'!E3,SUMIF('数据-汇总表'!$C19:$C33,D1,'数据-汇总表'!$E19:$E33))</f>
        <v>3052.4</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1" t="s">
        <v>2646</v>
      </c>
      <c r="B4" s="402"/>
      <c r="C4" s="3224" t="s">
        <v>2647</v>
      </c>
      <c r="D4" s="3225"/>
      <c r="E4" s="3226" t="s">
        <v>2648</v>
      </c>
      <c r="F4" s="3227"/>
      <c r="G4" s="3224" t="s">
        <v>2649</v>
      </c>
      <c r="H4" s="3225"/>
      <c r="I4" s="3224" t="s">
        <v>2650</v>
      </c>
      <c r="J4" s="3225"/>
      <c r="K4" s="610" t="s">
        <v>2651</v>
      </c>
      <c r="L4" s="1132"/>
      <c r="M4" s="1133"/>
      <c r="N4" s="1133"/>
      <c r="O4" s="1133"/>
      <c r="P4" s="3286" t="s">
        <v>2652</v>
      </c>
      <c r="Q4" s="3287"/>
      <c r="R4" s="3282" t="s">
        <v>2648</v>
      </c>
      <c r="S4" s="3283"/>
      <c r="T4" s="3282" t="s">
        <v>2649</v>
      </c>
      <c r="U4" s="3283"/>
      <c r="V4" s="3237" t="s">
        <v>2650</v>
      </c>
      <c r="W4" s="3237"/>
      <c r="X4" s="1815"/>
      <c r="Y4" s="3282" t="s">
        <v>2652</v>
      </c>
      <c r="Z4" s="3283"/>
      <c r="AA4" s="3281" t="s">
        <v>2648</v>
      </c>
      <c r="AB4" s="3237" t="s">
        <v>2649</v>
      </c>
      <c r="AC4" s="3281" t="s">
        <v>2650</v>
      </c>
    </row>
    <row r="5" spans="1:29" ht="15">
      <c r="A5" s="404"/>
      <c r="B5" s="405"/>
      <c r="C5" s="3213" t="s">
        <v>3129</v>
      </c>
      <c r="D5" s="3214"/>
      <c r="E5" s="3211" t="s">
        <v>3188</v>
      </c>
      <c r="F5" s="3212"/>
      <c r="G5" s="3213" t="s">
        <v>3210</v>
      </c>
      <c r="H5" s="3214"/>
      <c r="I5" s="3213" t="s">
        <v>3212</v>
      </c>
      <c r="J5" s="3214"/>
      <c r="K5" s="610"/>
      <c r="L5" s="1132"/>
      <c r="M5" s="1133"/>
      <c r="N5" s="1133"/>
      <c r="O5" s="1133"/>
      <c r="P5" s="3288"/>
      <c r="Q5" s="3231"/>
      <c r="R5" s="3209"/>
      <c r="S5" s="3210"/>
      <c r="T5" s="3209"/>
      <c r="U5" s="3210"/>
      <c r="V5" s="3237"/>
      <c r="W5" s="3237"/>
      <c r="X5" s="1815"/>
      <c r="Y5" s="3209"/>
      <c r="Z5" s="3210"/>
      <c r="AA5" s="3203"/>
      <c r="AB5" s="3237"/>
      <c r="AC5" s="3203"/>
    </row>
    <row r="6" spans="1:29" ht="15.75" thickBot="1">
      <c r="A6" s="406"/>
      <c r="B6" s="407"/>
      <c r="C6" s="3215" t="s">
        <v>3130</v>
      </c>
      <c r="D6" s="3216"/>
      <c r="E6" s="3218" t="s">
        <v>3189</v>
      </c>
      <c r="F6" s="3219"/>
      <c r="G6" s="3215" t="s">
        <v>3211</v>
      </c>
      <c r="H6" s="3216"/>
      <c r="I6" s="3238" t="s">
        <v>2547</v>
      </c>
      <c r="J6" s="3216"/>
      <c r="K6" s="610" t="s">
        <v>2548</v>
      </c>
      <c r="L6" s="1132"/>
      <c r="M6" s="1133"/>
      <c r="N6" s="1133"/>
      <c r="O6" s="1133"/>
      <c r="P6" s="3289"/>
      <c r="Q6" s="3233"/>
      <c r="R6" s="3209"/>
      <c r="S6" s="3210"/>
      <c r="T6" s="3234"/>
      <c r="U6" s="3235"/>
      <c r="V6" s="3237"/>
      <c r="W6" s="3237"/>
      <c r="X6" s="1815"/>
      <c r="Y6" s="3234"/>
      <c r="Z6" s="3235"/>
      <c r="AA6" s="3204"/>
      <c r="AB6" s="3237"/>
      <c r="AC6" s="3204"/>
    </row>
    <row r="7" spans="1:29" s="117" customFormat="1" ht="15.75" thickBot="1">
      <c r="A7" s="408" t="s">
        <v>2549</v>
      </c>
      <c r="B7" s="409"/>
      <c r="C7" s="410">
        <f>'数据-取费表'!B2</f>
        <v>43100</v>
      </c>
      <c r="D7" s="411">
        <v>100</v>
      </c>
      <c r="E7" s="412">
        <v>43070</v>
      </c>
      <c r="F7" s="413">
        <f>SUMIF(58:58,YEAR(E7)&amp;"-"&amp;MONTH(E7),59:59)</f>
        <v>100</v>
      </c>
      <c r="G7" s="412">
        <v>43070</v>
      </c>
      <c r="H7" s="411">
        <f>SUMIF(58:58,YEAR(G7)&amp;"-"&amp;MONTH(G7),59:59)</f>
        <v>100</v>
      </c>
      <c r="I7" s="412">
        <v>43070</v>
      </c>
      <c r="J7" s="411">
        <f>SUMIF(58:58,YEAR(I7)&amp;"-"&amp;MONTH(I7),59:59)</f>
        <v>100</v>
      </c>
      <c r="K7" s="611"/>
      <c r="L7" s="1134"/>
      <c r="M7" s="1135"/>
      <c r="N7" s="1135"/>
      <c r="O7" s="1135"/>
      <c r="P7" s="3205" t="s">
        <v>2550</v>
      </c>
      <c r="Q7" s="3240"/>
      <c r="R7" s="770" t="s">
        <v>17</v>
      </c>
      <c r="S7" s="771">
        <f t="shared" ref="S7:S15" si="0">F7</f>
        <v>100</v>
      </c>
      <c r="T7" s="770" t="s">
        <v>17</v>
      </c>
      <c r="U7" s="771">
        <f t="shared" ref="U7:U15" si="1">H7</f>
        <v>100</v>
      </c>
      <c r="V7" s="770" t="s">
        <v>17</v>
      </c>
      <c r="W7" s="771">
        <f t="shared" ref="W7:W15" si="2">J7</f>
        <v>100</v>
      </c>
      <c r="X7" s="772"/>
      <c r="Y7" s="3205" t="s">
        <v>2550</v>
      </c>
      <c r="Z7" s="3206"/>
      <c r="AA7" s="773">
        <f>D7/F7</f>
        <v>1</v>
      </c>
      <c r="AB7" s="773">
        <f>D7/H7</f>
        <v>1</v>
      </c>
      <c r="AC7" s="773">
        <f>D7/J7</f>
        <v>1</v>
      </c>
    </row>
    <row r="8" spans="1:29" s="117" customFormat="1" ht="15.75" thickBot="1">
      <c r="A8" s="408" t="s">
        <v>2551</v>
      </c>
      <c r="B8" s="409"/>
      <c r="C8" s="414" t="s">
        <v>2653</v>
      </c>
      <c r="D8" s="411">
        <v>100</v>
      </c>
      <c r="E8" s="414" t="s">
        <v>2588</v>
      </c>
      <c r="F8" s="413">
        <f>SUMIF(61:61,E8,62:62)-SUMIF(61:61,C8,62:62)+100</f>
        <v>100</v>
      </c>
      <c r="G8" s="414" t="s">
        <v>2588</v>
      </c>
      <c r="H8" s="411">
        <f>SUMIF(61:61,G8,62:62)-SUMIF(61:61,C8,62:62)+100</f>
        <v>100</v>
      </c>
      <c r="I8" s="414" t="s">
        <v>2588</v>
      </c>
      <c r="J8" s="411">
        <f>SUMIF(61:61,I8,62:62)-SUMIF(61:61,C8,62:62)+100</f>
        <v>100</v>
      </c>
      <c r="K8" s="611"/>
      <c r="L8" s="1134"/>
      <c r="M8" s="1135"/>
      <c r="N8" s="1135"/>
      <c r="O8" s="1135"/>
      <c r="P8" s="3205" t="s">
        <v>2553</v>
      </c>
      <c r="Q8" s="3206"/>
      <c r="R8" s="770" t="s">
        <v>17</v>
      </c>
      <c r="S8" s="771">
        <f t="shared" si="0"/>
        <v>100</v>
      </c>
      <c r="T8" s="770" t="s">
        <v>17</v>
      </c>
      <c r="U8" s="771">
        <f t="shared" si="1"/>
        <v>100</v>
      </c>
      <c r="V8" s="770" t="s">
        <v>17</v>
      </c>
      <c r="W8" s="771">
        <f t="shared" si="2"/>
        <v>100</v>
      </c>
      <c r="X8" s="772"/>
      <c r="Y8" s="3205" t="s">
        <v>2553</v>
      </c>
      <c r="Z8" s="3206"/>
      <c r="AA8" s="773">
        <f t="shared" ref="AA8:AA46" si="3">D8/F8</f>
        <v>1</v>
      </c>
      <c r="AB8" s="773">
        <f t="shared" ref="AB8:AB46" si="4">D8/H8</f>
        <v>1</v>
      </c>
      <c r="AC8" s="773">
        <f t="shared" ref="AC8:AC46" si="5">D8/J8</f>
        <v>1</v>
      </c>
    </row>
    <row r="9" spans="1:29" s="117" customFormat="1">
      <c r="A9" s="415" t="s">
        <v>2554</v>
      </c>
      <c r="B9" s="71" t="s">
        <v>2555</v>
      </c>
      <c r="C9" s="2987" t="s">
        <v>3190</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220" t="s">
        <v>2556</v>
      </c>
      <c r="Q9" s="1797" t="str">
        <f t="shared" ref="Q9:Q15" si="6">B9</f>
        <v>用途</v>
      </c>
      <c r="R9" s="770" t="s">
        <v>17</v>
      </c>
      <c r="S9" s="771">
        <f t="shared" si="0"/>
        <v>100</v>
      </c>
      <c r="T9" s="770" t="s">
        <v>17</v>
      </c>
      <c r="U9" s="771">
        <f t="shared" si="1"/>
        <v>100</v>
      </c>
      <c r="V9" s="770" t="s">
        <v>17</v>
      </c>
      <c r="W9" s="771">
        <f t="shared" si="2"/>
        <v>100</v>
      </c>
      <c r="X9" s="772"/>
      <c r="Y9" s="3074" t="s">
        <v>2557</v>
      </c>
      <c r="Z9" s="55" t="str">
        <f t="shared" ref="Z9:Z15" si="7">Q9</f>
        <v>用途</v>
      </c>
      <c r="AA9" s="773">
        <f t="shared" si="3"/>
        <v>1</v>
      </c>
      <c r="AB9" s="773">
        <f t="shared" si="4"/>
        <v>1</v>
      </c>
      <c r="AC9" s="773">
        <f t="shared" si="5"/>
        <v>1</v>
      </c>
    </row>
    <row r="10" spans="1:29" s="427" customFormat="1" ht="27">
      <c r="A10" s="421"/>
      <c r="B10" s="422" t="s">
        <v>2558</v>
      </c>
      <c r="C10" s="423" t="s">
        <v>3132</v>
      </c>
      <c r="D10" s="136">
        <v>100</v>
      </c>
      <c r="E10" s="423" t="s">
        <v>3132</v>
      </c>
      <c r="F10" s="425">
        <f>SUMIF(65:65,E10,66:66)-SUMIF(65:65,C10,66:66)+100</f>
        <v>100</v>
      </c>
      <c r="G10" s="423" t="s">
        <v>3132</v>
      </c>
      <c r="H10" s="136">
        <f>SUMIF(65:65,G10,66:66)-SUMIF(65:65,C10,66:66)+100</f>
        <v>100</v>
      </c>
      <c r="I10" s="423" t="s">
        <v>3132</v>
      </c>
      <c r="J10" s="136">
        <f>SUMIF(65:65,I10,66:66)-SUMIF(65:65,C10,66:66)+100</f>
        <v>100</v>
      </c>
      <c r="K10" s="612"/>
      <c r="L10" s="1137"/>
      <c r="M10" s="1138"/>
      <c r="N10" s="1138"/>
      <c r="O10" s="1138"/>
      <c r="P10" s="3220"/>
      <c r="Q10" s="1797"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75" thickBot="1">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220"/>
      <c r="Q11" s="1797" t="str">
        <f t="shared" si="6"/>
        <v>容积率</v>
      </c>
      <c r="R11" s="770" t="s">
        <v>17</v>
      </c>
      <c r="S11" s="771">
        <f t="shared" si="0"/>
        <v>100</v>
      </c>
      <c r="T11" s="770" t="s">
        <v>17</v>
      </c>
      <c r="U11" s="771">
        <f t="shared" si="1"/>
        <v>100</v>
      </c>
      <c r="V11" s="770" t="s">
        <v>17</v>
      </c>
      <c r="W11" s="771">
        <f t="shared" si="2"/>
        <v>100</v>
      </c>
      <c r="X11" s="772"/>
      <c r="Y11" s="3074"/>
      <c r="Z11" s="55" t="str">
        <f t="shared" si="7"/>
        <v>容积率</v>
      </c>
      <c r="AA11" s="773">
        <f t="shared" si="3"/>
        <v>1</v>
      </c>
      <c r="AB11" s="773">
        <f t="shared" si="4"/>
        <v>1</v>
      </c>
      <c r="AC11" s="773">
        <f t="shared" si="5"/>
        <v>1</v>
      </c>
    </row>
    <row r="12" spans="1:29" s="117" customFormat="1" ht="15" hidden="1">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20"/>
      <c r="Q12" s="1797">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773">
        <f>D12/J12</f>
        <v>1</v>
      </c>
    </row>
    <row r="13" spans="1:29" ht="15" hidden="1">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20"/>
      <c r="Q13" s="1797">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773">
        <f t="shared" si="5"/>
        <v>1</v>
      </c>
    </row>
    <row r="14" spans="1:29" ht="15.75" hidden="1"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20"/>
      <c r="Q14" s="1797">
        <f t="shared" si="6"/>
        <v>111</v>
      </c>
      <c r="R14" s="770" t="s">
        <v>17</v>
      </c>
      <c r="S14" s="771">
        <f t="shared" si="0"/>
        <v>100</v>
      </c>
      <c r="T14" s="770" t="s">
        <v>17</v>
      </c>
      <c r="U14" s="771">
        <f t="shared" si="1"/>
        <v>100</v>
      </c>
      <c r="V14" s="770" t="s">
        <v>17</v>
      </c>
      <c r="W14" s="771">
        <f t="shared" si="2"/>
        <v>100</v>
      </c>
      <c r="X14" s="772"/>
      <c r="Y14" s="3074"/>
      <c r="Z14" s="55">
        <f t="shared" si="7"/>
        <v>111</v>
      </c>
      <c r="AA14" s="773">
        <f t="shared" si="3"/>
        <v>1</v>
      </c>
      <c r="AB14" s="773">
        <f t="shared" si="4"/>
        <v>1</v>
      </c>
      <c r="AC14" s="773">
        <f t="shared" si="5"/>
        <v>1</v>
      </c>
    </row>
    <row r="15" spans="1:29" ht="92.25" customHeight="1">
      <c r="A15" s="440" t="s">
        <v>2560</v>
      </c>
      <c r="B15" s="69" t="s">
        <v>2654</v>
      </c>
      <c r="C15" s="2604" t="str">
        <f>估价对象房地状况!C4</f>
        <v>估价对象位于朝青商圈，周边商业氛围一般，有红星美凯龙等购物场所，人流量一般，商业繁华度一般。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41" t="s">
        <v>2561</v>
      </c>
      <c r="Q15" s="1812" t="str">
        <f t="shared" si="6"/>
        <v>商业繁华度</v>
      </c>
      <c r="R15" s="774" t="s">
        <v>17</v>
      </c>
      <c r="S15" s="775">
        <f t="shared" si="0"/>
        <v>100</v>
      </c>
      <c r="T15" s="774" t="s">
        <v>17</v>
      </c>
      <c r="U15" s="775">
        <f t="shared" si="1"/>
        <v>100</v>
      </c>
      <c r="V15" s="774" t="s">
        <v>17</v>
      </c>
      <c r="W15" s="775">
        <f t="shared" si="2"/>
        <v>100</v>
      </c>
      <c r="X15" s="1815"/>
      <c r="Y15" s="3243" t="s">
        <v>2561</v>
      </c>
      <c r="Z15" s="1816" t="str">
        <f t="shared" si="7"/>
        <v>商业繁华度</v>
      </c>
      <c r="AA15" s="1813">
        <f t="shared" si="3"/>
        <v>1</v>
      </c>
      <c r="AB15" s="1813">
        <f t="shared" si="4"/>
        <v>1</v>
      </c>
      <c r="AC15" s="1813">
        <f t="shared" si="5"/>
        <v>1</v>
      </c>
    </row>
    <row r="16" spans="1:29" ht="15">
      <c r="A16" s="428"/>
      <c r="B16" s="446"/>
      <c r="C16" s="447" t="s">
        <v>3202</v>
      </c>
      <c r="D16" s="448"/>
      <c r="E16" s="447" t="s">
        <v>3202</v>
      </c>
      <c r="F16" s="449"/>
      <c r="G16" s="447" t="s">
        <v>3202</v>
      </c>
      <c r="H16" s="450"/>
      <c r="I16" s="447" t="s">
        <v>3202</v>
      </c>
      <c r="J16" s="448"/>
      <c r="K16" s="615"/>
      <c r="L16" s="1142"/>
      <c r="M16" s="1133"/>
      <c r="N16" s="1133"/>
      <c r="O16" s="1133"/>
      <c r="P16" s="3242"/>
      <c r="Q16" s="1812"/>
      <c r="R16" s="774"/>
      <c r="S16" s="775"/>
      <c r="T16" s="774"/>
      <c r="U16" s="775"/>
      <c r="V16" s="774"/>
      <c r="W16" s="775"/>
      <c r="X16" s="1815"/>
      <c r="Y16" s="3244"/>
      <c r="Z16" s="1816"/>
      <c r="AA16" s="1813">
        <v>1</v>
      </c>
      <c r="AB16" s="1813">
        <v>1</v>
      </c>
      <c r="AC16" s="1813">
        <v>1</v>
      </c>
    </row>
    <row r="17" spans="1:29" ht="142.5">
      <c r="A17" s="428"/>
      <c r="B17" s="451" t="s">
        <v>2098</v>
      </c>
      <c r="C17" s="2608" t="str">
        <f>估价对象房地状况!C6</f>
        <v>估价对象周边道路较为密集，公共交通通达情况较好，1公里内有350路、411路及地铁1号线等公共交通，停车便捷程度较好，综合评价交通便捷度较好。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42"/>
      <c r="Q17" s="1812" t="str">
        <f>B17</f>
        <v>交通便捷度</v>
      </c>
      <c r="R17" s="774" t="s">
        <v>17</v>
      </c>
      <c r="S17" s="775">
        <f>F17</f>
        <v>100</v>
      </c>
      <c r="T17" s="774" t="s">
        <v>17</v>
      </c>
      <c r="U17" s="775">
        <f>H17</f>
        <v>100</v>
      </c>
      <c r="V17" s="774" t="s">
        <v>17</v>
      </c>
      <c r="W17" s="775">
        <f>J17</f>
        <v>100</v>
      </c>
      <c r="X17" s="1815"/>
      <c r="Y17" s="3244"/>
      <c r="Z17" s="1816" t="str">
        <f>Q17</f>
        <v>交通便捷度</v>
      </c>
      <c r="AA17" s="1813">
        <f t="shared" si="3"/>
        <v>1</v>
      </c>
      <c r="AB17" s="1813">
        <f t="shared" si="4"/>
        <v>1</v>
      </c>
      <c r="AC17" s="1813">
        <f t="shared" si="5"/>
        <v>1</v>
      </c>
    </row>
    <row r="18" spans="1:29" ht="15">
      <c r="A18" s="428"/>
      <c r="B18" s="456"/>
      <c r="C18" s="2609" t="s">
        <v>3140</v>
      </c>
      <c r="D18" s="450"/>
      <c r="E18" s="2609" t="s">
        <v>3140</v>
      </c>
      <c r="F18" s="453"/>
      <c r="G18" s="2609" t="s">
        <v>3140</v>
      </c>
      <c r="H18" s="448"/>
      <c r="I18" s="2609" t="s">
        <v>3140</v>
      </c>
      <c r="J18" s="448"/>
      <c r="K18" s="615"/>
      <c r="L18" s="1142"/>
      <c r="M18" s="1133"/>
      <c r="N18" s="1133"/>
      <c r="O18" s="1133"/>
      <c r="P18" s="3242"/>
      <c r="Q18" s="1812"/>
      <c r="R18" s="774"/>
      <c r="S18" s="775"/>
      <c r="T18" s="774"/>
      <c r="U18" s="775"/>
      <c r="V18" s="774"/>
      <c r="W18" s="775"/>
      <c r="X18" s="1815"/>
      <c r="Y18" s="3244"/>
      <c r="Z18" s="1816"/>
      <c r="AA18" s="1813">
        <v>1</v>
      </c>
      <c r="AB18" s="1813">
        <v>1</v>
      </c>
      <c r="AC18" s="1813">
        <v>1</v>
      </c>
    </row>
    <row r="19" spans="1:29" ht="185.25">
      <c r="A19" s="428"/>
      <c r="B19" s="451" t="s">
        <v>2655</v>
      </c>
      <c r="C19" s="2608" t="str">
        <f>估价对象房地状况!C7</f>
        <v>估价对象所在区域1公里范围内，有银行（中国工商银行、中国银行），购物（卜蜂莲花、物美超市），医院（民航总医院），学校（朝阳区兴隆小学、星河实验学校）等，公共配套设施齐备情况较好。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42"/>
      <c r="Q19" s="1812" t="str">
        <f>B19</f>
        <v>公共配套设施</v>
      </c>
      <c r="R19" s="774" t="s">
        <v>17</v>
      </c>
      <c r="S19" s="775">
        <f>F19</f>
        <v>100</v>
      </c>
      <c r="T19" s="774" t="s">
        <v>17</v>
      </c>
      <c r="U19" s="775">
        <f>H19</f>
        <v>100</v>
      </c>
      <c r="V19" s="774" t="s">
        <v>17</v>
      </c>
      <c r="W19" s="775">
        <f>J19</f>
        <v>100</v>
      </c>
      <c r="X19" s="1815"/>
      <c r="Y19" s="3244"/>
      <c r="Z19" s="1816" t="str">
        <f>Q19</f>
        <v>公共配套设施</v>
      </c>
      <c r="AA19" s="1813">
        <f t="shared" si="3"/>
        <v>1</v>
      </c>
      <c r="AB19" s="1813">
        <f t="shared" si="4"/>
        <v>1</v>
      </c>
      <c r="AC19" s="1813">
        <f t="shared" si="5"/>
        <v>1</v>
      </c>
    </row>
    <row r="20" spans="1:29" ht="15">
      <c r="A20" s="428"/>
      <c r="B20" s="456"/>
      <c r="C20" s="447" t="s">
        <v>3140</v>
      </c>
      <c r="D20" s="448"/>
      <c r="E20" s="447" t="s">
        <v>3140</v>
      </c>
      <c r="F20" s="449"/>
      <c r="G20" s="447" t="s">
        <v>3140</v>
      </c>
      <c r="H20" s="448"/>
      <c r="I20" s="447" t="s">
        <v>3140</v>
      </c>
      <c r="J20" s="448"/>
      <c r="K20" s="615"/>
      <c r="L20" s="1142"/>
      <c r="M20" s="1133"/>
      <c r="N20" s="1133"/>
      <c r="O20" s="1133"/>
      <c r="P20" s="3242"/>
      <c r="Q20" s="1812"/>
      <c r="R20" s="774"/>
      <c r="S20" s="775"/>
      <c r="T20" s="774"/>
      <c r="U20" s="775"/>
      <c r="V20" s="774"/>
      <c r="W20" s="775"/>
      <c r="X20" s="1815"/>
      <c r="Y20" s="3244"/>
      <c r="Z20" s="1816"/>
      <c r="AA20" s="1813">
        <v>1</v>
      </c>
      <c r="AB20" s="1813">
        <v>1</v>
      </c>
      <c r="AC20" s="1813">
        <v>1</v>
      </c>
    </row>
    <row r="21" spans="1:29" ht="42.75">
      <c r="A21" s="428"/>
      <c r="B21" s="1386" t="s">
        <v>2656</v>
      </c>
      <c r="C21" s="2608"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42"/>
      <c r="Q21" s="1812" t="str">
        <f>B21</f>
        <v>基础设施水平</v>
      </c>
      <c r="R21" s="774" t="s">
        <v>17</v>
      </c>
      <c r="S21" s="775">
        <f>F21</f>
        <v>100</v>
      </c>
      <c r="T21" s="774" t="s">
        <v>17</v>
      </c>
      <c r="U21" s="775">
        <f>H21</f>
        <v>100</v>
      </c>
      <c r="V21" s="774" t="s">
        <v>17</v>
      </c>
      <c r="W21" s="775">
        <f>J21</f>
        <v>100</v>
      </c>
      <c r="X21" s="1815"/>
      <c r="Y21" s="3244"/>
      <c r="Z21" s="1816" t="str">
        <f>Q21</f>
        <v>基础设施水平</v>
      </c>
      <c r="AA21" s="1813">
        <f t="shared" ref="AA21" si="8">D21/F21</f>
        <v>1</v>
      </c>
      <c r="AB21" s="1813">
        <f t="shared" ref="AB21" si="9">D21/H21</f>
        <v>1</v>
      </c>
      <c r="AC21" s="1813">
        <f t="shared" ref="AC21" si="10">D21/J21</f>
        <v>1</v>
      </c>
    </row>
    <row r="22" spans="1:29" ht="15">
      <c r="A22" s="428"/>
      <c r="B22" s="1386"/>
      <c r="C22" s="2609" t="s">
        <v>3141</v>
      </c>
      <c r="D22" s="448"/>
      <c r="E22" s="2609" t="s">
        <v>3141</v>
      </c>
      <c r="F22" s="449"/>
      <c r="G22" s="2609" t="s">
        <v>3141</v>
      </c>
      <c r="H22" s="448"/>
      <c r="I22" s="2609" t="s">
        <v>3141</v>
      </c>
      <c r="J22" s="448"/>
      <c r="K22" s="1385"/>
      <c r="L22" s="1142"/>
      <c r="M22" s="1133"/>
      <c r="N22" s="1133"/>
      <c r="O22" s="1133"/>
      <c r="P22" s="3242"/>
      <c r="Q22" s="1812"/>
      <c r="R22" s="774"/>
      <c r="S22" s="775"/>
      <c r="T22" s="774"/>
      <c r="U22" s="775"/>
      <c r="V22" s="774"/>
      <c r="W22" s="775"/>
      <c r="X22" s="1815"/>
      <c r="Y22" s="3244"/>
      <c r="Z22" s="1816"/>
      <c r="AA22" s="1813">
        <v>1</v>
      </c>
      <c r="AB22" s="1813">
        <v>1</v>
      </c>
      <c r="AC22" s="1813">
        <v>1</v>
      </c>
    </row>
    <row r="23" spans="1:29" ht="71.25">
      <c r="A23" s="428"/>
      <c r="B23" s="451" t="s">
        <v>2103</v>
      </c>
      <c r="C23" s="2665" t="str">
        <f>估价对象房地状况!C9</f>
        <v>区域自然环境：兴隆公园；人文环境：中国传媒大学；综合评价环境状况较好。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42"/>
      <c r="Q23" s="1812" t="str">
        <f>B23</f>
        <v>自然及人文环境</v>
      </c>
      <c r="R23" s="774" t="s">
        <v>17</v>
      </c>
      <c r="S23" s="775">
        <f>F23</f>
        <v>100</v>
      </c>
      <c r="T23" s="774" t="s">
        <v>17</v>
      </c>
      <c r="U23" s="775">
        <f>H23</f>
        <v>100</v>
      </c>
      <c r="V23" s="774" t="s">
        <v>17</v>
      </c>
      <c r="W23" s="775">
        <f>J23</f>
        <v>100</v>
      </c>
      <c r="X23" s="1815"/>
      <c r="Y23" s="3244"/>
      <c r="Z23" s="1816" t="str">
        <f>Q23</f>
        <v>自然及人文环境</v>
      </c>
      <c r="AA23" s="1813">
        <f t="shared" si="3"/>
        <v>1</v>
      </c>
      <c r="AB23" s="1813">
        <f t="shared" si="4"/>
        <v>1</v>
      </c>
      <c r="AC23" s="1813">
        <f t="shared" si="5"/>
        <v>1</v>
      </c>
    </row>
    <row r="24" spans="1:29" ht="15">
      <c r="A24" s="428"/>
      <c r="B24" s="456"/>
      <c r="C24" s="447" t="s">
        <v>3140</v>
      </c>
      <c r="D24" s="448"/>
      <c r="E24" s="447" t="s">
        <v>3140</v>
      </c>
      <c r="F24" s="449"/>
      <c r="G24" s="447" t="s">
        <v>3140</v>
      </c>
      <c r="H24" s="448"/>
      <c r="I24" s="447" t="s">
        <v>3140</v>
      </c>
      <c r="J24" s="448"/>
      <c r="K24" s="615"/>
      <c r="L24" s="1142"/>
      <c r="M24" s="1133"/>
      <c r="N24" s="1133"/>
      <c r="O24" s="1133"/>
      <c r="P24" s="3242"/>
      <c r="Q24" s="1812"/>
      <c r="R24" s="774"/>
      <c r="S24" s="775"/>
      <c r="T24" s="774"/>
      <c r="U24" s="775"/>
      <c r="V24" s="774"/>
      <c r="W24" s="775"/>
      <c r="X24" s="1815"/>
      <c r="Y24" s="3244"/>
      <c r="Z24" s="1816"/>
      <c r="AA24" s="1813">
        <v>1</v>
      </c>
      <c r="AB24" s="1813">
        <v>1</v>
      </c>
      <c r="AC24" s="1813">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42"/>
      <c r="Q25" s="1812" t="str">
        <f t="shared" ref="Q25:Q46" si="11">B25</f>
        <v>临街状况</v>
      </c>
      <c r="R25" s="774" t="s">
        <v>17</v>
      </c>
      <c r="S25" s="775">
        <f>F25</f>
        <v>100</v>
      </c>
      <c r="T25" s="774" t="s">
        <v>17</v>
      </c>
      <c r="U25" s="775">
        <f>H25</f>
        <v>100</v>
      </c>
      <c r="V25" s="774" t="s">
        <v>17</v>
      </c>
      <c r="W25" s="775">
        <f>J25</f>
        <v>100</v>
      </c>
      <c r="X25" s="1815"/>
      <c r="Y25" s="3244"/>
      <c r="Z25" s="1816" t="str">
        <f>Q25</f>
        <v>临街状况</v>
      </c>
      <c r="AA25" s="1813">
        <f t="shared" si="3"/>
        <v>1</v>
      </c>
      <c r="AB25" s="1813">
        <f t="shared" si="4"/>
        <v>1</v>
      </c>
      <c r="AC25" s="1813">
        <f t="shared" si="5"/>
        <v>1</v>
      </c>
    </row>
    <row r="26" spans="1:29" ht="15">
      <c r="A26" s="428"/>
      <c r="B26" s="1388" t="s">
        <v>2658</v>
      </c>
      <c r="C26" s="2998" t="s">
        <v>3207</v>
      </c>
      <c r="D26" s="435">
        <v>100</v>
      </c>
      <c r="E26" s="2998" t="s">
        <v>3208</v>
      </c>
      <c r="F26" s="461">
        <f>SUMIF(88:88,E26,89:89)-SUMIF(88:88,C26,89:89)+100</f>
        <v>103</v>
      </c>
      <c r="G26" s="2998" t="s">
        <v>3207</v>
      </c>
      <c r="H26" s="435">
        <f>SUMIF(88:88,G26,89:89)-SUMIF(88:88,C26,89:89)+100</f>
        <v>100</v>
      </c>
      <c r="I26" s="2998" t="s">
        <v>3207</v>
      </c>
      <c r="J26" s="435">
        <f>SUMIF(88:88,I26,89:89)-SUMIF(88:88,C26,89:89)+100</f>
        <v>100</v>
      </c>
      <c r="K26" s="613"/>
      <c r="L26" s="1142"/>
      <c r="M26" s="1133"/>
      <c r="N26" s="1133"/>
      <c r="O26" s="1133"/>
      <c r="P26" s="3242"/>
      <c r="Q26" s="1812" t="str">
        <f t="shared" si="11"/>
        <v>平面位置/可视性</v>
      </c>
      <c r="R26" s="774" t="s">
        <v>17</v>
      </c>
      <c r="S26" s="775">
        <f>F26</f>
        <v>103</v>
      </c>
      <c r="T26" s="774" t="s">
        <v>17</v>
      </c>
      <c r="U26" s="775">
        <f>H26</f>
        <v>100</v>
      </c>
      <c r="V26" s="774" t="s">
        <v>17</v>
      </c>
      <c r="W26" s="775">
        <f>J26</f>
        <v>100</v>
      </c>
      <c r="X26" s="1815"/>
      <c r="Y26" s="3244"/>
      <c r="Z26" s="1816" t="str">
        <f>Q26</f>
        <v>平面位置/可视性</v>
      </c>
      <c r="AA26" s="1813">
        <f t="shared" si="3"/>
        <v>0.970873786407767</v>
      </c>
      <c r="AB26" s="1813">
        <f t="shared" si="4"/>
        <v>1</v>
      </c>
      <c r="AC26" s="1813">
        <f t="shared" si="5"/>
        <v>1</v>
      </c>
    </row>
    <row r="27" spans="1:29" s="117" customFormat="1" ht="15">
      <c r="A27" s="431"/>
      <c r="B27" s="451" t="s">
        <v>2659</v>
      </c>
      <c r="C27" s="2666"/>
      <c r="D27" s="462">
        <v>100</v>
      </c>
      <c r="E27" s="2666"/>
      <c r="F27" s="464">
        <f>SUMIF(90:90,E27,91:91)-SUMIF(90:90,C27,91:91)+100</f>
        <v>100</v>
      </c>
      <c r="G27" s="2666"/>
      <c r="H27" s="462">
        <f>SUMIF(90:90,G27,91:91)-SUMIF(90:90,C27,91:91)+100</f>
        <v>100</v>
      </c>
      <c r="I27" s="2666"/>
      <c r="J27" s="462">
        <f>SUMIF(90:90,I27,91:91)-SUMIF(90:90,C27,91:91)+100</f>
        <v>100</v>
      </c>
      <c r="K27" s="612"/>
      <c r="L27" s="1134"/>
      <c r="M27" s="1135"/>
      <c r="N27" s="1135"/>
      <c r="O27" s="1135"/>
      <c r="P27" s="3242"/>
      <c r="Q27" s="1797" t="str">
        <f t="shared" si="11"/>
        <v>人流量</v>
      </c>
      <c r="R27" s="770" t="s">
        <v>17</v>
      </c>
      <c r="S27" s="771">
        <f>F27</f>
        <v>100</v>
      </c>
      <c r="T27" s="770" t="s">
        <v>17</v>
      </c>
      <c r="U27" s="771">
        <f>H27</f>
        <v>100</v>
      </c>
      <c r="V27" s="770" t="s">
        <v>17</v>
      </c>
      <c r="W27" s="771">
        <f>J27</f>
        <v>100</v>
      </c>
      <c r="X27" s="772"/>
      <c r="Y27" s="3244"/>
      <c r="Z27" s="55" t="str">
        <f>Q27</f>
        <v>人流量</v>
      </c>
      <c r="AA27" s="1813">
        <f>D27/F27</f>
        <v>1</v>
      </c>
      <c r="AB27" s="1813">
        <f>D27/H27</f>
        <v>1</v>
      </c>
      <c r="AC27" s="1813">
        <f>D27/J27</f>
        <v>1</v>
      </c>
    </row>
    <row r="28" spans="1:29" ht="15.75" thickBot="1">
      <c r="A28" s="428"/>
      <c r="B28" s="422" t="s">
        <v>2660</v>
      </c>
      <c r="C28" s="616" t="s">
        <v>3218</v>
      </c>
      <c r="D28" s="435">
        <v>100</v>
      </c>
      <c r="E28" s="616" t="s">
        <v>3218</v>
      </c>
      <c r="F28" s="461">
        <f>SUMIF(92:92,E28,93:93)-SUMIF(92:92,C28,93:93)+100</f>
        <v>100</v>
      </c>
      <c r="G28" s="616" t="s">
        <v>3218</v>
      </c>
      <c r="H28" s="435">
        <f>SUMIF(92:92,G28,93:93)-SUMIF(92:92,C28,93:93)+100</f>
        <v>100</v>
      </c>
      <c r="I28" s="616" t="s">
        <v>3218</v>
      </c>
      <c r="J28" s="435">
        <f>SUMIF(92:92,I28,93:93)-SUMIF(92:92,C28,93:93)+100</f>
        <v>100</v>
      </c>
      <c r="K28" s="613"/>
      <c r="L28" s="1142"/>
      <c r="M28" s="1133"/>
      <c r="N28" s="1133"/>
      <c r="O28" s="1133"/>
      <c r="P28" s="3242"/>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44"/>
      <c r="Z28" s="1816" t="str">
        <f t="shared" ref="Z28:Z46" si="15">Q28</f>
        <v>楼层</v>
      </c>
      <c r="AA28" s="1813">
        <f t="shared" si="3"/>
        <v>1</v>
      </c>
      <c r="AB28" s="1813">
        <f t="shared" si="4"/>
        <v>1</v>
      </c>
      <c r="AC28" s="1813">
        <f t="shared" si="5"/>
        <v>1</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42"/>
      <c r="Q29" s="1812">
        <f t="shared" si="11"/>
        <v>111</v>
      </c>
      <c r="R29" s="774" t="s">
        <v>17</v>
      </c>
      <c r="S29" s="775">
        <f t="shared" si="12"/>
        <v>100</v>
      </c>
      <c r="T29" s="774" t="s">
        <v>17</v>
      </c>
      <c r="U29" s="775">
        <f t="shared" si="13"/>
        <v>100</v>
      </c>
      <c r="V29" s="774" t="s">
        <v>17</v>
      </c>
      <c r="W29" s="775">
        <f t="shared" si="14"/>
        <v>100</v>
      </c>
      <c r="X29" s="1815"/>
      <c r="Y29" s="3244"/>
      <c r="Z29" s="1816">
        <f t="shared" si="15"/>
        <v>111</v>
      </c>
      <c r="AA29" s="1813">
        <f t="shared" si="3"/>
        <v>1</v>
      </c>
      <c r="AB29" s="1813">
        <f t="shared" si="4"/>
        <v>1</v>
      </c>
      <c r="AC29" s="1813">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42"/>
      <c r="Q30" s="1812">
        <f t="shared" si="11"/>
        <v>111</v>
      </c>
      <c r="R30" s="774" t="s">
        <v>17</v>
      </c>
      <c r="S30" s="775">
        <f t="shared" si="12"/>
        <v>100</v>
      </c>
      <c r="T30" s="774" t="s">
        <v>17</v>
      </c>
      <c r="U30" s="775">
        <f t="shared" si="13"/>
        <v>100</v>
      </c>
      <c r="V30" s="774" t="s">
        <v>17</v>
      </c>
      <c r="W30" s="775">
        <f t="shared" si="14"/>
        <v>100</v>
      </c>
      <c r="X30" s="1815"/>
      <c r="Y30" s="3244"/>
      <c r="Z30" s="1816">
        <f t="shared" si="15"/>
        <v>111</v>
      </c>
      <c r="AA30" s="1813">
        <f t="shared" si="3"/>
        <v>1</v>
      </c>
      <c r="AB30" s="1813">
        <f t="shared" si="4"/>
        <v>1</v>
      </c>
      <c r="AC30" s="1813">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42"/>
      <c r="Q31" s="1812">
        <f t="shared" si="11"/>
        <v>111</v>
      </c>
      <c r="R31" s="774" t="s">
        <v>17</v>
      </c>
      <c r="S31" s="775">
        <f t="shared" si="12"/>
        <v>100</v>
      </c>
      <c r="T31" s="774" t="s">
        <v>17</v>
      </c>
      <c r="U31" s="775">
        <f t="shared" si="13"/>
        <v>100</v>
      </c>
      <c r="V31" s="774" t="s">
        <v>17</v>
      </c>
      <c r="W31" s="775">
        <f t="shared" si="14"/>
        <v>100</v>
      </c>
      <c r="X31" s="1815"/>
      <c r="Y31" s="3244"/>
      <c r="Z31" s="1816">
        <f t="shared" si="15"/>
        <v>111</v>
      </c>
      <c r="AA31" s="1813">
        <f t="shared" si="3"/>
        <v>1</v>
      </c>
      <c r="AB31" s="1813">
        <f t="shared" si="4"/>
        <v>1</v>
      </c>
      <c r="AC31" s="1813">
        <f t="shared" si="5"/>
        <v>1</v>
      </c>
    </row>
    <row r="32" spans="1:29" ht="15">
      <c r="A32" s="440" t="s">
        <v>2564</v>
      </c>
      <c r="B32" s="71" t="s">
        <v>2661</v>
      </c>
      <c r="C32" s="2618" t="s">
        <v>3200</v>
      </c>
      <c r="D32" s="467">
        <v>100</v>
      </c>
      <c r="E32" s="2618" t="s">
        <v>3196</v>
      </c>
      <c r="F32" s="461">
        <f>SUMIF(100:100,E32,101:101)-SUMIF(100:100,C32,101:101)+100</f>
        <v>102</v>
      </c>
      <c r="G32" s="2618" t="s">
        <v>3198</v>
      </c>
      <c r="H32" s="435">
        <f>SUMIF(100:100,G32,101:101)-SUMIF(100:100,C32,101:101)+100</f>
        <v>98</v>
      </c>
      <c r="I32" s="2618" t="s">
        <v>3198</v>
      </c>
      <c r="J32" s="467">
        <f>SUMIF(100:100,I32,101:101)-SUMIF(100:100,C32,101:101)+100</f>
        <v>98</v>
      </c>
      <c r="K32" s="612">
        <v>2</v>
      </c>
      <c r="L32" s="1142"/>
      <c r="M32" s="1133"/>
      <c r="N32" s="1133"/>
      <c r="O32" s="1133"/>
      <c r="P32" s="3245" t="s">
        <v>2566</v>
      </c>
      <c r="Q32" s="1812" t="str">
        <f t="shared" si="11"/>
        <v>商业类型</v>
      </c>
      <c r="R32" s="774" t="s">
        <v>17</v>
      </c>
      <c r="S32" s="775">
        <f t="shared" si="12"/>
        <v>102</v>
      </c>
      <c r="T32" s="774" t="s">
        <v>17</v>
      </c>
      <c r="U32" s="775">
        <f t="shared" si="13"/>
        <v>98</v>
      </c>
      <c r="V32" s="774" t="s">
        <v>17</v>
      </c>
      <c r="W32" s="775">
        <f t="shared" si="14"/>
        <v>98</v>
      </c>
      <c r="X32" s="1815"/>
      <c r="Y32" s="3248" t="s">
        <v>2566</v>
      </c>
      <c r="Z32" s="1816" t="str">
        <f t="shared" si="15"/>
        <v>商业类型</v>
      </c>
      <c r="AA32" s="1813">
        <f t="shared" si="3"/>
        <v>0.98039215686274506</v>
      </c>
      <c r="AB32" s="1813">
        <f t="shared" si="4"/>
        <v>1.0204081632653061</v>
      </c>
      <c r="AC32" s="1813">
        <f t="shared" si="5"/>
        <v>1.0204081632653061</v>
      </c>
    </row>
    <row r="33" spans="1:29" s="471" customFormat="1" ht="15">
      <c r="A33" s="468"/>
      <c r="B33" s="422" t="s">
        <v>2567</v>
      </c>
      <c r="C33" s="469">
        <f>'数据-基础表'!K17</f>
        <v>3052.4</v>
      </c>
      <c r="D33" s="136">
        <v>100</v>
      </c>
      <c r="E33" s="430">
        <v>98</v>
      </c>
      <c r="F33" s="425">
        <f>LOOKUP(E33,103:103,104:104)-LOOKUP(C33,103:103,104:104)+100</f>
        <v>104</v>
      </c>
      <c r="G33" s="429">
        <v>228</v>
      </c>
      <c r="H33" s="136">
        <f>LOOKUP(G33,103:103,104:104)-LOOKUP(C33,103:103,104:104)+100</f>
        <v>103</v>
      </c>
      <c r="I33" s="429">
        <v>105</v>
      </c>
      <c r="J33" s="136">
        <f>LOOKUP(I33,103:103,104:104)-LOOKUP(C33,103:103,104:104)+100</f>
        <v>103</v>
      </c>
      <c r="K33" s="613"/>
      <c r="L33" s="1140"/>
      <c r="M33" s="1143"/>
      <c r="N33" s="1143"/>
      <c r="O33" s="1143"/>
      <c r="P33" s="3246"/>
      <c r="Q33" s="776" t="str">
        <f t="shared" si="11"/>
        <v>项目建筑规模</v>
      </c>
      <c r="R33" s="777" t="s">
        <v>17</v>
      </c>
      <c r="S33" s="778">
        <f t="shared" si="12"/>
        <v>104</v>
      </c>
      <c r="T33" s="777" t="s">
        <v>17</v>
      </c>
      <c r="U33" s="778">
        <f t="shared" si="13"/>
        <v>103</v>
      </c>
      <c r="V33" s="777" t="s">
        <v>17</v>
      </c>
      <c r="W33" s="778">
        <f t="shared" si="14"/>
        <v>103</v>
      </c>
      <c r="X33" s="779"/>
      <c r="Y33" s="3248"/>
      <c r="Z33" s="780" t="str">
        <f t="shared" si="15"/>
        <v>项目建筑规模</v>
      </c>
      <c r="AA33" s="1813">
        <f t="shared" si="3"/>
        <v>0.96153846153846156</v>
      </c>
      <c r="AB33" s="1813">
        <f t="shared" si="4"/>
        <v>0.970873786407767</v>
      </c>
      <c r="AC33" s="1813">
        <f t="shared" si="5"/>
        <v>0.970873786407767</v>
      </c>
    </row>
    <row r="34" spans="1:29" ht="15">
      <c r="A34" s="472"/>
      <c r="B34" s="422" t="s">
        <v>2568</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2"/>
      <c r="M34" s="1133"/>
      <c r="N34" s="1133"/>
      <c r="O34" s="1133"/>
      <c r="P34" s="3246"/>
      <c r="Q34" s="1812" t="str">
        <f t="shared" si="11"/>
        <v>建筑结构</v>
      </c>
      <c r="R34" s="774" t="s">
        <v>17</v>
      </c>
      <c r="S34" s="775">
        <f t="shared" si="12"/>
        <v>100</v>
      </c>
      <c r="T34" s="774" t="s">
        <v>17</v>
      </c>
      <c r="U34" s="775">
        <f t="shared" si="13"/>
        <v>100</v>
      </c>
      <c r="V34" s="774" t="s">
        <v>17</v>
      </c>
      <c r="W34" s="775">
        <f t="shared" si="14"/>
        <v>100</v>
      </c>
      <c r="X34" s="1815"/>
      <c r="Y34" s="3248"/>
      <c r="Z34" s="1816" t="str">
        <f t="shared" si="15"/>
        <v>建筑结构</v>
      </c>
      <c r="AA34" s="1813">
        <f t="shared" si="3"/>
        <v>1</v>
      </c>
      <c r="AB34" s="1813">
        <f t="shared" si="4"/>
        <v>1</v>
      </c>
      <c r="AC34" s="1813">
        <f t="shared" si="5"/>
        <v>1</v>
      </c>
    </row>
    <row r="35" spans="1:29" ht="15">
      <c r="A35" s="472"/>
      <c r="B35" s="422" t="s">
        <v>2662</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2"/>
      <c r="M35" s="1133"/>
      <c r="N35" s="1133"/>
      <c r="O35" s="1133"/>
      <c r="P35" s="3246"/>
      <c r="Q35" s="1812" t="str">
        <f t="shared" si="11"/>
        <v>公共部分装修</v>
      </c>
      <c r="R35" s="774" t="s">
        <v>17</v>
      </c>
      <c r="S35" s="775">
        <f t="shared" si="12"/>
        <v>100</v>
      </c>
      <c r="T35" s="774" t="s">
        <v>17</v>
      </c>
      <c r="U35" s="775">
        <f t="shared" si="13"/>
        <v>100</v>
      </c>
      <c r="V35" s="774" t="s">
        <v>17</v>
      </c>
      <c r="W35" s="775">
        <f t="shared" si="14"/>
        <v>100</v>
      </c>
      <c r="X35" s="1815"/>
      <c r="Y35" s="3248"/>
      <c r="Z35" s="1816" t="str">
        <f t="shared" si="15"/>
        <v>公共部分装修</v>
      </c>
      <c r="AA35" s="1813">
        <f t="shared" si="3"/>
        <v>1</v>
      </c>
      <c r="AB35" s="1813">
        <f t="shared" si="4"/>
        <v>1</v>
      </c>
      <c r="AC35" s="1813">
        <f t="shared" si="5"/>
        <v>1</v>
      </c>
    </row>
    <row r="36" spans="1:29" ht="15">
      <c r="A36" s="472"/>
      <c r="B36" s="422" t="s">
        <v>2663</v>
      </c>
      <c r="C36" s="474">
        <f>'数据-取费表'!Y7</f>
        <v>0.85</v>
      </c>
      <c r="D36" s="435">
        <v>100</v>
      </c>
      <c r="E36" s="474">
        <v>0.85</v>
      </c>
      <c r="F36" s="461">
        <f>LOOKUP(E36,110:110,111:111)-LOOKUP(C36,110:110,111:111)+100</f>
        <v>100</v>
      </c>
      <c r="G36" s="474">
        <v>0.85</v>
      </c>
      <c r="H36" s="461">
        <f>LOOKUP(G36,110:110,111:111)-LOOKUP(C36,110:110,111:111)+100</f>
        <v>100</v>
      </c>
      <c r="I36" s="474">
        <v>0.85</v>
      </c>
      <c r="J36" s="435">
        <f>LOOKUP(I36,110:110,111:111)-LOOKUP(C36,110:110,111:111)+100</f>
        <v>100</v>
      </c>
      <c r="K36" s="612"/>
      <c r="L36" s="1142"/>
      <c r="M36" s="1133"/>
      <c r="N36" s="1133"/>
      <c r="O36" s="1133"/>
      <c r="P36" s="3246"/>
      <c r="Q36" s="1812" t="str">
        <f t="shared" si="11"/>
        <v>成新度</v>
      </c>
      <c r="R36" s="774" t="s">
        <v>17</v>
      </c>
      <c r="S36" s="775">
        <f t="shared" si="12"/>
        <v>100</v>
      </c>
      <c r="T36" s="774" t="s">
        <v>17</v>
      </c>
      <c r="U36" s="775">
        <f t="shared" si="13"/>
        <v>100</v>
      </c>
      <c r="V36" s="774" t="s">
        <v>17</v>
      </c>
      <c r="W36" s="775">
        <f t="shared" si="14"/>
        <v>100</v>
      </c>
      <c r="X36" s="1815"/>
      <c r="Y36" s="3248"/>
      <c r="Z36" s="1816" t="str">
        <f t="shared" si="15"/>
        <v>成新度</v>
      </c>
      <c r="AA36" s="1813">
        <f t="shared" si="3"/>
        <v>1</v>
      </c>
      <c r="AB36" s="1813">
        <f t="shared" si="4"/>
        <v>1</v>
      </c>
      <c r="AC36" s="1813">
        <f t="shared" si="5"/>
        <v>1</v>
      </c>
    </row>
    <row r="37" spans="1:29" s="117" customFormat="1" ht="15">
      <c r="A37" s="473"/>
      <c r="B37" s="422" t="s">
        <v>2664</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4"/>
      <c r="M37" s="1135"/>
      <c r="N37" s="1135"/>
      <c r="O37" s="1135"/>
      <c r="P37" s="3246"/>
      <c r="Q37" s="1797" t="str">
        <f t="shared" si="11"/>
        <v>市政基础设施</v>
      </c>
      <c r="R37" s="770" t="s">
        <v>17</v>
      </c>
      <c r="S37" s="771">
        <f t="shared" si="12"/>
        <v>100</v>
      </c>
      <c r="T37" s="770" t="s">
        <v>17</v>
      </c>
      <c r="U37" s="771">
        <f t="shared" si="13"/>
        <v>100</v>
      </c>
      <c r="V37" s="770" t="s">
        <v>17</v>
      </c>
      <c r="W37" s="771">
        <f t="shared" si="14"/>
        <v>100</v>
      </c>
      <c r="X37" s="772"/>
      <c r="Y37" s="3248"/>
      <c r="Z37" s="55" t="str">
        <f t="shared" si="15"/>
        <v>市政基础设施</v>
      </c>
      <c r="AA37" s="773">
        <f t="shared" si="3"/>
        <v>1</v>
      </c>
      <c r="AB37" s="773">
        <f t="shared" si="4"/>
        <v>1</v>
      </c>
      <c r="AC37" s="773">
        <f t="shared" si="5"/>
        <v>1</v>
      </c>
    </row>
    <row r="38" spans="1:29" ht="15">
      <c r="A38" s="472"/>
      <c r="B38" s="422"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2"/>
      <c r="M38" s="1133"/>
      <c r="N38" s="1133"/>
      <c r="O38" s="1133"/>
      <c r="P38" s="3246" t="s">
        <v>2566</v>
      </c>
      <c r="Q38" s="1812" t="str">
        <f t="shared" si="11"/>
        <v>业态</v>
      </c>
      <c r="R38" s="774" t="s">
        <v>17</v>
      </c>
      <c r="S38" s="775">
        <f t="shared" si="12"/>
        <v>100</v>
      </c>
      <c r="T38" s="774" t="s">
        <v>17</v>
      </c>
      <c r="U38" s="775">
        <f t="shared" si="13"/>
        <v>100</v>
      </c>
      <c r="V38" s="774" t="s">
        <v>17</v>
      </c>
      <c r="W38" s="775">
        <f t="shared" si="14"/>
        <v>100</v>
      </c>
      <c r="X38" s="1815"/>
      <c r="Y38" s="3248" t="s">
        <v>2566</v>
      </c>
      <c r="Z38" s="1816" t="str">
        <f t="shared" si="15"/>
        <v>业态</v>
      </c>
      <c r="AA38" s="1813">
        <f t="shared" si="3"/>
        <v>1</v>
      </c>
      <c r="AB38" s="1813">
        <f t="shared" si="4"/>
        <v>1</v>
      </c>
      <c r="AC38" s="1813">
        <f t="shared" si="5"/>
        <v>1</v>
      </c>
    </row>
    <row r="39" spans="1:29" ht="15">
      <c r="A39" s="472"/>
      <c r="B39" s="422" t="s">
        <v>2666</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2"/>
      <c r="M39" s="1133"/>
      <c r="N39" s="1133"/>
      <c r="O39" s="1133"/>
      <c r="P39" s="3246"/>
      <c r="Q39" s="1812" t="str">
        <f t="shared" si="11"/>
        <v>层高</v>
      </c>
      <c r="R39" s="774" t="s">
        <v>17</v>
      </c>
      <c r="S39" s="775">
        <f t="shared" si="12"/>
        <v>100</v>
      </c>
      <c r="T39" s="774" t="s">
        <v>17</v>
      </c>
      <c r="U39" s="775">
        <f t="shared" si="13"/>
        <v>100</v>
      </c>
      <c r="V39" s="774" t="s">
        <v>17</v>
      </c>
      <c r="W39" s="775">
        <f t="shared" si="14"/>
        <v>100</v>
      </c>
      <c r="X39" s="1815"/>
      <c r="Y39" s="3248"/>
      <c r="Z39" s="1816" t="str">
        <f t="shared" si="15"/>
        <v>层高</v>
      </c>
      <c r="AA39" s="1813">
        <f t="shared" si="3"/>
        <v>1</v>
      </c>
      <c r="AB39" s="1813">
        <f t="shared" si="4"/>
        <v>1</v>
      </c>
      <c r="AC39" s="1813">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46"/>
      <c r="Q40" s="1812" t="str">
        <f t="shared" si="11"/>
        <v>单套建筑面积</v>
      </c>
      <c r="R40" s="774" t="s">
        <v>17</v>
      </c>
      <c r="S40" s="775">
        <f t="shared" si="12"/>
        <v>100</v>
      </c>
      <c r="T40" s="774" t="s">
        <v>17</v>
      </c>
      <c r="U40" s="775">
        <f t="shared" si="13"/>
        <v>100</v>
      </c>
      <c r="V40" s="774" t="s">
        <v>17</v>
      </c>
      <c r="W40" s="775">
        <f t="shared" si="14"/>
        <v>100</v>
      </c>
      <c r="X40" s="1815"/>
      <c r="Y40" s="3248"/>
      <c r="Z40" s="1816" t="str">
        <f t="shared" si="15"/>
        <v>单套建筑面积</v>
      </c>
      <c r="AA40" s="1813">
        <f t="shared" si="3"/>
        <v>1</v>
      </c>
      <c r="AB40" s="1813">
        <f t="shared" si="4"/>
        <v>1</v>
      </c>
      <c r="AC40" s="1813">
        <f t="shared" si="5"/>
        <v>1</v>
      </c>
    </row>
    <row r="41" spans="1:29" s="471" customFormat="1" ht="15">
      <c r="A41" s="468"/>
      <c r="B41" s="1814"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46"/>
      <c r="Q41" s="776" t="str">
        <f t="shared" si="11"/>
        <v>进深比</v>
      </c>
      <c r="R41" s="777" t="s">
        <v>17</v>
      </c>
      <c r="S41" s="778">
        <f t="shared" si="12"/>
        <v>100</v>
      </c>
      <c r="T41" s="777" t="s">
        <v>17</v>
      </c>
      <c r="U41" s="778">
        <f t="shared" si="13"/>
        <v>100</v>
      </c>
      <c r="V41" s="777" t="s">
        <v>17</v>
      </c>
      <c r="W41" s="778">
        <f t="shared" si="14"/>
        <v>100</v>
      </c>
      <c r="X41" s="779"/>
      <c r="Y41" s="3248"/>
      <c r="Z41" s="780" t="str">
        <f t="shared" si="15"/>
        <v>进深比</v>
      </c>
      <c r="AA41" s="1813">
        <f t="shared" si="3"/>
        <v>1</v>
      </c>
      <c r="AB41" s="1813">
        <f t="shared" si="4"/>
        <v>1</v>
      </c>
      <c r="AC41" s="1813">
        <f t="shared" si="5"/>
        <v>1</v>
      </c>
    </row>
    <row r="42" spans="1:29" ht="15">
      <c r="A42" s="472"/>
      <c r="B42" s="422" t="s">
        <v>2669</v>
      </c>
      <c r="C42" s="2614" t="s">
        <v>3165</v>
      </c>
      <c r="D42" s="435">
        <v>100</v>
      </c>
      <c r="E42" s="2614" t="s">
        <v>3169</v>
      </c>
      <c r="F42" s="461">
        <f>SUMIF(122:122,E42,123:123)-SUMIF(122:122,C42,123:123)+100</f>
        <v>96</v>
      </c>
      <c r="G42" s="2614" t="s">
        <v>3165</v>
      </c>
      <c r="H42" s="435">
        <f>SUMIF(122:122,G42,123:123)-SUMIF(122:122,C42,123:123)+100</f>
        <v>100</v>
      </c>
      <c r="I42" s="2614" t="s">
        <v>3169</v>
      </c>
      <c r="J42" s="435">
        <f>SUMIF(122:122,I42,123:123)-SUMIF(122:122,C42,123:123)+100</f>
        <v>96</v>
      </c>
      <c r="K42" s="612">
        <v>2</v>
      </c>
      <c r="L42" s="1142"/>
      <c r="M42" s="1133"/>
      <c r="N42" s="1133"/>
      <c r="O42" s="1133"/>
      <c r="P42" s="3246"/>
      <c r="Q42" s="1812" t="str">
        <f t="shared" si="11"/>
        <v>内部装修</v>
      </c>
      <c r="R42" s="774" t="s">
        <v>17</v>
      </c>
      <c r="S42" s="775">
        <f t="shared" si="12"/>
        <v>96</v>
      </c>
      <c r="T42" s="774" t="s">
        <v>17</v>
      </c>
      <c r="U42" s="775">
        <f t="shared" si="13"/>
        <v>100</v>
      </c>
      <c r="V42" s="774" t="s">
        <v>17</v>
      </c>
      <c r="W42" s="775">
        <f t="shared" si="14"/>
        <v>96</v>
      </c>
      <c r="X42" s="1815"/>
      <c r="Y42" s="3248"/>
      <c r="Z42" s="1816" t="str">
        <f t="shared" si="15"/>
        <v>内部装修</v>
      </c>
      <c r="AA42" s="1813">
        <f t="shared" si="3"/>
        <v>1.0416666666666667</v>
      </c>
      <c r="AB42" s="1813">
        <f t="shared" si="4"/>
        <v>1</v>
      </c>
      <c r="AC42" s="1813">
        <f t="shared" si="5"/>
        <v>1.0416666666666667</v>
      </c>
    </row>
    <row r="43" spans="1:29" ht="15.75" thickBot="1">
      <c r="A43" s="472"/>
      <c r="B43" s="422" t="s">
        <v>2577</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2"/>
      <c r="M43" s="1133"/>
      <c r="N43" s="1133"/>
      <c r="O43" s="1133"/>
      <c r="P43" s="3246"/>
      <c r="Q43" s="1812" t="str">
        <f t="shared" si="11"/>
        <v>内部装修维护情况</v>
      </c>
      <c r="R43" s="774" t="s">
        <v>17</v>
      </c>
      <c r="S43" s="775">
        <f t="shared" si="12"/>
        <v>100</v>
      </c>
      <c r="T43" s="774" t="s">
        <v>17</v>
      </c>
      <c r="U43" s="775">
        <f t="shared" si="13"/>
        <v>100</v>
      </c>
      <c r="V43" s="774" t="s">
        <v>17</v>
      </c>
      <c r="W43" s="775">
        <f t="shared" si="14"/>
        <v>100</v>
      </c>
      <c r="X43" s="1815"/>
      <c r="Y43" s="3248"/>
      <c r="Z43" s="1816" t="str">
        <f t="shared" si="15"/>
        <v>内部装修维护情况</v>
      </c>
      <c r="AA43" s="1813">
        <f t="shared" si="3"/>
        <v>1</v>
      </c>
      <c r="AB43" s="1813">
        <f t="shared" si="4"/>
        <v>1</v>
      </c>
      <c r="AC43" s="1813">
        <f t="shared" si="5"/>
        <v>1</v>
      </c>
    </row>
    <row r="44" spans="1:29" s="117" customFormat="1" ht="15" hidden="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46"/>
      <c r="Q44" s="1797">
        <f t="shared" si="11"/>
        <v>111</v>
      </c>
      <c r="R44" s="770" t="s">
        <v>17</v>
      </c>
      <c r="S44" s="771">
        <f t="shared" si="12"/>
        <v>100</v>
      </c>
      <c r="T44" s="770" t="s">
        <v>17</v>
      </c>
      <c r="U44" s="771">
        <f t="shared" si="13"/>
        <v>100</v>
      </c>
      <c r="V44" s="770" t="s">
        <v>17</v>
      </c>
      <c r="W44" s="771">
        <f t="shared" si="14"/>
        <v>100</v>
      </c>
      <c r="X44" s="772"/>
      <c r="Y44" s="3248"/>
      <c r="Z44" s="55">
        <f t="shared" si="15"/>
        <v>111</v>
      </c>
      <c r="AA44" s="773">
        <f t="shared" si="3"/>
        <v>1</v>
      </c>
      <c r="AB44" s="773">
        <f t="shared" si="4"/>
        <v>1</v>
      </c>
      <c r="AC44" s="773">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46"/>
      <c r="Q45" s="1812">
        <f t="shared" si="11"/>
        <v>111</v>
      </c>
      <c r="R45" s="774" t="s">
        <v>17</v>
      </c>
      <c r="S45" s="775">
        <f t="shared" si="12"/>
        <v>100</v>
      </c>
      <c r="T45" s="774" t="s">
        <v>17</v>
      </c>
      <c r="U45" s="775">
        <f t="shared" si="13"/>
        <v>100</v>
      </c>
      <c r="V45" s="774" t="s">
        <v>17</v>
      </c>
      <c r="W45" s="775">
        <f t="shared" si="14"/>
        <v>100</v>
      </c>
      <c r="X45" s="1815"/>
      <c r="Y45" s="3248"/>
      <c r="Z45" s="1816">
        <f t="shared" si="15"/>
        <v>111</v>
      </c>
      <c r="AA45" s="1813">
        <f t="shared" si="3"/>
        <v>1</v>
      </c>
      <c r="AB45" s="1813">
        <f t="shared" si="4"/>
        <v>1</v>
      </c>
      <c r="AC45" s="1813">
        <f t="shared" si="5"/>
        <v>1</v>
      </c>
    </row>
    <row r="46" spans="1:29" ht="15.75" hidden="1"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47"/>
      <c r="Q46" s="1812">
        <f t="shared" si="11"/>
        <v>111</v>
      </c>
      <c r="R46" s="774" t="s">
        <v>17</v>
      </c>
      <c r="S46" s="775">
        <f t="shared" si="12"/>
        <v>100</v>
      </c>
      <c r="T46" s="774" t="s">
        <v>17</v>
      </c>
      <c r="U46" s="775">
        <f t="shared" si="13"/>
        <v>100</v>
      </c>
      <c r="V46" s="774" t="s">
        <v>17</v>
      </c>
      <c r="W46" s="775">
        <f t="shared" si="14"/>
        <v>100</v>
      </c>
      <c r="X46" s="1815"/>
      <c r="Y46" s="3249"/>
      <c r="Z46" s="1816">
        <f t="shared" si="15"/>
        <v>111</v>
      </c>
      <c r="AA46" s="1813">
        <f t="shared" si="3"/>
        <v>1</v>
      </c>
      <c r="AB46" s="1813">
        <f t="shared" si="4"/>
        <v>1</v>
      </c>
      <c r="AC46" s="1813">
        <f t="shared" si="5"/>
        <v>1</v>
      </c>
    </row>
    <row r="47" spans="1:29" ht="15">
      <c r="A47" s="479" t="s">
        <v>2578</v>
      </c>
      <c r="B47" s="480"/>
      <c r="C47" s="1409" t="s">
        <v>1</v>
      </c>
      <c r="D47" s="1410"/>
      <c r="E47" s="1411">
        <v>35204</v>
      </c>
      <c r="F47" s="1412"/>
      <c r="G47" s="1413">
        <v>35000</v>
      </c>
      <c r="H47" s="1414"/>
      <c r="I47" s="1411">
        <v>34095</v>
      </c>
      <c r="J47" s="1414"/>
      <c r="K47" s="783"/>
      <c r="L47" s="1145"/>
      <c r="M47" s="1146"/>
      <c r="N47" s="1133"/>
      <c r="O47" s="1146"/>
      <c r="P47" s="3250" t="str">
        <f>A47</f>
        <v>成交单价（元/平方米）</v>
      </c>
      <c r="Q47" s="3250"/>
      <c r="R47" s="3237">
        <f>E47</f>
        <v>35204</v>
      </c>
      <c r="S47" s="3237"/>
      <c r="T47" s="3237">
        <f>G47</f>
        <v>35000</v>
      </c>
      <c r="U47" s="3237"/>
      <c r="V47" s="3237">
        <f>I47</f>
        <v>34095</v>
      </c>
      <c r="W47" s="3237"/>
      <c r="X47" s="759"/>
      <c r="Y47" s="781"/>
      <c r="Z47" s="759"/>
      <c r="AA47" s="759"/>
      <c r="AB47" s="759"/>
      <c r="AC47" s="759"/>
    </row>
    <row r="48" spans="1:29" ht="15.75" thickBot="1">
      <c r="A48" s="486" t="s">
        <v>2670</v>
      </c>
      <c r="B48" s="487"/>
      <c r="C48" s="1415">
        <f>R49</f>
        <v>34473.699999999997</v>
      </c>
      <c r="D48" s="1416"/>
      <c r="E48" s="1417">
        <f>R48</f>
        <v>33562.199999999997</v>
      </c>
      <c r="F48" s="1417"/>
      <c r="G48" s="1415">
        <f>T48</f>
        <v>34674.1</v>
      </c>
      <c r="H48" s="1416"/>
      <c r="I48" s="1417">
        <f>V48</f>
        <v>35184.9</v>
      </c>
      <c r="J48" s="1416"/>
      <c r="K48" s="784"/>
      <c r="L48" s="1145"/>
      <c r="M48" s="1146"/>
      <c r="N48" s="1133"/>
      <c r="O48" s="1146"/>
      <c r="P48" s="3250" t="str">
        <f>A48</f>
        <v>比较价值（元/平方米）</v>
      </c>
      <c r="Q48" s="3250"/>
      <c r="R48" s="3251">
        <f>IF(F1="售价",ROUND(PRODUCT(R47,AA7:AA46),0),ROUND(PRODUCT(R47,AA7:AA46),1))</f>
        <v>33562.199999999997</v>
      </c>
      <c r="S48" s="3251"/>
      <c r="T48" s="3251">
        <f>IF(F1="售价",ROUND(PRODUCT(T47,AB7:AB46),0),ROUND(PRODUCT(T47,AB7:AB46),1))</f>
        <v>34674.1</v>
      </c>
      <c r="U48" s="3251"/>
      <c r="V48" s="3251">
        <f>IF(F1="售价",ROUND(PRODUCT(V47,AC7:AC46),0),ROUND(PRODUCT(V47,AC7:AC46),1))</f>
        <v>35184.9</v>
      </c>
      <c r="W48" s="3251"/>
      <c r="X48" s="759"/>
      <c r="Y48" s="759"/>
      <c r="Z48" s="759"/>
      <c r="AA48" s="759"/>
      <c r="AB48" s="759"/>
      <c r="AC48" s="759"/>
    </row>
    <row r="49" spans="1:29" ht="15.75" thickBot="1">
      <c r="A49" s="492" t="s">
        <v>2671</v>
      </c>
      <c r="B49" s="493"/>
      <c r="C49" s="1419">
        <f>R49</f>
        <v>34473.699999999997</v>
      </c>
      <c r="D49" s="1419"/>
      <c r="E49" s="1419"/>
      <c r="F49" s="1419"/>
      <c r="G49" s="1419"/>
      <c r="H49" s="1419"/>
      <c r="I49" s="1419"/>
      <c r="J49" s="1419"/>
      <c r="K49" s="785"/>
      <c r="L49" s="1145"/>
      <c r="M49" s="1146"/>
      <c r="N49" s="1133"/>
      <c r="O49" s="1146"/>
      <c r="P49" s="3290" t="str">
        <f>A49</f>
        <v>估价对象XX用房的比较价值（楼面单价，元/平方米）</v>
      </c>
      <c r="Q49" s="3291"/>
      <c r="R49" s="3292">
        <f>IF(F1="售价",ROUND(AVERAGE(R48:V48),0),ROUND(AVERAGE(R48:V48),1))</f>
        <v>34473.699999999997</v>
      </c>
      <c r="S49" s="3292"/>
      <c r="T49" s="3292"/>
      <c r="U49" s="3292"/>
      <c r="V49" s="3292"/>
      <c r="W49" s="3292"/>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2672</v>
      </c>
      <c r="D52" s="498"/>
      <c r="E52" s="499">
        <f>IF(E47&lt;E48,E48/E47-1,E47/E48-1)</f>
        <v>4.8918128132244165E-2</v>
      </c>
      <c r="F52" s="500" t="str">
        <f>IF(OR(E52&gt;=0.3,E52&lt;=-0.3),"超过30%","")</f>
        <v/>
      </c>
      <c r="G52" s="499">
        <f>IF(G47&lt;G48,G48/G47-1,G47/G48-1)</f>
        <v>9.3989461875001457E-3</v>
      </c>
      <c r="H52" s="500" t="str">
        <f>IF(OR(G52&gt;=0.3,G52&lt;=-0.3),"超过30%","")</f>
        <v/>
      </c>
      <c r="I52" s="499">
        <f>IF(I47&lt;I48,I48/I47-1,I47/I48-1)</f>
        <v>3.1966564012318566E-2</v>
      </c>
      <c r="J52" s="500" t="str">
        <f>IF(OR(I52&gt;=0.3,I52&lt;=-0.3),"超过30%","")</f>
        <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2673</v>
      </c>
      <c r="D53" s="501"/>
      <c r="E53" s="499">
        <f>IF(E48&lt;G48,G48/E48-1,E48/G48-1)</f>
        <v>3.312953262896956E-2</v>
      </c>
      <c r="F53" s="500" t="str">
        <f>IF(OR(E53&gt;=0.2,E53&lt;=-0.2),"超过20%","")</f>
        <v/>
      </c>
      <c r="G53" s="499">
        <f>IF(G48&lt;I48,I48/G48-1,G48/I48-1)</f>
        <v>1.4731456620359351E-2</v>
      </c>
      <c r="H53" s="500" t="str">
        <f>IF(OR(G53&gt;=0.2,G53&lt;=-0.2),"超过20%","")</f>
        <v/>
      </c>
      <c r="I53" s="499">
        <f>IF(I48&lt;E48,E48/I48-1,I48/E48-1)</f>
        <v>4.8349035522105455E-2</v>
      </c>
      <c r="J53" s="500" t="str">
        <f>IF(OR(I53&gt;=0.2,I53&lt;=-0.2),"超过20%","")</f>
        <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2674</v>
      </c>
      <c r="D54" s="501"/>
      <c r="E54" s="499">
        <f>IF(E47&lt;G47,G47/E47-1,E47/G47-1)</f>
        <v>5.8285714285715162E-3</v>
      </c>
      <c r="F54" s="500" t="str">
        <f>IF(OR(E54&gt;=0.3,E54&lt;=-0.3),"超过30%","")</f>
        <v/>
      </c>
      <c r="G54" s="499">
        <f>IF(G47&lt;I47,I47/G47-1,G47/I47-1)</f>
        <v>2.6543481448892736E-2</v>
      </c>
      <c r="H54" s="500" t="str">
        <f>IF(OR(G54&gt;=0.3,G54&lt;=-0.3),"超过30%","")</f>
        <v/>
      </c>
      <c r="I54" s="499">
        <f>IF(I47&lt;E47,E47/I47-1,I47/E47-1)</f>
        <v>3.2526763455052121E-2</v>
      </c>
      <c r="J54" s="500" t="str">
        <f>IF(OR(I54&gt;=0.3,I54&lt;=-0.3),"超过30%","")</f>
        <v/>
      </c>
      <c r="K54" s="1150"/>
      <c r="L54" s="1151"/>
      <c r="M54" s="1147"/>
      <c r="N54" s="1147"/>
      <c r="O54" s="1147"/>
      <c r="P54" s="2667"/>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7"/>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3"/>
      <c r="M57" s="1161"/>
      <c r="N57" s="1161"/>
      <c r="O57" s="1161"/>
      <c r="P57" s="2668"/>
      <c r="Q57" s="2669"/>
      <c r="R57" s="759"/>
      <c r="S57" s="759"/>
      <c r="T57" s="759"/>
      <c r="U57" s="759"/>
      <c r="V57" s="759"/>
      <c r="W57" s="759"/>
      <c r="X57" s="759"/>
      <c r="Y57" s="759"/>
      <c r="Z57" s="759"/>
      <c r="AA57" s="759"/>
      <c r="AB57" s="759"/>
      <c r="AC57" s="759"/>
    </row>
    <row r="58" spans="1:29" s="508" customFormat="1" ht="15">
      <c r="A58" s="505" t="s">
        <v>2549</v>
      </c>
      <c r="B58" s="506"/>
      <c r="C58" s="1576" t="str">
        <f>YEAR(C7)&amp;"-"&amp;MONTH(C7)</f>
        <v>2017-12</v>
      </c>
      <c r="D58" s="1577">
        <f>EDATE(C58,-1)</f>
        <v>43040</v>
      </c>
      <c r="E58" s="1577">
        <f t="shared" ref="E58:N58" si="16">EDATE(D58,-1)</f>
        <v>43009</v>
      </c>
      <c r="F58" s="1577">
        <f t="shared" si="16"/>
        <v>42979</v>
      </c>
      <c r="G58" s="1577">
        <f t="shared" si="16"/>
        <v>42948</v>
      </c>
      <c r="H58" s="1577">
        <f t="shared" si="16"/>
        <v>42917</v>
      </c>
      <c r="I58" s="1577">
        <f t="shared" si="16"/>
        <v>42887</v>
      </c>
      <c r="J58" s="1577">
        <f t="shared" si="16"/>
        <v>42856</v>
      </c>
      <c r="K58" s="1577">
        <f t="shared" si="16"/>
        <v>42826</v>
      </c>
      <c r="L58" s="1577">
        <f t="shared" si="16"/>
        <v>42795</v>
      </c>
      <c r="M58" s="1577">
        <f t="shared" si="16"/>
        <v>42767</v>
      </c>
      <c r="N58" s="1577">
        <f t="shared" si="16"/>
        <v>42736</v>
      </c>
      <c r="O58" s="1577">
        <f>EDATE(N58,-1)</f>
        <v>42705</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2589</v>
      </c>
      <c r="B63" s="528" t="s">
        <v>2555</v>
      </c>
      <c r="C63" s="529" t="str">
        <f>C9</f>
        <v>商业</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4"/>
      <c r="O65" s="1154"/>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1"/>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5"/>
      <c r="O67" s="1155"/>
      <c r="P67" s="2631"/>
      <c r="Q67" s="504"/>
    </row>
    <row r="68" spans="1:17" ht="15">
      <c r="A68" s="534"/>
      <c r="B68" s="548"/>
      <c r="C68" s="549">
        <v>0</v>
      </c>
      <c r="D68" s="549">
        <v>1</v>
      </c>
      <c r="E68" s="549">
        <v>2</v>
      </c>
      <c r="F68" s="549">
        <v>3</v>
      </c>
      <c r="G68" s="549">
        <v>4</v>
      </c>
      <c r="H68" s="549">
        <v>5</v>
      </c>
      <c r="I68" s="549">
        <v>6</v>
      </c>
      <c r="J68" s="549">
        <v>7</v>
      </c>
      <c r="K68" s="550">
        <v>8</v>
      </c>
      <c r="L68" s="551">
        <v>9</v>
      </c>
      <c r="M68" s="552">
        <v>10</v>
      </c>
      <c r="N68" s="1154"/>
      <c r="O68" s="1154"/>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36"/>
      <c r="E73" s="536"/>
      <c r="F73" s="536"/>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4"/>
      <c r="N82" s="1155"/>
      <c r="O82" s="1155"/>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2681</v>
      </c>
      <c r="C86" s="2991" t="s">
        <v>3203</v>
      </c>
      <c r="D86" s="2991" t="s">
        <v>3204</v>
      </c>
      <c r="E86" s="2991" t="s">
        <v>3205</v>
      </c>
      <c r="F86" s="2991" t="s">
        <v>3206</v>
      </c>
      <c r="G86" s="554"/>
      <c r="H86" s="554"/>
      <c r="I86" s="554"/>
      <c r="J86" s="554"/>
      <c r="K86" s="554"/>
      <c r="L86" s="580"/>
      <c r="M86" s="581"/>
      <c r="N86" s="1153"/>
      <c r="O86" s="1153"/>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1"/>
      <c r="Q87" s="504"/>
    </row>
    <row r="88" spans="1:17" s="117" customFormat="1" ht="15.75" thickTop="1">
      <c r="A88" s="579"/>
      <c r="B88" s="538" t="str">
        <f>B26</f>
        <v>平面位置/可视性</v>
      </c>
      <c r="C88" s="2991" t="s">
        <v>3209</v>
      </c>
      <c r="D88" s="2991" t="s">
        <v>3207</v>
      </c>
      <c r="E88" s="554"/>
      <c r="F88" s="2636"/>
      <c r="G88" s="554"/>
      <c r="H88" s="554"/>
      <c r="I88" s="554"/>
      <c r="J88" s="554"/>
      <c r="K88" s="554"/>
      <c r="L88" s="554"/>
      <c r="M88" s="581"/>
      <c r="N88" s="1153"/>
      <c r="O88" s="1153"/>
      <c r="P88" s="2631"/>
      <c r="Q88" s="504"/>
    </row>
    <row r="89" spans="1:17" s="117" customFormat="1" ht="15.75" thickBot="1">
      <c r="A89" s="579"/>
      <c r="B89" s="543"/>
      <c r="C89" s="560">
        <v>103</v>
      </c>
      <c r="D89" s="536">
        <v>100</v>
      </c>
      <c r="E89" s="536"/>
      <c r="F89" s="536"/>
      <c r="G89" s="536"/>
      <c r="H89" s="536"/>
      <c r="I89" s="536"/>
      <c r="J89" s="536"/>
      <c r="K89" s="536"/>
      <c r="L89" s="536"/>
      <c r="M89" s="536"/>
      <c r="N89" s="1155"/>
      <c r="O89" s="1155"/>
      <c r="P89" s="2631"/>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2"/>
      <c r="Q91" s="559"/>
    </row>
    <row r="92" spans="1:17" ht="15.75" thickTop="1">
      <c r="A92" s="534"/>
      <c r="B92" s="538" t="str">
        <f>B28</f>
        <v>楼层</v>
      </c>
      <c r="C92" s="554" t="s">
        <v>3215</v>
      </c>
      <c r="D92" s="2991" t="s">
        <v>3217</v>
      </c>
      <c r="E92" s="554"/>
      <c r="F92" s="554"/>
      <c r="G92" s="554"/>
      <c r="H92" s="554"/>
      <c r="I92" s="554"/>
      <c r="J92" s="554"/>
      <c r="K92" s="554"/>
      <c r="L92" s="580"/>
      <c r="M92" s="581"/>
      <c r="N92" s="1154"/>
      <c r="O92" s="1154"/>
      <c r="P92" s="2631"/>
      <c r="Q92" s="504"/>
    </row>
    <row r="93" spans="1:17" ht="15.75" thickBot="1">
      <c r="A93" s="534"/>
      <c r="B93" s="543"/>
      <c r="C93" s="536">
        <v>100</v>
      </c>
      <c r="D93" s="536">
        <v>60</v>
      </c>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36"/>
      <c r="E95" s="536"/>
      <c r="F95" s="536"/>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60"/>
      <c r="D97" s="536"/>
      <c r="E97" s="536"/>
      <c r="F97" s="536"/>
      <c r="G97" s="536"/>
      <c r="H97" s="536"/>
      <c r="I97" s="536"/>
      <c r="J97" s="536"/>
      <c r="K97" s="536"/>
      <c r="L97" s="536"/>
      <c r="M97" s="537"/>
      <c r="N97" s="1155"/>
      <c r="O97" s="1155"/>
      <c r="P97" s="2631"/>
      <c r="Q97" s="504"/>
    </row>
    <row r="98" spans="1:17" ht="15.75" thickTop="1">
      <c r="A98" s="534"/>
      <c r="B98" s="546">
        <f>B31</f>
        <v>111</v>
      </c>
      <c r="C98" s="554"/>
      <c r="D98" s="554"/>
      <c r="E98" s="554"/>
      <c r="F98" s="554"/>
      <c r="G98" s="587"/>
      <c r="H98" s="587"/>
      <c r="I98" s="587"/>
      <c r="J98" s="587"/>
      <c r="K98" s="588"/>
      <c r="L98" s="589"/>
      <c r="M98" s="590"/>
      <c r="N98" s="1154"/>
      <c r="O98" s="1154"/>
      <c r="P98" s="2631"/>
      <c r="Q98" s="504"/>
    </row>
    <row r="99" spans="1:17" ht="15.75" thickBot="1">
      <c r="A99" s="2637"/>
      <c r="B99" s="569"/>
      <c r="C99" s="570"/>
      <c r="D99" s="570"/>
      <c r="E99" s="570"/>
      <c r="F99" s="570"/>
      <c r="G99" s="591"/>
      <c r="H99" s="591"/>
      <c r="I99" s="591"/>
      <c r="J99" s="591"/>
      <c r="K99" s="591"/>
      <c r="L99" s="591"/>
      <c r="M99" s="592"/>
      <c r="N99" s="1155"/>
      <c r="O99" s="1155"/>
      <c r="P99" s="2631"/>
      <c r="Q99" s="504"/>
    </row>
    <row r="100" spans="1:17">
      <c r="A100" s="527" t="s">
        <v>2564</v>
      </c>
      <c r="B100" s="528" t="s">
        <v>2682</v>
      </c>
      <c r="C100" s="2997" t="s">
        <v>3195</v>
      </c>
      <c r="D100" s="2997" t="s">
        <v>3197</v>
      </c>
      <c r="E100" s="2997" t="s">
        <v>3201</v>
      </c>
      <c r="F100" s="2997" t="s">
        <v>3199</v>
      </c>
      <c r="G100" s="530"/>
      <c r="H100" s="530"/>
      <c r="I100" s="530"/>
      <c r="J100" s="530"/>
      <c r="K100" s="531"/>
      <c r="L100" s="532"/>
      <c r="M100" s="533"/>
      <c r="N100" s="1154"/>
      <c r="O100" s="1154"/>
      <c r="P100" s="2631"/>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5"/>
      <c r="O101" s="1155"/>
      <c r="P101" s="2631"/>
      <c r="Q101" s="504"/>
    </row>
    <row r="102" spans="1:17" ht="29.25" thickTop="1">
      <c r="A102" s="534"/>
      <c r="B102" s="538" t="s">
        <v>2614</v>
      </c>
      <c r="C102" s="578" t="str">
        <f>C103&amp;"(含)"&amp;"-"&amp;D103</f>
        <v>0(含)-100</v>
      </c>
      <c r="D102" s="578" t="str">
        <f t="shared" ref="D102:L102" si="23">D103&amp;"(含)"&amp;"-"&amp;E103</f>
        <v>100(含)-500</v>
      </c>
      <c r="E102" s="578" t="str">
        <f t="shared" si="23"/>
        <v>500(含)-1500</v>
      </c>
      <c r="F102" s="578" t="str">
        <f t="shared" si="23"/>
        <v>1500(含)-2500</v>
      </c>
      <c r="G102" s="578" t="str">
        <f t="shared" si="23"/>
        <v>2500(含)-3500</v>
      </c>
      <c r="H102" s="578" t="str">
        <f t="shared" si="23"/>
        <v>3500(含)-</v>
      </c>
      <c r="I102" s="578" t="str">
        <f t="shared" si="23"/>
        <v>(含)-</v>
      </c>
      <c r="J102" s="578" t="str">
        <f t="shared" si="23"/>
        <v>(含)-</v>
      </c>
      <c r="K102" s="578" t="str">
        <f t="shared" si="23"/>
        <v>(含)-</v>
      </c>
      <c r="L102" s="578" t="str">
        <f t="shared" si="23"/>
        <v>(含)-</v>
      </c>
      <c r="M102" s="622" t="str">
        <f>M103&amp;"(含)"&amp;"-"&amp;P103</f>
        <v>(含)-</v>
      </c>
      <c r="N102" s="1153"/>
      <c r="O102" s="1153"/>
      <c r="P102" s="2631"/>
      <c r="Q102" s="504"/>
    </row>
    <row r="103" spans="1:17" s="471" customFormat="1">
      <c r="A103" s="593"/>
      <c r="B103" s="594"/>
      <c r="C103" s="595">
        <v>0</v>
      </c>
      <c r="D103" s="595">
        <v>100</v>
      </c>
      <c r="E103" s="595">
        <v>500</v>
      </c>
      <c r="F103" s="595">
        <v>1500</v>
      </c>
      <c r="G103" s="595">
        <v>2500</v>
      </c>
      <c r="H103" s="595">
        <v>3500</v>
      </c>
      <c r="I103" s="595"/>
      <c r="J103" s="596"/>
      <c r="K103" s="596"/>
      <c r="L103" s="597"/>
      <c r="M103" s="598"/>
      <c r="N103" s="1156"/>
      <c r="O103" s="1156"/>
      <c r="P103" s="2632"/>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7"/>
      <c r="N104" s="1155"/>
      <c r="O104" s="1155"/>
      <c r="P104" s="2632"/>
      <c r="Q104" s="559"/>
    </row>
    <row r="105" spans="1:17" ht="15" thickTop="1">
      <c r="A105" s="599"/>
      <c r="B105" s="538" t="s">
        <v>2615</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1"/>
      <c r="Q106" s="504"/>
    </row>
    <row r="107" spans="1:17" ht="15" thickTop="1">
      <c r="A107" s="599"/>
      <c r="B107" s="538" t="s">
        <v>2617</v>
      </c>
      <c r="C107" s="2991" t="s">
        <v>3191</v>
      </c>
      <c r="D107" s="2991" t="s">
        <v>3192</v>
      </c>
      <c r="E107" s="2991" t="s">
        <v>3193</v>
      </c>
      <c r="F107" s="2996" t="s">
        <v>3194</v>
      </c>
      <c r="G107" s="583"/>
      <c r="H107" s="583"/>
      <c r="I107" s="583"/>
      <c r="J107" s="583"/>
      <c r="K107" s="584"/>
      <c r="L107" s="585"/>
      <c r="M107" s="586"/>
      <c r="N107" s="1154"/>
      <c r="O107" s="1154"/>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1"/>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1"/>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1"/>
      <c r="Q111" s="504"/>
    </row>
    <row r="112" spans="1:17" s="471" customFormat="1" ht="15" thickTop="1">
      <c r="A112" s="593"/>
      <c r="B112" s="538" t="s">
        <v>2619</v>
      </c>
      <c r="C112" s="554"/>
      <c r="D112" s="554"/>
      <c r="E112" s="554"/>
      <c r="F112" s="554"/>
      <c r="G112" s="554"/>
      <c r="H112" s="583"/>
      <c r="I112" s="583"/>
      <c r="J112" s="583"/>
      <c r="K112" s="584"/>
      <c r="L112" s="585"/>
      <c r="M112" s="586"/>
      <c r="N112" s="1156"/>
      <c r="O112" s="1156"/>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2"/>
      <c r="Q113" s="559"/>
    </row>
    <row r="114" spans="1:17" ht="15" thickTop="1">
      <c r="A114" s="599"/>
      <c r="B114" s="538" t="s">
        <v>2683</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1"/>
      <c r="Q115" s="504"/>
    </row>
    <row r="116" spans="1:17" ht="15" thickTop="1">
      <c r="A116" s="599"/>
      <c r="B116" s="538" t="s">
        <v>2684</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2685</v>
      </c>
      <c r="C118" s="627"/>
      <c r="D118" s="627"/>
      <c r="E118" s="627"/>
      <c r="F118" s="627"/>
      <c r="G118" s="627"/>
      <c r="H118" s="555"/>
      <c r="I118" s="555"/>
      <c r="J118" s="555"/>
      <c r="K118" s="555"/>
      <c r="L118" s="556"/>
      <c r="M118" s="557"/>
      <c r="N118" s="1154"/>
      <c r="O118" s="1154"/>
      <c r="P118" s="2631"/>
      <c r="Q118" s="504"/>
    </row>
    <row r="119" spans="1:17" ht="15.75" thickBot="1">
      <c r="A119" s="534"/>
      <c r="B119" s="543"/>
      <c r="C119" s="560"/>
      <c r="D119" s="536"/>
      <c r="E119" s="536"/>
      <c r="F119" s="536"/>
      <c r="G119" s="536"/>
      <c r="H119" s="536"/>
      <c r="I119" s="536"/>
      <c r="J119" s="536"/>
      <c r="K119" s="536"/>
      <c r="L119" s="536"/>
      <c r="M119" s="537"/>
      <c r="N119" s="1155"/>
      <c r="O119" s="1155"/>
      <c r="P119" s="2631"/>
      <c r="Q119" s="504"/>
    </row>
    <row r="120" spans="1:17" s="471" customFormat="1" ht="15" thickTop="1">
      <c r="A120" s="593"/>
      <c r="B120" s="538" t="s">
        <v>2686</v>
      </c>
      <c r="C120" s="583"/>
      <c r="D120" s="583"/>
      <c r="E120" s="583"/>
      <c r="F120" s="583"/>
      <c r="G120" s="555"/>
      <c r="H120" s="555"/>
      <c r="I120" s="555"/>
      <c r="J120" s="555"/>
      <c r="K120" s="555"/>
      <c r="L120" s="556"/>
      <c r="M120" s="557"/>
      <c r="N120" s="1156"/>
      <c r="O120" s="1156"/>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2"/>
      <c r="Q121" s="559"/>
    </row>
    <row r="122" spans="1:17" ht="15" thickTop="1">
      <c r="A122" s="599"/>
      <c r="B122" s="538" t="s">
        <v>2621</v>
      </c>
      <c r="C122" s="2991" t="s">
        <v>3191</v>
      </c>
      <c r="D122" s="2991" t="s">
        <v>3192</v>
      </c>
      <c r="E122" s="2991" t="s">
        <v>3193</v>
      </c>
      <c r="F122" s="2996" t="s">
        <v>3194</v>
      </c>
      <c r="G122" s="583"/>
      <c r="H122" s="583"/>
      <c r="I122" s="583"/>
      <c r="J122" s="583"/>
      <c r="K122" s="584"/>
      <c r="L122" s="585"/>
      <c r="M122" s="586"/>
      <c r="N122" s="1154"/>
      <c r="O122" s="1154"/>
      <c r="P122" s="2631"/>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5"/>
      <c r="O123" s="1155"/>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36"/>
      <c r="E129" s="536"/>
      <c r="F129" s="536"/>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70" t="s">
        <v>2703</v>
      </c>
      <c r="C1" s="1622" t="s">
        <v>2531</v>
      </c>
      <c r="D1" s="1623"/>
      <c r="E1" s="1632"/>
      <c r="F1" s="2585"/>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IF(C2="——",ROUND(C43*D3/10000,0),ROUND(C43*D3/10000,0)-D2)</f>
        <v>#DIV/0!</v>
      </c>
      <c r="C2" s="2587"/>
      <c r="D2" s="1126" t="e">
        <f ca="1">SUMIF(INDIRECT("'"&amp;F2&amp;"'"&amp;"!A:A"),"承租人权益价值",INDIRECT("'"&amp;F2&amp;"'"&amp;"!c:c"))</f>
        <v>#REF!</v>
      </c>
      <c r="E2" s="2588" t="s">
        <v>2329</v>
      </c>
      <c r="F2" s="2589"/>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3647.3</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2646</v>
      </c>
      <c r="B4" s="402"/>
      <c r="C4" s="3224" t="s">
        <v>2647</v>
      </c>
      <c r="D4" s="3225"/>
      <c r="E4" s="3226" t="s">
        <v>2648</v>
      </c>
      <c r="F4" s="3227"/>
      <c r="G4" s="3224" t="s">
        <v>2649</v>
      </c>
      <c r="H4" s="3225"/>
      <c r="I4" s="3224" t="s">
        <v>2650</v>
      </c>
      <c r="J4" s="3225"/>
      <c r="K4" s="610" t="s">
        <v>2651</v>
      </c>
      <c r="L4" s="1132"/>
      <c r="M4" s="1133"/>
      <c r="N4" s="1133"/>
      <c r="O4" s="1133"/>
      <c r="P4" s="3286" t="s">
        <v>2652</v>
      </c>
      <c r="Q4" s="3287"/>
      <c r="R4" s="3282" t="s">
        <v>2648</v>
      </c>
      <c r="S4" s="3283"/>
      <c r="T4" s="3282" t="s">
        <v>2649</v>
      </c>
      <c r="U4" s="3283"/>
      <c r="V4" s="3237" t="s">
        <v>2650</v>
      </c>
      <c r="W4" s="3237"/>
      <c r="X4" s="1815"/>
      <c r="Y4" s="3282" t="s">
        <v>2652</v>
      </c>
      <c r="Z4" s="3283"/>
      <c r="AA4" s="3281" t="s">
        <v>2648</v>
      </c>
      <c r="AB4" s="3203" t="s">
        <v>2649</v>
      </c>
      <c r="AC4" s="3281" t="s">
        <v>2650</v>
      </c>
    </row>
    <row r="5" spans="1:29" ht="15">
      <c r="A5" s="404"/>
      <c r="B5" s="405"/>
      <c r="C5" s="3217" t="s">
        <v>2543</v>
      </c>
      <c r="D5" s="3214"/>
      <c r="E5" s="3284" t="s">
        <v>2544</v>
      </c>
      <c r="F5" s="3212"/>
      <c r="G5" s="3217" t="s">
        <v>2545</v>
      </c>
      <c r="H5" s="3214"/>
      <c r="I5" s="3217" t="s">
        <v>2546</v>
      </c>
      <c r="J5" s="3214"/>
      <c r="K5" s="610"/>
      <c r="L5" s="1132"/>
      <c r="M5" s="1133"/>
      <c r="N5" s="1133"/>
      <c r="O5" s="1133"/>
      <c r="P5" s="3288"/>
      <c r="Q5" s="3231"/>
      <c r="R5" s="3209"/>
      <c r="S5" s="3210"/>
      <c r="T5" s="3209"/>
      <c r="U5" s="3210"/>
      <c r="V5" s="3237"/>
      <c r="W5" s="3237"/>
      <c r="X5" s="1815"/>
      <c r="Y5" s="3209"/>
      <c r="Z5" s="3210"/>
      <c r="AA5" s="3203"/>
      <c r="AB5" s="3203"/>
      <c r="AC5" s="3203"/>
    </row>
    <row r="6" spans="1:29" ht="15.75" thickBot="1">
      <c r="A6" s="406"/>
      <c r="B6" s="407"/>
      <c r="C6" s="3238" t="s">
        <v>2547</v>
      </c>
      <c r="D6" s="3216"/>
      <c r="E6" s="3285" t="s">
        <v>2547</v>
      </c>
      <c r="F6" s="3219"/>
      <c r="G6" s="3238" t="s">
        <v>2547</v>
      </c>
      <c r="H6" s="3216"/>
      <c r="I6" s="3238" t="s">
        <v>2547</v>
      </c>
      <c r="J6" s="3216"/>
      <c r="K6" s="610" t="s">
        <v>2548</v>
      </c>
      <c r="L6" s="1132"/>
      <c r="M6" s="1133"/>
      <c r="N6" s="1133"/>
      <c r="O6" s="1133"/>
      <c r="P6" s="3289"/>
      <c r="Q6" s="3233"/>
      <c r="R6" s="3209"/>
      <c r="S6" s="3210"/>
      <c r="T6" s="3234"/>
      <c r="U6" s="3235"/>
      <c r="V6" s="3237"/>
      <c r="W6" s="3237"/>
      <c r="X6" s="1815"/>
      <c r="Y6" s="3234"/>
      <c r="Z6" s="3235"/>
      <c r="AA6" s="3204"/>
      <c r="AB6" s="3204"/>
      <c r="AC6" s="3204"/>
    </row>
    <row r="7" spans="1:29" s="117" customFormat="1" ht="15.75" thickBot="1">
      <c r="A7" s="408" t="s">
        <v>2549</v>
      </c>
      <c r="B7" s="409"/>
      <c r="C7" s="410">
        <f>'数据-取费表'!B2</f>
        <v>43100</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05" t="s">
        <v>2550</v>
      </c>
      <c r="Q7" s="3240"/>
      <c r="R7" s="770" t="s">
        <v>17</v>
      </c>
      <c r="S7" s="771">
        <f t="shared" ref="S7:S15" si="0">F7</f>
        <v>0</v>
      </c>
      <c r="T7" s="770" t="s">
        <v>17</v>
      </c>
      <c r="U7" s="771">
        <f t="shared" ref="U7:U15" si="1">H7</f>
        <v>0</v>
      </c>
      <c r="V7" s="770" t="s">
        <v>17</v>
      </c>
      <c r="W7" s="771">
        <f t="shared" ref="W7:W15" si="2">J7</f>
        <v>0</v>
      </c>
      <c r="X7" s="772"/>
      <c r="Y7" s="3205" t="s">
        <v>2550</v>
      </c>
      <c r="Z7" s="320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05" t="s">
        <v>2553</v>
      </c>
      <c r="Q8" s="3206"/>
      <c r="R8" s="770" t="s">
        <v>17</v>
      </c>
      <c r="S8" s="771">
        <f t="shared" si="0"/>
        <v>0</v>
      </c>
      <c r="T8" s="770" t="s">
        <v>17</v>
      </c>
      <c r="U8" s="771">
        <f t="shared" si="1"/>
        <v>0</v>
      </c>
      <c r="V8" s="770" t="s">
        <v>17</v>
      </c>
      <c r="W8" s="771">
        <f t="shared" si="2"/>
        <v>0</v>
      </c>
      <c r="X8" s="772"/>
      <c r="Y8" s="3205" t="s">
        <v>2553</v>
      </c>
      <c r="Z8" s="320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50" t="s">
        <v>2556</v>
      </c>
      <c r="Q9" s="1797" t="str">
        <f t="shared" ref="Q9:Q15" si="6">B9</f>
        <v>用途</v>
      </c>
      <c r="R9" s="770" t="s">
        <v>17</v>
      </c>
      <c r="S9" s="771">
        <f t="shared" si="0"/>
        <v>100</v>
      </c>
      <c r="T9" s="770" t="s">
        <v>17</v>
      </c>
      <c r="U9" s="771">
        <f t="shared" si="1"/>
        <v>100</v>
      </c>
      <c r="V9" s="770" t="s">
        <v>17</v>
      </c>
      <c r="W9" s="771">
        <f t="shared" si="2"/>
        <v>100</v>
      </c>
      <c r="X9" s="772"/>
      <c r="Y9" s="307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50"/>
      <c r="Q10" s="1797"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50"/>
      <c r="Q11" s="1797" t="str">
        <f t="shared" si="6"/>
        <v>容积率</v>
      </c>
      <c r="R11" s="770" t="s">
        <v>17</v>
      </c>
      <c r="S11" s="771" t="e">
        <f t="shared" si="0"/>
        <v>#N/A</v>
      </c>
      <c r="T11" s="770" t="s">
        <v>17</v>
      </c>
      <c r="U11" s="771" t="e">
        <f t="shared" si="1"/>
        <v>#N/A</v>
      </c>
      <c r="V11" s="770" t="s">
        <v>17</v>
      </c>
      <c r="W11" s="771" t="e">
        <f t="shared" si="2"/>
        <v>#N/A</v>
      </c>
      <c r="X11" s="772"/>
      <c r="Y11" s="3074"/>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4"/>
      <c r="M12" s="1135"/>
      <c r="N12" s="1135"/>
      <c r="O12" s="1136"/>
      <c r="P12" s="3250"/>
      <c r="Q12" s="1797">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2"/>
      <c r="M13" s="1133"/>
      <c r="N13" s="1133"/>
      <c r="O13" s="1141"/>
      <c r="P13" s="3250"/>
      <c r="Q13" s="1797">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2"/>
      <c r="M14" s="1133"/>
      <c r="N14" s="1133"/>
      <c r="O14" s="1141"/>
      <c r="P14" s="3250"/>
      <c r="Q14" s="1797">
        <f t="shared" si="6"/>
        <v>111</v>
      </c>
      <c r="R14" s="770" t="s">
        <v>17</v>
      </c>
      <c r="S14" s="771">
        <f t="shared" si="0"/>
        <v>100</v>
      </c>
      <c r="T14" s="770" t="s">
        <v>17</v>
      </c>
      <c r="U14" s="771">
        <f t="shared" si="1"/>
        <v>100</v>
      </c>
      <c r="V14" s="770" t="s">
        <v>17</v>
      </c>
      <c r="W14" s="771">
        <f t="shared" si="2"/>
        <v>100</v>
      </c>
      <c r="X14" s="772"/>
      <c r="Y14" s="3074"/>
      <c r="Z14" s="55">
        <f t="shared" si="7"/>
        <v>111</v>
      </c>
      <c r="AA14" s="773">
        <f t="shared" si="3"/>
        <v>1</v>
      </c>
      <c r="AB14" s="773">
        <f t="shared" si="4"/>
        <v>1</v>
      </c>
      <c r="AC14" s="773">
        <f t="shared" si="5"/>
        <v>1</v>
      </c>
    </row>
    <row r="15" spans="1:29" ht="57">
      <c r="A15" s="440" t="s">
        <v>2560</v>
      </c>
      <c r="B15" s="69" t="s">
        <v>2704</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43" t="s">
        <v>2561</v>
      </c>
      <c r="Q15" s="1812" t="str">
        <f t="shared" si="6"/>
        <v>产业集聚程度</v>
      </c>
      <c r="R15" s="774" t="s">
        <v>17</v>
      </c>
      <c r="S15" s="775">
        <f t="shared" si="0"/>
        <v>100</v>
      </c>
      <c r="T15" s="774" t="s">
        <v>17</v>
      </c>
      <c r="U15" s="775">
        <f t="shared" si="1"/>
        <v>100</v>
      </c>
      <c r="V15" s="774" t="s">
        <v>17</v>
      </c>
      <c r="W15" s="775">
        <f t="shared" si="2"/>
        <v>100</v>
      </c>
      <c r="X15" s="1815"/>
      <c r="Y15" s="3243" t="s">
        <v>2561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44"/>
      <c r="Q16" s="1812"/>
      <c r="R16" s="774"/>
      <c r="S16" s="775"/>
      <c r="T16" s="774"/>
      <c r="U16" s="775"/>
      <c r="V16" s="774"/>
      <c r="W16" s="775"/>
      <c r="X16" s="1815"/>
      <c r="Y16" s="3244"/>
      <c r="Z16" s="1816"/>
      <c r="AA16" s="1813">
        <v>1</v>
      </c>
      <c r="AB16" s="1813">
        <v>1</v>
      </c>
      <c r="AC16" s="1813">
        <v>1</v>
      </c>
    </row>
    <row r="17" spans="1:29" ht="85.5">
      <c r="A17" s="428"/>
      <c r="B17" s="451" t="s">
        <v>2098</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44"/>
      <c r="Q17" s="1812" t="str">
        <f>B17</f>
        <v>交通便捷度</v>
      </c>
      <c r="R17" s="774" t="s">
        <v>17</v>
      </c>
      <c r="S17" s="775">
        <f>F17</f>
        <v>100</v>
      </c>
      <c r="T17" s="774" t="s">
        <v>17</v>
      </c>
      <c r="U17" s="775">
        <f>H17</f>
        <v>100</v>
      </c>
      <c r="V17" s="774" t="s">
        <v>17</v>
      </c>
      <c r="W17" s="775">
        <f>J17</f>
        <v>100</v>
      </c>
      <c r="X17" s="1815"/>
      <c r="Y17" s="3244"/>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2"/>
      <c r="M18" s="1133"/>
      <c r="N18" s="1133"/>
      <c r="O18" s="1141"/>
      <c r="P18" s="3244"/>
      <c r="Q18" s="1812"/>
      <c r="R18" s="774"/>
      <c r="S18" s="775"/>
      <c r="T18" s="774"/>
      <c r="U18" s="775"/>
      <c r="V18" s="774"/>
      <c r="W18" s="775"/>
      <c r="X18" s="1815"/>
      <c r="Y18" s="3244"/>
      <c r="Z18" s="1816"/>
      <c r="AA18" s="1813">
        <v>1</v>
      </c>
      <c r="AB18" s="1813">
        <v>1</v>
      </c>
      <c r="AC18" s="1813">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44"/>
      <c r="Q19" s="1812" t="str">
        <f>B19</f>
        <v>公共配套设施</v>
      </c>
      <c r="R19" s="774" t="s">
        <v>17</v>
      </c>
      <c r="S19" s="775">
        <f>F19</f>
        <v>100</v>
      </c>
      <c r="T19" s="774" t="s">
        <v>17</v>
      </c>
      <c r="U19" s="775">
        <f>H19</f>
        <v>100</v>
      </c>
      <c r="V19" s="774" t="s">
        <v>17</v>
      </c>
      <c r="W19" s="775">
        <f>J19</f>
        <v>100</v>
      </c>
      <c r="X19" s="1815"/>
      <c r="Y19" s="3244"/>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2"/>
      <c r="M20" s="1133"/>
      <c r="N20" s="1133"/>
      <c r="O20" s="1141"/>
      <c r="P20" s="3244"/>
      <c r="Q20" s="1812"/>
      <c r="R20" s="774"/>
      <c r="S20" s="775"/>
      <c r="T20" s="774"/>
      <c r="U20" s="775"/>
      <c r="V20" s="774"/>
      <c r="W20" s="775"/>
      <c r="X20" s="1815"/>
      <c r="Y20" s="3244"/>
      <c r="Z20" s="1816"/>
      <c r="AA20" s="1813">
        <v>1</v>
      </c>
      <c r="AB20" s="1813">
        <v>1</v>
      </c>
      <c r="AC20" s="1813">
        <v>1</v>
      </c>
    </row>
    <row r="21" spans="1:29" ht="28.5">
      <c r="A21" s="428"/>
      <c r="B21" s="1386"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44"/>
      <c r="Q21" s="1812" t="str">
        <f>B21</f>
        <v>基础设施水平</v>
      </c>
      <c r="R21" s="774" t="s">
        <v>17</v>
      </c>
      <c r="S21" s="775">
        <f>F21</f>
        <v>100</v>
      </c>
      <c r="T21" s="774" t="s">
        <v>17</v>
      </c>
      <c r="U21" s="775">
        <f>H21</f>
        <v>100</v>
      </c>
      <c r="V21" s="774" t="s">
        <v>17</v>
      </c>
      <c r="W21" s="775">
        <f>J21</f>
        <v>100</v>
      </c>
      <c r="X21" s="1815"/>
      <c r="Y21" s="3244"/>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2"/>
      <c r="M22" s="1133"/>
      <c r="N22" s="1133"/>
      <c r="O22" s="1141"/>
      <c r="P22" s="3244"/>
      <c r="Q22" s="1812"/>
      <c r="R22" s="774"/>
      <c r="S22" s="775"/>
      <c r="T22" s="774"/>
      <c r="U22" s="775"/>
      <c r="V22" s="774"/>
      <c r="W22" s="775"/>
      <c r="X22" s="1815"/>
      <c r="Y22" s="3244"/>
      <c r="Z22" s="1816"/>
      <c r="AA22" s="1813">
        <v>1</v>
      </c>
      <c r="AB22" s="1813">
        <v>1</v>
      </c>
      <c r="AC22" s="1813">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44"/>
      <c r="Q23" s="1812" t="str">
        <f>B23</f>
        <v>环境质量</v>
      </c>
      <c r="R23" s="774" t="s">
        <v>17</v>
      </c>
      <c r="S23" s="775">
        <f>F23</f>
        <v>100</v>
      </c>
      <c r="T23" s="774" t="s">
        <v>17</v>
      </c>
      <c r="U23" s="775">
        <f>H23</f>
        <v>100</v>
      </c>
      <c r="V23" s="774" t="s">
        <v>17</v>
      </c>
      <c r="W23" s="775">
        <f>J23</f>
        <v>100</v>
      </c>
      <c r="X23" s="1815"/>
      <c r="Y23" s="3244"/>
      <c r="Z23" s="1816" t="str">
        <f>Q23</f>
        <v>环境质量</v>
      </c>
      <c r="AA23" s="1813">
        <f t="shared" si="3"/>
        <v>1</v>
      </c>
      <c r="AB23" s="1813">
        <f t="shared" si="4"/>
        <v>1</v>
      </c>
      <c r="AC23" s="1813">
        <f t="shared" si="5"/>
        <v>1</v>
      </c>
    </row>
    <row r="24" spans="1:29" ht="15">
      <c r="A24" s="428"/>
      <c r="B24" s="1386"/>
      <c r="C24" s="447"/>
      <c r="D24" s="448"/>
      <c r="E24" s="2606"/>
      <c r="F24" s="449"/>
      <c r="G24" s="2605"/>
      <c r="H24" s="448"/>
      <c r="I24" s="2606"/>
      <c r="J24" s="448"/>
      <c r="K24" s="615"/>
      <c r="L24" s="1142"/>
      <c r="M24" s="1133"/>
      <c r="N24" s="1133"/>
      <c r="O24" s="1141"/>
      <c r="P24" s="3244"/>
      <c r="Q24" s="1812"/>
      <c r="R24" s="774"/>
      <c r="S24" s="775"/>
      <c r="T24" s="774"/>
      <c r="U24" s="775"/>
      <c r="V24" s="774"/>
      <c r="W24" s="775"/>
      <c r="X24" s="1815"/>
      <c r="Y24" s="324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44"/>
      <c r="Q25" s="1812">
        <f>B25</f>
        <v>111</v>
      </c>
      <c r="R25" s="774" t="s">
        <v>17</v>
      </c>
      <c r="S25" s="775">
        <f>F25</f>
        <v>100</v>
      </c>
      <c r="T25" s="774" t="s">
        <v>17</v>
      </c>
      <c r="U25" s="775">
        <f>H25</f>
        <v>100</v>
      </c>
      <c r="V25" s="774" t="s">
        <v>17</v>
      </c>
      <c r="W25" s="775">
        <f>J25</f>
        <v>100</v>
      </c>
      <c r="X25" s="1815"/>
      <c r="Y25" s="324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44"/>
      <c r="Q26" s="1812">
        <f t="shared" ref="Q26:Q40" si="11">B26</f>
        <v>111</v>
      </c>
      <c r="R26" s="774" t="s">
        <v>17</v>
      </c>
      <c r="S26" s="775">
        <f>F26</f>
        <v>100</v>
      </c>
      <c r="T26" s="774" t="s">
        <v>17</v>
      </c>
      <c r="U26" s="775">
        <f>H26</f>
        <v>100</v>
      </c>
      <c r="V26" s="774" t="s">
        <v>17</v>
      </c>
      <c r="W26" s="775">
        <f>J26</f>
        <v>100</v>
      </c>
      <c r="X26" s="1815"/>
      <c r="Y26" s="324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44"/>
      <c r="Q27" s="1797">
        <f t="shared" si="11"/>
        <v>111</v>
      </c>
      <c r="R27" s="770" t="s">
        <v>17</v>
      </c>
      <c r="S27" s="771">
        <f>F27</f>
        <v>100</v>
      </c>
      <c r="T27" s="770" t="s">
        <v>17</v>
      </c>
      <c r="U27" s="771">
        <f>H27</f>
        <v>100</v>
      </c>
      <c r="V27" s="770" t="s">
        <v>17</v>
      </c>
      <c r="W27" s="771">
        <f>J27</f>
        <v>100</v>
      </c>
      <c r="X27" s="772"/>
      <c r="Y27" s="3244"/>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44"/>
      <c r="Q28" s="1812">
        <f t="shared" si="11"/>
        <v>111</v>
      </c>
      <c r="R28" s="774" t="s">
        <v>17</v>
      </c>
      <c r="S28" s="775">
        <f t="shared" ref="S28:S40" si="12">F28</f>
        <v>100</v>
      </c>
      <c r="T28" s="774" t="s">
        <v>17</v>
      </c>
      <c r="U28" s="775">
        <f t="shared" ref="U28:U40" si="13">H28</f>
        <v>100</v>
      </c>
      <c r="V28" s="774" t="s">
        <v>17</v>
      </c>
      <c r="W28" s="775">
        <f t="shared" ref="W28:W40" si="14">J28</f>
        <v>100</v>
      </c>
      <c r="X28" s="1815"/>
      <c r="Y28" s="3244"/>
      <c r="Z28" s="1816">
        <f t="shared" ref="Z28:Z40" si="15">Q28</f>
        <v>111</v>
      </c>
      <c r="AA28" s="1813">
        <f t="shared" si="3"/>
        <v>1</v>
      </c>
      <c r="AB28" s="1813">
        <f t="shared" si="4"/>
        <v>1</v>
      </c>
      <c r="AC28" s="1813">
        <f t="shared" si="5"/>
        <v>1</v>
      </c>
    </row>
    <row r="29" spans="1:29" ht="15">
      <c r="A29" s="466" t="s">
        <v>2564</v>
      </c>
      <c r="B29" s="71" t="s">
        <v>2694</v>
      </c>
      <c r="C29" s="2680"/>
      <c r="D29" s="467">
        <v>100</v>
      </c>
      <c r="E29" s="2680"/>
      <c r="F29" s="461">
        <f>SUMIF(88:88,E29,89:89)-SUMIF(88:88,C29,89:89)+100</f>
        <v>100</v>
      </c>
      <c r="G29" s="2680"/>
      <c r="H29" s="435">
        <f>SUMIF(88:88,G29,89:89)-SUMIF(88:88,C29,89:89)+100</f>
        <v>100</v>
      </c>
      <c r="I29" s="2680"/>
      <c r="J29" s="467">
        <f>SUMIF(88:88,I29,89:89)-SUMIF(88:88,C29,89:89)+100</f>
        <v>100</v>
      </c>
      <c r="K29" s="612"/>
      <c r="L29" s="1142"/>
      <c r="M29" s="1133"/>
      <c r="N29" s="1133"/>
      <c r="O29" s="1141"/>
      <c r="P29" s="3293" t="s">
        <v>2566</v>
      </c>
      <c r="Q29" s="1812" t="str">
        <f t="shared" si="11"/>
        <v>建筑类型</v>
      </c>
      <c r="R29" s="774" t="s">
        <v>17</v>
      </c>
      <c r="S29" s="775">
        <f t="shared" si="12"/>
        <v>100</v>
      </c>
      <c r="T29" s="774" t="s">
        <v>17</v>
      </c>
      <c r="U29" s="775">
        <f t="shared" si="13"/>
        <v>100</v>
      </c>
      <c r="V29" s="774" t="s">
        <v>17</v>
      </c>
      <c r="W29" s="775">
        <f t="shared" si="14"/>
        <v>100</v>
      </c>
      <c r="X29" s="1815"/>
      <c r="Y29" s="3248" t="s">
        <v>2566</v>
      </c>
      <c r="Z29" s="1816" t="str">
        <f t="shared" si="15"/>
        <v>建筑类型</v>
      </c>
      <c r="AA29" s="1813">
        <f t="shared" si="3"/>
        <v>1</v>
      </c>
      <c r="AB29" s="1813">
        <f t="shared" si="4"/>
        <v>1</v>
      </c>
      <c r="AC29" s="1813">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48"/>
      <c r="Q30" s="776" t="str">
        <f t="shared" si="11"/>
        <v>项目建筑规模</v>
      </c>
      <c r="R30" s="777" t="s">
        <v>17</v>
      </c>
      <c r="S30" s="778" t="e">
        <f t="shared" si="12"/>
        <v>#N/A</v>
      </c>
      <c r="T30" s="777" t="s">
        <v>17</v>
      </c>
      <c r="U30" s="778" t="e">
        <f t="shared" si="13"/>
        <v>#N/A</v>
      </c>
      <c r="V30" s="777" t="s">
        <v>17</v>
      </c>
      <c r="W30" s="778" t="e">
        <f t="shared" si="14"/>
        <v>#N/A</v>
      </c>
      <c r="X30" s="779"/>
      <c r="Y30" s="3248"/>
      <c r="Z30" s="780" t="str">
        <f t="shared" si="15"/>
        <v>项目建筑规模</v>
      </c>
      <c r="AA30" s="1813" t="e">
        <f t="shared" si="3"/>
        <v>#N/A</v>
      </c>
      <c r="AB30" s="1813" t="e">
        <f t="shared" si="4"/>
        <v>#N/A</v>
      </c>
      <c r="AC30" s="1813"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48"/>
      <c r="Q31" s="1812" t="str">
        <f t="shared" si="11"/>
        <v>建筑结构</v>
      </c>
      <c r="R31" s="774" t="s">
        <v>17</v>
      </c>
      <c r="S31" s="775">
        <f t="shared" si="12"/>
        <v>100</v>
      </c>
      <c r="T31" s="774" t="s">
        <v>17</v>
      </c>
      <c r="U31" s="775">
        <f t="shared" si="13"/>
        <v>100</v>
      </c>
      <c r="V31" s="774" t="s">
        <v>17</v>
      </c>
      <c r="W31" s="775">
        <f t="shared" si="14"/>
        <v>100</v>
      </c>
      <c r="X31" s="1815"/>
      <c r="Y31" s="3248"/>
      <c r="Z31" s="1816" t="str">
        <f t="shared" si="15"/>
        <v>建筑结构</v>
      </c>
      <c r="AA31" s="1813">
        <f t="shared" si="3"/>
        <v>1</v>
      </c>
      <c r="AB31" s="1813">
        <f t="shared" si="4"/>
        <v>1</v>
      </c>
      <c r="AC31" s="1813">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48"/>
      <c r="Q32" s="1812" t="str">
        <f t="shared" si="11"/>
        <v>公共部分装修</v>
      </c>
      <c r="R32" s="774" t="s">
        <v>17</v>
      </c>
      <c r="S32" s="775">
        <f t="shared" si="12"/>
        <v>100</v>
      </c>
      <c r="T32" s="774" t="s">
        <v>17</v>
      </c>
      <c r="U32" s="775">
        <f t="shared" si="13"/>
        <v>100</v>
      </c>
      <c r="V32" s="774" t="s">
        <v>17</v>
      </c>
      <c r="W32" s="775">
        <f t="shared" si="14"/>
        <v>100</v>
      </c>
      <c r="X32" s="1815"/>
      <c r="Y32" s="3248"/>
      <c r="Z32" s="1816" t="str">
        <f t="shared" si="15"/>
        <v>公共部分装修</v>
      </c>
      <c r="AA32" s="1813">
        <f t="shared" si="3"/>
        <v>1</v>
      </c>
      <c r="AB32" s="1813">
        <f t="shared" si="4"/>
        <v>1</v>
      </c>
      <c r="AC32" s="1813">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48"/>
      <c r="Q33" s="1812" t="str">
        <f t="shared" si="11"/>
        <v>成新度</v>
      </c>
      <c r="R33" s="774" t="s">
        <v>17</v>
      </c>
      <c r="S33" s="775" t="e">
        <f t="shared" si="12"/>
        <v>#N/A</v>
      </c>
      <c r="T33" s="774" t="s">
        <v>17</v>
      </c>
      <c r="U33" s="775" t="e">
        <f t="shared" si="13"/>
        <v>#N/A</v>
      </c>
      <c r="V33" s="774" t="s">
        <v>17</v>
      </c>
      <c r="W33" s="775" t="e">
        <f t="shared" si="14"/>
        <v>#N/A</v>
      </c>
      <c r="X33" s="1815"/>
      <c r="Y33" s="3248"/>
      <c r="Z33" s="1816" t="str">
        <f t="shared" si="15"/>
        <v>成新度</v>
      </c>
      <c r="AA33" s="1813" t="e">
        <f t="shared" si="3"/>
        <v>#N/A</v>
      </c>
      <c r="AB33" s="1813" t="e">
        <f t="shared" si="4"/>
        <v>#N/A</v>
      </c>
      <c r="AC33" s="1813"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48"/>
      <c r="Q34" s="1797" t="str">
        <f t="shared" si="11"/>
        <v>物业管理</v>
      </c>
      <c r="R34" s="770" t="s">
        <v>17</v>
      </c>
      <c r="S34" s="771">
        <f t="shared" si="12"/>
        <v>100</v>
      </c>
      <c r="T34" s="770" t="s">
        <v>17</v>
      </c>
      <c r="U34" s="771">
        <f t="shared" si="13"/>
        <v>100</v>
      </c>
      <c r="V34" s="770" t="s">
        <v>17</v>
      </c>
      <c r="W34" s="771">
        <f t="shared" si="14"/>
        <v>100</v>
      </c>
      <c r="X34" s="772"/>
      <c r="Y34" s="324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48" t="s">
        <v>2566</v>
      </c>
      <c r="Q35" s="1812" t="str">
        <f t="shared" si="11"/>
        <v>市政基础设施</v>
      </c>
      <c r="R35" s="774" t="s">
        <v>17</v>
      </c>
      <c r="S35" s="775">
        <f t="shared" si="12"/>
        <v>100</v>
      </c>
      <c r="T35" s="774" t="s">
        <v>17</v>
      </c>
      <c r="U35" s="775">
        <f t="shared" si="13"/>
        <v>100</v>
      </c>
      <c r="V35" s="774" t="s">
        <v>17</v>
      </c>
      <c r="W35" s="775">
        <f t="shared" si="14"/>
        <v>100</v>
      </c>
      <c r="X35" s="1815"/>
      <c r="Y35" s="3248" t="s">
        <v>2566</v>
      </c>
      <c r="Z35" s="1816" t="str">
        <f t="shared" si="15"/>
        <v>市政基础设施</v>
      </c>
      <c r="AA35" s="1813">
        <f t="shared" si="3"/>
        <v>1</v>
      </c>
      <c r="AB35" s="1813">
        <f t="shared" si="4"/>
        <v>1</v>
      </c>
      <c r="AC35" s="1813">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48"/>
      <c r="Q36" s="1812" t="str">
        <f t="shared" si="11"/>
        <v>内部装修</v>
      </c>
      <c r="R36" s="774" t="s">
        <v>17</v>
      </c>
      <c r="S36" s="775">
        <f t="shared" si="12"/>
        <v>100</v>
      </c>
      <c r="T36" s="774" t="s">
        <v>17</v>
      </c>
      <c r="U36" s="775">
        <f t="shared" si="13"/>
        <v>100</v>
      </c>
      <c r="V36" s="774" t="s">
        <v>17</v>
      </c>
      <c r="W36" s="775">
        <f t="shared" si="14"/>
        <v>100</v>
      </c>
      <c r="X36" s="1815"/>
      <c r="Y36" s="3248"/>
      <c r="Z36" s="1816" t="str">
        <f t="shared" si="15"/>
        <v>内部装修</v>
      </c>
      <c r="AA36" s="1813">
        <f t="shared" si="3"/>
        <v>1</v>
      </c>
      <c r="AB36" s="1813">
        <f t="shared" si="4"/>
        <v>1</v>
      </c>
      <c r="AC36" s="1813">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48"/>
      <c r="Q37" s="1812" t="str">
        <f t="shared" si="11"/>
        <v>内部装修状况</v>
      </c>
      <c r="R37" s="774" t="s">
        <v>17</v>
      </c>
      <c r="S37" s="775">
        <f t="shared" si="12"/>
        <v>100</v>
      </c>
      <c r="T37" s="774" t="s">
        <v>17</v>
      </c>
      <c r="U37" s="775">
        <f t="shared" si="13"/>
        <v>100</v>
      </c>
      <c r="V37" s="774" t="s">
        <v>17</v>
      </c>
      <c r="W37" s="775">
        <f t="shared" si="14"/>
        <v>100</v>
      </c>
      <c r="X37" s="1815"/>
      <c r="Y37" s="324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48"/>
      <c r="Q38" s="776">
        <f t="shared" si="11"/>
        <v>111</v>
      </c>
      <c r="R38" s="777" t="s">
        <v>17</v>
      </c>
      <c r="S38" s="778">
        <f t="shared" si="12"/>
        <v>100</v>
      </c>
      <c r="T38" s="777" t="s">
        <v>17</v>
      </c>
      <c r="U38" s="778">
        <f t="shared" si="13"/>
        <v>100</v>
      </c>
      <c r="V38" s="777" t="s">
        <v>17</v>
      </c>
      <c r="W38" s="778">
        <f t="shared" si="14"/>
        <v>100</v>
      </c>
      <c r="X38" s="779"/>
      <c r="Y38" s="3248"/>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48"/>
      <c r="Q39" s="1812">
        <f t="shared" si="11"/>
        <v>111</v>
      </c>
      <c r="R39" s="774" t="s">
        <v>17</v>
      </c>
      <c r="S39" s="775">
        <f t="shared" si="12"/>
        <v>100</v>
      </c>
      <c r="T39" s="774" t="s">
        <v>17</v>
      </c>
      <c r="U39" s="775">
        <f t="shared" si="13"/>
        <v>100</v>
      </c>
      <c r="V39" s="774" t="s">
        <v>17</v>
      </c>
      <c r="W39" s="775">
        <f t="shared" si="14"/>
        <v>100</v>
      </c>
      <c r="X39" s="1815"/>
      <c r="Y39" s="3248"/>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49"/>
      <c r="Q40" s="1812">
        <f t="shared" si="11"/>
        <v>111</v>
      </c>
      <c r="R40" s="774" t="s">
        <v>17</v>
      </c>
      <c r="S40" s="775">
        <f t="shared" si="12"/>
        <v>100</v>
      </c>
      <c r="T40" s="774" t="s">
        <v>17</v>
      </c>
      <c r="U40" s="775">
        <f t="shared" si="13"/>
        <v>100</v>
      </c>
      <c r="V40" s="774" t="s">
        <v>17</v>
      </c>
      <c r="W40" s="775">
        <f t="shared" si="14"/>
        <v>100</v>
      </c>
      <c r="X40" s="1815"/>
      <c r="Y40" s="3249"/>
      <c r="Z40" s="1816">
        <f t="shared" si="15"/>
        <v>111</v>
      </c>
      <c r="AA40" s="1813">
        <f t="shared" si="3"/>
        <v>1</v>
      </c>
      <c r="AB40" s="1813">
        <f t="shared" si="4"/>
        <v>1</v>
      </c>
      <c r="AC40" s="1813">
        <f t="shared" si="5"/>
        <v>1</v>
      </c>
    </row>
    <row r="41" spans="1:29" ht="15">
      <c r="A41" s="479" t="s">
        <v>2578</v>
      </c>
      <c r="B41" s="480"/>
      <c r="C41" s="1409" t="s">
        <v>1</v>
      </c>
      <c r="D41" s="1410"/>
      <c r="E41" s="1411"/>
      <c r="F41" s="1412"/>
      <c r="G41" s="1413"/>
      <c r="H41" s="1414"/>
      <c r="I41" s="1411"/>
      <c r="J41" s="1414"/>
      <c r="K41" s="783"/>
      <c r="L41" s="1145"/>
      <c r="M41" s="1146"/>
      <c r="N41" s="1133"/>
      <c r="O41" s="1146"/>
      <c r="P41" s="3250" t="str">
        <f>A41</f>
        <v>成交单价（元/平方米）</v>
      </c>
      <c r="Q41" s="3250"/>
      <c r="R41" s="3251">
        <f>E41</f>
        <v>0</v>
      </c>
      <c r="S41" s="3251"/>
      <c r="T41" s="3251">
        <f>G41</f>
        <v>0</v>
      </c>
      <c r="U41" s="3251"/>
      <c r="V41" s="3251">
        <f>I41</f>
        <v>0</v>
      </c>
      <c r="W41" s="3251"/>
      <c r="X41" s="759"/>
      <c r="Y41" s="781"/>
      <c r="Z41" s="759"/>
      <c r="AA41" s="759"/>
      <c r="AB41" s="759"/>
      <c r="AC41" s="759"/>
    </row>
    <row r="42" spans="1:29" ht="15.75" thickBot="1">
      <c r="A42" s="486" t="s">
        <v>2670</v>
      </c>
      <c r="B42" s="487"/>
      <c r="C42" s="1415" t="e">
        <f>R43</f>
        <v>#DIV/0!</v>
      </c>
      <c r="D42" s="1416"/>
      <c r="E42" s="1417" t="e">
        <f>R42</f>
        <v>#DIV/0!</v>
      </c>
      <c r="F42" s="1417"/>
      <c r="G42" s="1415" t="e">
        <f>T42</f>
        <v>#DIV/0!</v>
      </c>
      <c r="H42" s="1416"/>
      <c r="I42" s="1417" t="e">
        <f>V42</f>
        <v>#DIV/0!</v>
      </c>
      <c r="J42" s="1416"/>
      <c r="K42" s="784"/>
      <c r="L42" s="1145"/>
      <c r="M42" s="1146"/>
      <c r="N42" s="1133"/>
      <c r="O42" s="1146"/>
      <c r="P42" s="3250" t="str">
        <f>A42</f>
        <v>比较价值（元/平方米）</v>
      </c>
      <c r="Q42" s="3250"/>
      <c r="R42" s="3251" t="e">
        <f>IF(F1="售价",ROUND(PRODUCT(R41,AA7:AA40),0),ROUND(PRODUCT(R41,AA7:AA40),1))</f>
        <v>#DIV/0!</v>
      </c>
      <c r="S42" s="3251"/>
      <c r="T42" s="3251" t="e">
        <f>IF(F1="售价",ROUND(PRODUCT(T41,AB7:AB40),0),ROUND(PRODUCT(T41,AB7:AB40),1))</f>
        <v>#DIV/0!</v>
      </c>
      <c r="U42" s="3251"/>
      <c r="V42" s="3251" t="e">
        <f>IF(F1="售价",ROUND(PRODUCT(V41,AC7:AC40),0),ROUND(PRODUCT(V41,AC7:AC40),1))</f>
        <v>#DIV/0!</v>
      </c>
      <c r="W42" s="3251"/>
      <c r="X42" s="759"/>
      <c r="Y42" s="759"/>
      <c r="Z42" s="759"/>
      <c r="AA42" s="759"/>
      <c r="AB42" s="759"/>
      <c r="AC42" s="759"/>
    </row>
    <row r="43" spans="1:29" ht="15.75" thickBot="1">
      <c r="A43" s="492" t="s">
        <v>2671</v>
      </c>
      <c r="B43" s="493"/>
      <c r="C43" s="1419" t="e">
        <f>R43</f>
        <v>#DIV/0!</v>
      </c>
      <c r="D43" s="1419"/>
      <c r="E43" s="1419"/>
      <c r="F43" s="1419"/>
      <c r="G43" s="1419"/>
      <c r="H43" s="1419"/>
      <c r="I43" s="1419"/>
      <c r="J43" s="1419"/>
      <c r="K43" s="785"/>
      <c r="L43" s="1145"/>
      <c r="M43" s="1146"/>
      <c r="N43" s="1146"/>
      <c r="O43" s="1146"/>
      <c r="P43" s="3290" t="str">
        <f>A43</f>
        <v>估价对象XX用房的比较价值（楼面单价，元/平方米）</v>
      </c>
      <c r="Q43" s="3291"/>
      <c r="R43" s="3292" t="e">
        <f>IF(F1="售价",ROUND(AVERAGE(R42:V42),0),ROUND(AVERAGE(R42:V42),1))</f>
        <v>#DIV/0!</v>
      </c>
      <c r="S43" s="3292"/>
      <c r="T43" s="3292"/>
      <c r="U43" s="3292"/>
      <c r="V43" s="3292"/>
      <c r="W43" s="3292"/>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2675</v>
      </c>
      <c r="B51" s="759"/>
      <c r="C51" s="764"/>
      <c r="D51" s="764"/>
      <c r="E51" s="764"/>
      <c r="F51" s="765"/>
      <c r="G51" s="765"/>
      <c r="H51" s="764"/>
      <c r="I51" s="764"/>
      <c r="J51" s="764"/>
      <c r="K51" s="1162"/>
      <c r="L51" s="1163"/>
      <c r="M51" s="1161"/>
      <c r="N51" s="1161"/>
      <c r="O51" s="1161"/>
      <c r="P51" s="503"/>
      <c r="Q51" s="504"/>
    </row>
    <row r="52" spans="1:17" s="508" customFormat="1" ht="15">
      <c r="A52" s="505" t="s">
        <v>2549</v>
      </c>
      <c r="B52" s="506"/>
      <c r="C52" s="1576" t="str">
        <f>YEAR(C7)&amp;"-"&amp;MONTH(C7)</f>
        <v>2017-12</v>
      </c>
      <c r="D52" s="1577">
        <f>EDATE(C52,-1)</f>
        <v>43040</v>
      </c>
      <c r="E52" s="1577">
        <f t="shared" ref="E52:O52" si="16">EDATE(D52,-1)</f>
        <v>43009</v>
      </c>
      <c r="F52" s="1577">
        <f t="shared" si="16"/>
        <v>42979</v>
      </c>
      <c r="G52" s="1577">
        <f t="shared" si="16"/>
        <v>42948</v>
      </c>
      <c r="H52" s="1577">
        <f t="shared" si="16"/>
        <v>42917</v>
      </c>
      <c r="I52" s="1577">
        <f t="shared" si="16"/>
        <v>42887</v>
      </c>
      <c r="J52" s="1577">
        <f t="shared" si="16"/>
        <v>42856</v>
      </c>
      <c r="K52" s="1577">
        <f t="shared" si="16"/>
        <v>42826</v>
      </c>
      <c r="L52" s="1577">
        <f t="shared" si="16"/>
        <v>42795</v>
      </c>
      <c r="M52" s="1577">
        <f t="shared" si="16"/>
        <v>42767</v>
      </c>
      <c r="N52" s="1577">
        <f t="shared" si="16"/>
        <v>42736</v>
      </c>
      <c r="O52" s="1577">
        <f t="shared" si="16"/>
        <v>42705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2589</v>
      </c>
      <c r="B57" s="528" t="s">
        <v>2555</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7"/>
      <c r="B87" s="569"/>
      <c r="C87" s="570"/>
      <c r="D87" s="570"/>
      <c r="E87" s="570"/>
      <c r="F87" s="570"/>
      <c r="G87" s="591"/>
      <c r="H87" s="591"/>
      <c r="I87" s="591"/>
      <c r="J87" s="591"/>
      <c r="K87" s="591"/>
      <c r="L87" s="591"/>
      <c r="M87" s="592"/>
      <c r="N87" s="1155"/>
      <c r="O87" s="1155"/>
      <c r="P87" s="45"/>
      <c r="Q87" s="504"/>
    </row>
    <row r="88" spans="1:17">
      <c r="A88" s="527" t="s">
        <v>2564</v>
      </c>
      <c r="B88" s="528" t="s">
        <v>2613</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2615</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2617</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2618</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2619</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2621</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7"/>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12" priority="16" stopIfTrue="1" operator="containsText" text="超过">
      <formula>NOT(ISERROR(SEARCH("超过",F46)))</formula>
    </cfRule>
  </conditionalFormatting>
  <conditionalFormatting sqref="H48">
    <cfRule type="containsText" dxfId="111" priority="15" stopIfTrue="1" operator="containsText" text="超过">
      <formula>NOT(ISERROR(SEARCH("超过",H48)))</formula>
    </cfRule>
  </conditionalFormatting>
  <conditionalFormatting sqref="F48">
    <cfRule type="containsText" dxfId="110" priority="14" stopIfTrue="1" operator="containsText" text="超过">
      <formula>NOT(ISERROR(SEARCH("超过",F48)))</formula>
    </cfRule>
  </conditionalFormatting>
  <conditionalFormatting sqref="F47 H47">
    <cfRule type="containsText" dxfId="109" priority="13" stopIfTrue="1" operator="containsText" text="超过">
      <formula>NOT(ISERROR(SEARCH("超过",F47)))</formula>
    </cfRule>
  </conditionalFormatting>
  <conditionalFormatting sqref="E46">
    <cfRule type="expression" dxfId="108" priority="12" stopIfTrue="1">
      <formula>$F$46="超过30%"</formula>
    </cfRule>
  </conditionalFormatting>
  <conditionalFormatting sqref="E47">
    <cfRule type="expression" dxfId="107" priority="11" stopIfTrue="1">
      <formula>$F$47="超过20%"</formula>
    </cfRule>
  </conditionalFormatting>
  <conditionalFormatting sqref="E48">
    <cfRule type="expression" dxfId="106" priority="10" stopIfTrue="1">
      <formula>$F$48="超过30%"</formula>
    </cfRule>
  </conditionalFormatting>
  <conditionalFormatting sqref="G48">
    <cfRule type="expression" dxfId="105" priority="9" stopIfTrue="1">
      <formula>$H$48="超过30%"</formula>
    </cfRule>
  </conditionalFormatting>
  <conditionalFormatting sqref="G46">
    <cfRule type="expression" dxfId="104" priority="8" stopIfTrue="1">
      <formula>$H$46="超过30%"</formula>
    </cfRule>
  </conditionalFormatting>
  <conditionalFormatting sqref="G47">
    <cfRule type="expression" dxfId="103" priority="7" stopIfTrue="1">
      <formula>$H$47="超过20%"</formula>
    </cfRule>
  </conditionalFormatting>
  <conditionalFormatting sqref="J46">
    <cfRule type="containsText" dxfId="102" priority="6" stopIfTrue="1" operator="containsText" text="超过">
      <formula>NOT(ISERROR(SEARCH("超过",J46)))</formula>
    </cfRule>
  </conditionalFormatting>
  <conditionalFormatting sqref="J48">
    <cfRule type="containsText" dxfId="101" priority="5" stopIfTrue="1" operator="containsText" text="超过">
      <formula>NOT(ISERROR(SEARCH("超过",J48)))</formula>
    </cfRule>
  </conditionalFormatting>
  <conditionalFormatting sqref="J47">
    <cfRule type="containsText" dxfId="100" priority="4" stopIfTrue="1" operator="containsText" text="超过">
      <formula>NOT(ISERROR(SEARCH("超过",J47)))</formula>
    </cfRule>
  </conditionalFormatting>
  <conditionalFormatting sqref="I46">
    <cfRule type="expression" dxfId="99" priority="3" stopIfTrue="1">
      <formula>$J$46="超过30%"</formula>
    </cfRule>
  </conditionalFormatting>
  <conditionalFormatting sqref="I47">
    <cfRule type="expression" dxfId="98" priority="2" stopIfTrue="1">
      <formula>$J$47="超过20%"</formula>
    </cfRule>
  </conditionalFormatting>
  <conditionalFormatting sqref="I48">
    <cfRule type="expression" dxfId="9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24"/>
      <c r="F1" s="2585"/>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2328</v>
      </c>
      <c r="B2" s="1420" t="e">
        <f ca="1">IF(C2="——",IF(B37="元/平方米",ROUND(C39*D3/10000,0),ROUND(F3*C39/10000,0)),IF(B37="元/平方米",ROUND(C39*D3/10000,0),ROUND(F3*C39/10000,0))-D2)</f>
        <v>#DIV/0!</v>
      </c>
      <c r="C2" s="2587"/>
      <c r="D2" s="1126" t="e">
        <f ca="1">SUMIF(INDIRECT("'"&amp;F2&amp;"'"&amp;"!A:A"),"承租人权益价值",INDIRECT("'"&amp;F2&amp;"'"&amp;"!c:c"))</f>
        <v>#REF!</v>
      </c>
      <c r="E2" s="2588" t="s">
        <v>2329</v>
      </c>
      <c r="F2" s="2589"/>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2646</v>
      </c>
      <c r="B4" s="402"/>
      <c r="C4" s="3224" t="s">
        <v>2647</v>
      </c>
      <c r="D4" s="3225"/>
      <c r="E4" s="3226" t="s">
        <v>2648</v>
      </c>
      <c r="F4" s="3227"/>
      <c r="G4" s="3224" t="s">
        <v>2649</v>
      </c>
      <c r="H4" s="3225"/>
      <c r="I4" s="3224" t="s">
        <v>2650</v>
      </c>
      <c r="J4" s="3225"/>
      <c r="K4" s="610" t="s">
        <v>2651</v>
      </c>
      <c r="L4" s="1132"/>
      <c r="M4" s="1133"/>
      <c r="N4" s="1133"/>
      <c r="O4" s="1133"/>
      <c r="P4" s="3286" t="s">
        <v>2652</v>
      </c>
      <c r="Q4" s="3287"/>
      <c r="R4" s="3282" t="s">
        <v>2648</v>
      </c>
      <c r="S4" s="3283"/>
      <c r="T4" s="3282" t="s">
        <v>2649</v>
      </c>
      <c r="U4" s="3283"/>
      <c r="V4" s="3237" t="s">
        <v>2650</v>
      </c>
      <c r="W4" s="3237"/>
      <c r="X4" s="1815"/>
      <c r="Y4" s="3282" t="s">
        <v>2652</v>
      </c>
      <c r="Z4" s="3283"/>
      <c r="AA4" s="3281" t="s">
        <v>2648</v>
      </c>
      <c r="AB4" s="3203" t="s">
        <v>2649</v>
      </c>
      <c r="AC4" s="3281" t="s">
        <v>2650</v>
      </c>
    </row>
    <row r="5" spans="1:29" ht="15">
      <c r="A5" s="404"/>
      <c r="B5" s="405"/>
      <c r="C5" s="3217" t="s">
        <v>2543</v>
      </c>
      <c r="D5" s="3214"/>
      <c r="E5" s="3284" t="s">
        <v>2544</v>
      </c>
      <c r="F5" s="3212"/>
      <c r="G5" s="3217" t="s">
        <v>2545</v>
      </c>
      <c r="H5" s="3214"/>
      <c r="I5" s="3217" t="s">
        <v>2546</v>
      </c>
      <c r="J5" s="3214"/>
      <c r="K5" s="610"/>
      <c r="L5" s="1132"/>
      <c r="M5" s="1133"/>
      <c r="N5" s="1133"/>
      <c r="O5" s="1133"/>
      <c r="P5" s="3288"/>
      <c r="Q5" s="3231"/>
      <c r="R5" s="3209"/>
      <c r="S5" s="3210"/>
      <c r="T5" s="3209"/>
      <c r="U5" s="3210"/>
      <c r="V5" s="3237"/>
      <c r="W5" s="3237"/>
      <c r="X5" s="1815"/>
      <c r="Y5" s="3209"/>
      <c r="Z5" s="3210"/>
      <c r="AA5" s="3203"/>
      <c r="AB5" s="3203"/>
      <c r="AC5" s="3203"/>
    </row>
    <row r="6" spans="1:29" ht="15.75" thickBot="1">
      <c r="A6" s="406"/>
      <c r="B6" s="407"/>
      <c r="C6" s="3238" t="s">
        <v>2547</v>
      </c>
      <c r="D6" s="3216"/>
      <c r="E6" s="3285" t="s">
        <v>2547</v>
      </c>
      <c r="F6" s="3219"/>
      <c r="G6" s="3238" t="s">
        <v>2547</v>
      </c>
      <c r="H6" s="3216"/>
      <c r="I6" s="3238" t="s">
        <v>2547</v>
      </c>
      <c r="J6" s="3216"/>
      <c r="K6" s="610" t="s">
        <v>2548</v>
      </c>
      <c r="L6" s="1132"/>
      <c r="M6" s="1133"/>
      <c r="N6" s="1133"/>
      <c r="O6" s="1133"/>
      <c r="P6" s="3289"/>
      <c r="Q6" s="3233"/>
      <c r="R6" s="3209"/>
      <c r="S6" s="3210"/>
      <c r="T6" s="3234"/>
      <c r="U6" s="3235"/>
      <c r="V6" s="3237"/>
      <c r="W6" s="3237"/>
      <c r="X6" s="1815"/>
      <c r="Y6" s="3234"/>
      <c r="Z6" s="3235"/>
      <c r="AA6" s="3204"/>
      <c r="AB6" s="3204"/>
      <c r="AC6" s="3204"/>
    </row>
    <row r="7" spans="1:29" s="117" customFormat="1" ht="15.75" thickBot="1">
      <c r="A7" s="408" t="s">
        <v>2549</v>
      </c>
      <c r="B7" s="409"/>
      <c r="C7" s="410">
        <f>'数据-取费表'!B2</f>
        <v>43100</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05" t="s">
        <v>2550</v>
      </c>
      <c r="Q7" s="3240"/>
      <c r="R7" s="770" t="s">
        <v>17</v>
      </c>
      <c r="S7" s="771">
        <f t="shared" ref="S7:S14" si="0">F7</f>
        <v>0</v>
      </c>
      <c r="T7" s="770" t="s">
        <v>17</v>
      </c>
      <c r="U7" s="771">
        <f t="shared" ref="U7:U14" si="1">H7</f>
        <v>0</v>
      </c>
      <c r="V7" s="770" t="s">
        <v>17</v>
      </c>
      <c r="W7" s="771">
        <f t="shared" ref="W7:W14" si="2">J7</f>
        <v>0</v>
      </c>
      <c r="X7" s="772"/>
      <c r="Y7" s="3205" t="s">
        <v>2550</v>
      </c>
      <c r="Z7" s="320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05" t="s">
        <v>2553</v>
      </c>
      <c r="Q8" s="3206"/>
      <c r="R8" s="770" t="s">
        <v>17</v>
      </c>
      <c r="S8" s="771">
        <f t="shared" si="0"/>
        <v>0</v>
      </c>
      <c r="T8" s="770" t="s">
        <v>17</v>
      </c>
      <c r="U8" s="771">
        <f t="shared" si="1"/>
        <v>0</v>
      </c>
      <c r="V8" s="770" t="s">
        <v>17</v>
      </c>
      <c r="W8" s="771">
        <f t="shared" si="2"/>
        <v>0</v>
      </c>
      <c r="X8" s="772"/>
      <c r="Y8" s="3205" t="s">
        <v>2553</v>
      </c>
      <c r="Z8" s="320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50" t="s">
        <v>2556</v>
      </c>
      <c r="Q9" s="1797" t="str">
        <f t="shared" ref="Q9:Q14" si="6">B9</f>
        <v>用途</v>
      </c>
      <c r="R9" s="770" t="s">
        <v>17</v>
      </c>
      <c r="S9" s="771">
        <f t="shared" si="0"/>
        <v>100</v>
      </c>
      <c r="T9" s="770" t="s">
        <v>17</v>
      </c>
      <c r="U9" s="771">
        <f t="shared" si="1"/>
        <v>100</v>
      </c>
      <c r="V9" s="770" t="s">
        <v>17</v>
      </c>
      <c r="W9" s="771">
        <f t="shared" si="2"/>
        <v>100</v>
      </c>
      <c r="X9" s="772"/>
      <c r="Y9" s="3074"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50"/>
      <c r="Q10" s="1797"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50"/>
      <c r="Q11" s="1797">
        <f t="shared" si="6"/>
        <v>111</v>
      </c>
      <c r="R11" s="770" t="s">
        <v>17</v>
      </c>
      <c r="S11" s="771">
        <f t="shared" si="0"/>
        <v>100</v>
      </c>
      <c r="T11" s="770" t="s">
        <v>17</v>
      </c>
      <c r="U11" s="771">
        <f t="shared" si="1"/>
        <v>100</v>
      </c>
      <c r="V11" s="770" t="s">
        <v>17</v>
      </c>
      <c r="W11" s="771">
        <f t="shared" si="2"/>
        <v>100</v>
      </c>
      <c r="X11" s="772"/>
      <c r="Y11" s="307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50"/>
      <c r="Q12" s="1797">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50"/>
      <c r="Q13" s="1797">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773">
        <f t="shared" si="5"/>
        <v>1</v>
      </c>
    </row>
    <row r="14" spans="1:29" ht="142.5">
      <c r="A14" s="401" t="s">
        <v>2560</v>
      </c>
      <c r="B14" s="629" t="s">
        <v>2710</v>
      </c>
      <c r="C14" s="2694" t="str">
        <f>IF(B1="工业",估价对象房地状况!G4,估价对象房地状况!C6)</f>
        <v>估价对象周边道路较为密集，公共交通通达情况较好，1公里内有350路、411路及地铁1号线等公共交通，停车便捷程度较好，综合评价交通便捷度较好。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43" t="s">
        <v>2561</v>
      </c>
      <c r="Q14" s="1812" t="str">
        <f t="shared" si="6"/>
        <v>交通便捷度</v>
      </c>
      <c r="R14" s="774" t="s">
        <v>17</v>
      </c>
      <c r="S14" s="775">
        <f t="shared" si="0"/>
        <v>100</v>
      </c>
      <c r="T14" s="774" t="s">
        <v>17</v>
      </c>
      <c r="U14" s="775">
        <f t="shared" si="1"/>
        <v>100</v>
      </c>
      <c r="V14" s="774" t="s">
        <v>17</v>
      </c>
      <c r="W14" s="775">
        <f t="shared" si="2"/>
        <v>100</v>
      </c>
      <c r="X14" s="1815"/>
      <c r="Y14" s="3243" t="s">
        <v>2561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44"/>
      <c r="Q15" s="1812"/>
      <c r="R15" s="774"/>
      <c r="S15" s="775"/>
      <c r="T15" s="774"/>
      <c r="U15" s="775"/>
      <c r="V15" s="774"/>
      <c r="W15" s="775"/>
      <c r="X15" s="1815"/>
      <c r="Y15" s="3244"/>
      <c r="Z15" s="1816"/>
      <c r="AA15" s="1813">
        <v>1</v>
      </c>
      <c r="AB15" s="1813">
        <v>1</v>
      </c>
      <c r="AC15" s="1813">
        <v>1</v>
      </c>
    </row>
    <row r="16" spans="1:29" ht="199.5">
      <c r="A16" s="404"/>
      <c r="B16" s="631" t="s">
        <v>2689</v>
      </c>
      <c r="C16" s="2608" t="str">
        <f>IF(B1="工业",估价对象房地状况!G5,估价对象房地状况!C7)</f>
        <v>估价对象所在区域1公里范围内，有银行（中国工商银行、中国银行），购物（卜蜂莲花、物美超市），医院（民航总医院），学校（朝阳区兴隆小学、星河实验学校）等，公共配套设施齐备情况较好。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44"/>
      <c r="Q16" s="1812" t="str">
        <f>B16</f>
        <v>公共配套设施</v>
      </c>
      <c r="R16" s="774" t="s">
        <v>17</v>
      </c>
      <c r="S16" s="775">
        <f>F16</f>
        <v>100</v>
      </c>
      <c r="T16" s="774" t="s">
        <v>17</v>
      </c>
      <c r="U16" s="775">
        <f>H16</f>
        <v>100</v>
      </c>
      <c r="V16" s="774" t="s">
        <v>17</v>
      </c>
      <c r="W16" s="775">
        <f>J16</f>
        <v>100</v>
      </c>
      <c r="X16" s="1815"/>
      <c r="Y16" s="3244"/>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2"/>
      <c r="M17" s="1133"/>
      <c r="N17" s="1133"/>
      <c r="O17" s="1133"/>
      <c r="P17" s="3244"/>
      <c r="Q17" s="1812"/>
      <c r="R17" s="774"/>
      <c r="S17" s="775"/>
      <c r="T17" s="774"/>
      <c r="U17" s="775"/>
      <c r="V17" s="774"/>
      <c r="W17" s="775"/>
      <c r="X17" s="1815"/>
      <c r="Y17" s="3244"/>
      <c r="Z17" s="1816"/>
      <c r="AA17" s="1813">
        <v>1</v>
      </c>
      <c r="AB17" s="1813">
        <v>1</v>
      </c>
      <c r="AC17" s="1813">
        <v>1</v>
      </c>
    </row>
    <row r="18" spans="1:29" ht="42.75">
      <c r="A18" s="404"/>
      <c r="B18" s="633" t="s">
        <v>2690</v>
      </c>
      <c r="C18" s="2608"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44"/>
      <c r="Q18" s="1812" t="str">
        <f>B18</f>
        <v>基础设施水平</v>
      </c>
      <c r="R18" s="774" t="s">
        <v>17</v>
      </c>
      <c r="S18" s="775">
        <f>F18</f>
        <v>100</v>
      </c>
      <c r="T18" s="774" t="s">
        <v>17</v>
      </c>
      <c r="U18" s="775">
        <f>H18</f>
        <v>100</v>
      </c>
      <c r="V18" s="774" t="s">
        <v>17</v>
      </c>
      <c r="W18" s="775">
        <f>J18</f>
        <v>100</v>
      </c>
      <c r="X18" s="1815"/>
      <c r="Y18" s="3244"/>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5"/>
      <c r="L19" s="1142"/>
      <c r="M19" s="1133"/>
      <c r="N19" s="1133"/>
      <c r="O19" s="1133"/>
      <c r="P19" s="3244"/>
      <c r="Q19" s="1812"/>
      <c r="R19" s="774"/>
      <c r="S19" s="775"/>
      <c r="T19" s="774"/>
      <c r="U19" s="775"/>
      <c r="V19" s="774"/>
      <c r="W19" s="775"/>
      <c r="X19" s="1815"/>
      <c r="Y19" s="3244"/>
      <c r="Z19" s="1816"/>
      <c r="AA19" s="1813">
        <v>1</v>
      </c>
      <c r="AB19" s="1813">
        <v>1</v>
      </c>
      <c r="AC19" s="1813">
        <v>1</v>
      </c>
    </row>
    <row r="20" spans="1:29" ht="71.25">
      <c r="A20" s="404"/>
      <c r="B20" s="631" t="s">
        <v>2711</v>
      </c>
      <c r="C20" s="2608" t="str">
        <f>IF(B1="工业",估价对象房地状况!G7,估价对象房地状况!C9)</f>
        <v>区域自然环境：兴隆公园；人文环境：中国传媒大学；综合评价环境状况较好。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44"/>
      <c r="Q20" s="1812" t="str">
        <f>B20</f>
        <v>自然及人文环境</v>
      </c>
      <c r="R20" s="774" t="s">
        <v>17</v>
      </c>
      <c r="S20" s="775">
        <f>F20</f>
        <v>100</v>
      </c>
      <c r="T20" s="774" t="s">
        <v>17</v>
      </c>
      <c r="U20" s="775">
        <f>H20</f>
        <v>100</v>
      </c>
      <c r="V20" s="774" t="s">
        <v>17</v>
      </c>
      <c r="W20" s="775">
        <f>J20</f>
        <v>100</v>
      </c>
      <c r="X20" s="1815"/>
      <c r="Y20" s="324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44"/>
      <c r="Q21" s="1812"/>
      <c r="R21" s="774"/>
      <c r="S21" s="775"/>
      <c r="T21" s="774"/>
      <c r="U21" s="775"/>
      <c r="V21" s="774"/>
      <c r="W21" s="775"/>
      <c r="X21" s="1815"/>
      <c r="Y21" s="3244"/>
      <c r="Z21" s="1816"/>
      <c r="AA21" s="1813">
        <v>1</v>
      </c>
      <c r="AB21" s="1813">
        <v>1</v>
      </c>
      <c r="AC21" s="1813">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44"/>
      <c r="Q22" s="1812" t="str">
        <f>B22</f>
        <v>楼层</v>
      </c>
      <c r="R22" s="774" t="s">
        <v>17</v>
      </c>
      <c r="S22" s="775">
        <f>F22</f>
        <v>100</v>
      </c>
      <c r="T22" s="774" t="s">
        <v>17</v>
      </c>
      <c r="U22" s="775">
        <f>H22</f>
        <v>100</v>
      </c>
      <c r="V22" s="774" t="s">
        <v>17</v>
      </c>
      <c r="W22" s="775">
        <f>J22</f>
        <v>100</v>
      </c>
      <c r="X22" s="1815"/>
      <c r="Y22" s="324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44"/>
      <c r="Q23" s="1812">
        <f>B23</f>
        <v>111</v>
      </c>
      <c r="R23" s="774" t="s">
        <v>17</v>
      </c>
      <c r="S23" s="775">
        <f>F23</f>
        <v>100</v>
      </c>
      <c r="T23" s="774" t="s">
        <v>17</v>
      </c>
      <c r="U23" s="775">
        <f>H23</f>
        <v>100</v>
      </c>
      <c r="V23" s="774" t="s">
        <v>17</v>
      </c>
      <c r="W23" s="775">
        <f>J23</f>
        <v>100</v>
      </c>
      <c r="X23" s="1815"/>
      <c r="Y23" s="324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44"/>
      <c r="Q24" s="1812">
        <f t="shared" ref="Q24:Q36" si="11">B24</f>
        <v>111</v>
      </c>
      <c r="R24" s="774" t="s">
        <v>17</v>
      </c>
      <c r="S24" s="775">
        <f>F24</f>
        <v>100</v>
      </c>
      <c r="T24" s="774" t="s">
        <v>17</v>
      </c>
      <c r="U24" s="775">
        <f>H24</f>
        <v>100</v>
      </c>
      <c r="V24" s="774" t="s">
        <v>17</v>
      </c>
      <c r="W24" s="775">
        <f>J24</f>
        <v>100</v>
      </c>
      <c r="X24" s="1815"/>
      <c r="Y24" s="324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44"/>
      <c r="Q25" s="1797">
        <f t="shared" si="11"/>
        <v>111</v>
      </c>
      <c r="R25" s="770" t="s">
        <v>17</v>
      </c>
      <c r="S25" s="771">
        <f>F25</f>
        <v>100</v>
      </c>
      <c r="T25" s="770" t="s">
        <v>17</v>
      </c>
      <c r="U25" s="771">
        <f>H25</f>
        <v>100</v>
      </c>
      <c r="V25" s="770" t="s">
        <v>17</v>
      </c>
      <c r="W25" s="771">
        <f>J25</f>
        <v>100</v>
      </c>
      <c r="X25" s="772"/>
      <c r="Y25" s="3244"/>
      <c r="Z25" s="55">
        <f>Q25</f>
        <v>111</v>
      </c>
      <c r="AA25" s="1813">
        <f>D25/F25</f>
        <v>1</v>
      </c>
      <c r="AB25" s="1813">
        <f>D25/H25</f>
        <v>1</v>
      </c>
      <c r="AC25" s="1813">
        <f>D25/J25</f>
        <v>1</v>
      </c>
    </row>
    <row r="26" spans="1:29" ht="15">
      <c r="A26" s="652" t="s">
        <v>2564</v>
      </c>
      <c r="B26" s="70" t="s">
        <v>2713</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93" t="s">
        <v>2566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48" t="s">
        <v>2566</v>
      </c>
      <c r="Z26" s="1816" t="str">
        <f t="shared" ref="Z26:Z36" si="15">Q26</f>
        <v>配套类型</v>
      </c>
      <c r="AA26" s="1813">
        <f t="shared" si="3"/>
        <v>1</v>
      </c>
      <c r="AB26" s="1813">
        <f t="shared" si="4"/>
        <v>1</v>
      </c>
      <c r="AC26" s="1813">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48"/>
      <c r="Q27" s="776" t="str">
        <f t="shared" si="11"/>
        <v>项目停车位配比</v>
      </c>
      <c r="R27" s="777" t="s">
        <v>17</v>
      </c>
      <c r="S27" s="778">
        <f t="shared" si="12"/>
        <v>100</v>
      </c>
      <c r="T27" s="777" t="s">
        <v>17</v>
      </c>
      <c r="U27" s="778">
        <f t="shared" si="13"/>
        <v>100</v>
      </c>
      <c r="V27" s="777" t="s">
        <v>17</v>
      </c>
      <c r="W27" s="778">
        <f t="shared" si="14"/>
        <v>100</v>
      </c>
      <c r="X27" s="779"/>
      <c r="Y27" s="3248"/>
      <c r="Z27" s="780" t="str">
        <f t="shared" si="15"/>
        <v>项目停车位配比</v>
      </c>
      <c r="AA27" s="1813">
        <f t="shared" si="3"/>
        <v>1</v>
      </c>
      <c r="AB27" s="1813">
        <f t="shared" si="4"/>
        <v>1</v>
      </c>
      <c r="AC27" s="1813">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48"/>
      <c r="Q28" s="1812" t="str">
        <f t="shared" si="11"/>
        <v>公共部分装修</v>
      </c>
      <c r="R28" s="774" t="s">
        <v>17</v>
      </c>
      <c r="S28" s="775">
        <f t="shared" si="12"/>
        <v>100</v>
      </c>
      <c r="T28" s="774" t="s">
        <v>17</v>
      </c>
      <c r="U28" s="775">
        <f t="shared" si="13"/>
        <v>100</v>
      </c>
      <c r="V28" s="774" t="s">
        <v>17</v>
      </c>
      <c r="W28" s="775">
        <f t="shared" si="14"/>
        <v>100</v>
      </c>
      <c r="X28" s="1815"/>
      <c r="Y28" s="3248"/>
      <c r="Z28" s="1816" t="str">
        <f t="shared" si="15"/>
        <v>公共部分装修</v>
      </c>
      <c r="AA28" s="1813">
        <f t="shared" si="3"/>
        <v>1</v>
      </c>
      <c r="AB28" s="1813">
        <f t="shared" si="4"/>
        <v>1</v>
      </c>
      <c r="AC28" s="1813">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48"/>
      <c r="Q29" s="1812" t="str">
        <f t="shared" si="11"/>
        <v>成新率</v>
      </c>
      <c r="R29" s="774" t="s">
        <v>17</v>
      </c>
      <c r="S29" s="775" t="e">
        <f t="shared" si="12"/>
        <v>#N/A</v>
      </c>
      <c r="T29" s="774" t="s">
        <v>17</v>
      </c>
      <c r="U29" s="775" t="e">
        <f t="shared" si="13"/>
        <v>#N/A</v>
      </c>
      <c r="V29" s="774" t="s">
        <v>17</v>
      </c>
      <c r="W29" s="775" t="e">
        <f t="shared" si="14"/>
        <v>#N/A</v>
      </c>
      <c r="X29" s="1815"/>
      <c r="Y29" s="3248"/>
      <c r="Z29" s="1816" t="str">
        <f t="shared" si="15"/>
        <v>成新率</v>
      </c>
      <c r="AA29" s="1813" t="e">
        <f t="shared" si="3"/>
        <v>#N/A</v>
      </c>
      <c r="AB29" s="1813" t="e">
        <f t="shared" si="4"/>
        <v>#N/A</v>
      </c>
      <c r="AC29" s="1813"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48"/>
      <c r="Q30" s="1812" t="str">
        <f t="shared" si="11"/>
        <v>物业等级</v>
      </c>
      <c r="R30" s="774" t="s">
        <v>17</v>
      </c>
      <c r="S30" s="775">
        <f t="shared" si="12"/>
        <v>100</v>
      </c>
      <c r="T30" s="774" t="s">
        <v>17</v>
      </c>
      <c r="U30" s="775">
        <f t="shared" si="13"/>
        <v>100</v>
      </c>
      <c r="V30" s="774" t="s">
        <v>17</v>
      </c>
      <c r="W30" s="775">
        <f t="shared" si="14"/>
        <v>100</v>
      </c>
      <c r="X30" s="1815"/>
      <c r="Y30" s="3248"/>
      <c r="Z30" s="1816" t="str">
        <f t="shared" si="15"/>
        <v>物业等级</v>
      </c>
      <c r="AA30" s="1813">
        <f t="shared" si="3"/>
        <v>1</v>
      </c>
      <c r="AB30" s="1813">
        <f t="shared" si="4"/>
        <v>1</v>
      </c>
      <c r="AC30" s="1813">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48"/>
      <c r="Q31" s="1797" t="str">
        <f t="shared" si="11"/>
        <v>停车位面积</v>
      </c>
      <c r="R31" s="770" t="s">
        <v>17</v>
      </c>
      <c r="S31" s="771" t="e">
        <f t="shared" si="12"/>
        <v>#N/A</v>
      </c>
      <c r="T31" s="770" t="s">
        <v>17</v>
      </c>
      <c r="U31" s="771" t="e">
        <f t="shared" si="13"/>
        <v>#N/A</v>
      </c>
      <c r="V31" s="770" t="s">
        <v>17</v>
      </c>
      <c r="W31" s="771" t="e">
        <f t="shared" si="14"/>
        <v>#N/A</v>
      </c>
      <c r="X31" s="772"/>
      <c r="Y31" s="324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48" t="s">
        <v>2566</v>
      </c>
      <c r="Q32" s="1812" t="str">
        <f t="shared" si="11"/>
        <v>车位类型</v>
      </c>
      <c r="R32" s="774" t="s">
        <v>17</v>
      </c>
      <c r="S32" s="775">
        <f t="shared" si="12"/>
        <v>100</v>
      </c>
      <c r="T32" s="774" t="s">
        <v>17</v>
      </c>
      <c r="U32" s="775">
        <f t="shared" si="13"/>
        <v>100</v>
      </c>
      <c r="V32" s="774" t="s">
        <v>17</v>
      </c>
      <c r="W32" s="775">
        <f t="shared" si="14"/>
        <v>100</v>
      </c>
      <c r="X32" s="1815"/>
      <c r="Y32" s="3248" t="s">
        <v>2566</v>
      </c>
      <c r="Z32" s="1816" t="str">
        <f t="shared" si="15"/>
        <v>车位类型</v>
      </c>
      <c r="AA32" s="1813">
        <f t="shared" si="3"/>
        <v>1</v>
      </c>
      <c r="AB32" s="1813">
        <f t="shared" si="4"/>
        <v>1</v>
      </c>
      <c r="AC32" s="1813">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48"/>
      <c r="Q33" s="1812" t="str">
        <f t="shared" si="11"/>
        <v>是否直接入户</v>
      </c>
      <c r="R33" s="774" t="s">
        <v>17</v>
      </c>
      <c r="S33" s="775">
        <f t="shared" si="12"/>
        <v>100</v>
      </c>
      <c r="T33" s="774" t="s">
        <v>17</v>
      </c>
      <c r="U33" s="775">
        <f t="shared" si="13"/>
        <v>100</v>
      </c>
      <c r="V33" s="774" t="s">
        <v>17</v>
      </c>
      <c r="W33" s="775">
        <f t="shared" si="14"/>
        <v>100</v>
      </c>
      <c r="X33" s="1815"/>
      <c r="Y33" s="324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48"/>
      <c r="Q34" s="1812">
        <f t="shared" si="11"/>
        <v>111</v>
      </c>
      <c r="R34" s="774" t="s">
        <v>17</v>
      </c>
      <c r="S34" s="775">
        <f t="shared" si="12"/>
        <v>100</v>
      </c>
      <c r="T34" s="774" t="s">
        <v>17</v>
      </c>
      <c r="U34" s="775">
        <f t="shared" si="13"/>
        <v>100</v>
      </c>
      <c r="V34" s="774" t="s">
        <v>17</v>
      </c>
      <c r="W34" s="775">
        <f t="shared" si="14"/>
        <v>100</v>
      </c>
      <c r="X34" s="1815"/>
      <c r="Y34" s="324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48"/>
      <c r="Q35" s="776">
        <f t="shared" si="11"/>
        <v>111</v>
      </c>
      <c r="R35" s="777" t="s">
        <v>17</v>
      </c>
      <c r="S35" s="778">
        <f t="shared" si="12"/>
        <v>100</v>
      </c>
      <c r="T35" s="777" t="s">
        <v>17</v>
      </c>
      <c r="U35" s="778">
        <f t="shared" si="13"/>
        <v>100</v>
      </c>
      <c r="V35" s="777" t="s">
        <v>17</v>
      </c>
      <c r="W35" s="778">
        <f t="shared" si="14"/>
        <v>100</v>
      </c>
      <c r="X35" s="779"/>
      <c r="Y35" s="324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48"/>
      <c r="Q36" s="1812">
        <f t="shared" si="11"/>
        <v>111</v>
      </c>
      <c r="R36" s="774" t="s">
        <v>17</v>
      </c>
      <c r="S36" s="775">
        <f t="shared" si="12"/>
        <v>100</v>
      </c>
      <c r="T36" s="774" t="s">
        <v>17</v>
      </c>
      <c r="U36" s="775">
        <f t="shared" si="13"/>
        <v>100</v>
      </c>
      <c r="V36" s="774" t="s">
        <v>17</v>
      </c>
      <c r="W36" s="775">
        <f t="shared" si="14"/>
        <v>100</v>
      </c>
      <c r="X36" s="1815"/>
      <c r="Y36" s="3248"/>
      <c r="Z36" s="1816">
        <f t="shared" si="15"/>
        <v>111</v>
      </c>
      <c r="AA36" s="1813">
        <f t="shared" si="3"/>
        <v>1</v>
      </c>
      <c r="AB36" s="1813">
        <f t="shared" si="4"/>
        <v>1</v>
      </c>
      <c r="AC36" s="1813">
        <f t="shared" si="5"/>
        <v>1</v>
      </c>
    </row>
    <row r="37" spans="1:29" ht="15">
      <c r="A37" s="479" t="s">
        <v>2721</v>
      </c>
      <c r="B37" s="2696" t="s">
        <v>2722</v>
      </c>
      <c r="C37" s="1409" t="s">
        <v>1</v>
      </c>
      <c r="D37" s="1410"/>
      <c r="E37" s="1411"/>
      <c r="F37" s="1412"/>
      <c r="G37" s="1413"/>
      <c r="H37" s="1414"/>
      <c r="I37" s="1411"/>
      <c r="J37" s="1414"/>
      <c r="K37" s="619"/>
      <c r="L37" s="1145"/>
      <c r="M37" s="1146"/>
      <c r="N37" s="1133"/>
      <c r="O37" s="1146"/>
      <c r="P37" s="3250" t="str">
        <f>A37</f>
        <v>成交单价</v>
      </c>
      <c r="Q37" s="3250"/>
      <c r="R37" s="3251">
        <f>E37</f>
        <v>0</v>
      </c>
      <c r="S37" s="3251"/>
      <c r="T37" s="3251">
        <f>G37</f>
        <v>0</v>
      </c>
      <c r="U37" s="3251"/>
      <c r="V37" s="3251">
        <f>I37</f>
        <v>0</v>
      </c>
      <c r="W37" s="3251"/>
      <c r="X37" s="759"/>
      <c r="Y37" s="781"/>
      <c r="Z37" s="759"/>
      <c r="AA37" s="759"/>
      <c r="AB37" s="759"/>
      <c r="AC37" s="759"/>
    </row>
    <row r="38" spans="1:29" ht="15.75" thickBot="1">
      <c r="A38" s="486" t="s">
        <v>2723</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50" t="str">
        <f>A38</f>
        <v>比较价值（元/平方米）</v>
      </c>
      <c r="Q38" s="3250"/>
      <c r="R38" s="3251" t="e">
        <f>IF(F1="售价",ROUND(PRODUCT(R37,AA7:AA36),0),ROUND(PRODUCT(R37,AA7:AA36),1))</f>
        <v>#DIV/0!</v>
      </c>
      <c r="S38" s="3251"/>
      <c r="T38" s="3251" t="e">
        <f>IF(F1="售价",ROUND(PRODUCT(T37,AB7:AB36),0),ROUND(PRODUCT(T37,AB7:AB36),1))</f>
        <v>#DIV/0!</v>
      </c>
      <c r="U38" s="3251"/>
      <c r="V38" s="3251" t="e">
        <f>IF(F1="售价",ROUND(PRODUCT(V37,AC7:AC36),0),ROUND(PRODUCT(V37,AC7:AC36),1))</f>
        <v>#DIV/0!</v>
      </c>
      <c r="W38" s="3251"/>
      <c r="X38" s="759"/>
      <c r="Y38" s="759"/>
      <c r="Z38" s="759"/>
      <c r="AA38" s="759"/>
      <c r="AB38" s="759"/>
      <c r="AC38" s="759"/>
    </row>
    <row r="39" spans="1:29" ht="15.75" thickBot="1">
      <c r="A39" s="492" t="s">
        <v>2724</v>
      </c>
      <c r="B39" s="493"/>
      <c r="C39" s="1419" t="e">
        <f>R39</f>
        <v>#DIV/0!</v>
      </c>
      <c r="D39" s="1419"/>
      <c r="E39" s="1419"/>
      <c r="F39" s="1419"/>
      <c r="G39" s="1419"/>
      <c r="H39" s="1419"/>
      <c r="I39" s="1419"/>
      <c r="J39" s="1419"/>
      <c r="K39" s="621"/>
      <c r="L39" s="1145"/>
      <c r="M39" s="1146"/>
      <c r="N39" s="1146"/>
      <c r="O39" s="1146"/>
      <c r="P39" s="3290" t="str">
        <f>A39</f>
        <v>估价对象XX用房的比较价值（楼面单价，元/平方米）</v>
      </c>
      <c r="Q39" s="3291"/>
      <c r="R39" s="3292" t="e">
        <f>IF(F1="售价",ROUND(AVERAGE(R38:V38),0),ROUND(AVERAGE(R38:V38),1))</f>
        <v>#DIV/0!</v>
      </c>
      <c r="S39" s="3292"/>
      <c r="T39" s="3292"/>
      <c r="U39" s="3292"/>
      <c r="V39" s="3292"/>
      <c r="W39" s="3292"/>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2729</v>
      </c>
      <c r="B48" s="506"/>
      <c r="C48" s="1576" t="str">
        <f>YEAR(C7)&amp;"-"&amp;MONTH(C7)</f>
        <v>2017-12</v>
      </c>
      <c r="D48" s="1577">
        <f>EDATE(C48,-1)</f>
        <v>43040</v>
      </c>
      <c r="E48" s="1577">
        <f t="shared" ref="E48:O48" si="16">EDATE(D48,-1)</f>
        <v>43009</v>
      </c>
      <c r="F48" s="1577">
        <f t="shared" si="16"/>
        <v>42979</v>
      </c>
      <c r="G48" s="1577">
        <f t="shared" si="16"/>
        <v>42948</v>
      </c>
      <c r="H48" s="1577">
        <f t="shared" si="16"/>
        <v>42917</v>
      </c>
      <c r="I48" s="1577">
        <f t="shared" si="16"/>
        <v>42887</v>
      </c>
      <c r="J48" s="1577">
        <f t="shared" si="16"/>
        <v>42856</v>
      </c>
      <c r="K48" s="1577">
        <f t="shared" si="16"/>
        <v>42826</v>
      </c>
      <c r="L48" s="1577">
        <f t="shared" si="16"/>
        <v>42795</v>
      </c>
      <c r="M48" s="1577">
        <f t="shared" si="16"/>
        <v>42767</v>
      </c>
      <c r="N48" s="1577">
        <f t="shared" si="16"/>
        <v>42736</v>
      </c>
      <c r="O48" s="1577">
        <f t="shared" si="16"/>
        <v>42705</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2551</v>
      </c>
      <c r="B51" s="510"/>
      <c r="C51" s="522" t="s">
        <v>2653</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2589</v>
      </c>
      <c r="B53" s="528" t="s">
        <v>2555</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2604</v>
      </c>
      <c r="C65" s="578" t="s">
        <v>2598</v>
      </c>
      <c r="D65" s="578" t="s">
        <v>2599</v>
      </c>
      <c r="E65" s="578" t="s">
        <v>2600</v>
      </c>
      <c r="F65" s="578" t="s">
        <v>2601</v>
      </c>
      <c r="G65" s="578" t="s">
        <v>2602</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2690</v>
      </c>
      <c r="C67" s="660" t="s">
        <v>2676</v>
      </c>
      <c r="D67" s="660" t="s">
        <v>2677</v>
      </c>
      <c r="E67" s="660" t="s">
        <v>2678</v>
      </c>
      <c r="F67" s="660" t="s">
        <v>2679</v>
      </c>
      <c r="G67" s="660" t="s">
        <v>2680</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2610</v>
      </c>
      <c r="C69" s="578" t="s">
        <v>2598</v>
      </c>
      <c r="D69" s="578" t="s">
        <v>2599</v>
      </c>
      <c r="E69" s="578" t="s">
        <v>2600</v>
      </c>
      <c r="F69" s="578" t="s">
        <v>2601</v>
      </c>
      <c r="G69" s="578" t="s">
        <v>2602</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2730</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2564</v>
      </c>
      <c r="B79" s="528" t="s">
        <v>2731</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2732</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2617</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2734</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2736</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2737</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96" priority="14" stopIfTrue="1" operator="containsText" text="超过">
      <formula>NOT(ISERROR(SEARCH("超过",F42)))</formula>
    </cfRule>
  </conditionalFormatting>
  <conditionalFormatting sqref="J44">
    <cfRule type="containsText" dxfId="95" priority="13" stopIfTrue="1" operator="containsText" text="超过">
      <formula>NOT(ISERROR(SEARCH("超过",J44)))</formula>
    </cfRule>
  </conditionalFormatting>
  <conditionalFormatting sqref="H44">
    <cfRule type="containsText" dxfId="94" priority="12" stopIfTrue="1" operator="containsText" text="超过">
      <formula>NOT(ISERROR(SEARCH("超过",H44)))</formula>
    </cfRule>
  </conditionalFormatting>
  <conditionalFormatting sqref="F44">
    <cfRule type="containsText" dxfId="93" priority="11" stopIfTrue="1" operator="containsText" text="超过">
      <formula>NOT(ISERROR(SEARCH("超过",F44)))</formula>
    </cfRule>
  </conditionalFormatting>
  <conditionalFormatting sqref="F43 H43 J43">
    <cfRule type="containsText" dxfId="92" priority="10" stopIfTrue="1" operator="containsText" text="超过">
      <formula>NOT(ISERROR(SEARCH("超过",F43)))</formula>
    </cfRule>
  </conditionalFormatting>
  <conditionalFormatting sqref="E42">
    <cfRule type="expression" dxfId="91" priority="9" stopIfTrue="1">
      <formula>$F$42="超过30%"</formula>
    </cfRule>
  </conditionalFormatting>
  <conditionalFormatting sqref="G44">
    <cfRule type="expression" dxfId="90" priority="8" stopIfTrue="1">
      <formula>$H$54+$H$44="超过30%"</formula>
    </cfRule>
  </conditionalFormatting>
  <conditionalFormatting sqref="E43">
    <cfRule type="expression" dxfId="89" priority="7" stopIfTrue="1">
      <formula>$F$43="超过20%"</formula>
    </cfRule>
  </conditionalFormatting>
  <conditionalFormatting sqref="E44">
    <cfRule type="expression" dxfId="88" priority="6" stopIfTrue="1">
      <formula>$F$44="超过30%"</formula>
    </cfRule>
  </conditionalFormatting>
  <conditionalFormatting sqref="G42">
    <cfRule type="expression" dxfId="87" priority="5" stopIfTrue="1">
      <formula>$H$52+$H$42="超过30%"</formula>
    </cfRule>
  </conditionalFormatting>
  <conditionalFormatting sqref="G43">
    <cfRule type="expression" dxfId="86" priority="4" stopIfTrue="1">
      <formula>$H$43="超过20%"</formula>
    </cfRule>
  </conditionalFormatting>
  <conditionalFormatting sqref="I42">
    <cfRule type="expression" dxfId="85" priority="3" stopIfTrue="1">
      <formula>$J$52+$J$42="超过30%"</formula>
    </cfRule>
  </conditionalFormatting>
  <conditionalFormatting sqref="I43">
    <cfRule type="expression" dxfId="84" priority="2" stopIfTrue="1">
      <formula>$J$53+$J$43="超过20%"</formula>
    </cfRule>
  </conditionalFormatting>
  <conditionalFormatting sqref="I44">
    <cfRule type="expression" dxfId="8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2646</v>
      </c>
      <c r="B4" s="402"/>
      <c r="C4" s="3224" t="s">
        <v>2647</v>
      </c>
      <c r="D4" s="3225"/>
      <c r="E4" s="3226" t="s">
        <v>2648</v>
      </c>
      <c r="F4" s="3227"/>
      <c r="G4" s="3224" t="s">
        <v>2649</v>
      </c>
      <c r="H4" s="3225"/>
      <c r="I4" s="3224" t="s">
        <v>2650</v>
      </c>
      <c r="J4" s="3225"/>
      <c r="K4" s="610" t="s">
        <v>2651</v>
      </c>
      <c r="L4" s="1132"/>
      <c r="M4" s="1133"/>
      <c r="N4" s="1133"/>
      <c r="O4" s="1133"/>
      <c r="P4" s="3286" t="s">
        <v>2652</v>
      </c>
      <c r="Q4" s="3287"/>
      <c r="R4" s="3282" t="s">
        <v>2648</v>
      </c>
      <c r="S4" s="3283"/>
      <c r="T4" s="3282" t="s">
        <v>2649</v>
      </c>
      <c r="U4" s="3283"/>
      <c r="V4" s="3237" t="s">
        <v>2650</v>
      </c>
      <c r="W4" s="3237"/>
      <c r="X4" s="1815"/>
      <c r="Y4" s="3282" t="s">
        <v>2652</v>
      </c>
      <c r="Z4" s="3283"/>
      <c r="AA4" s="3281" t="s">
        <v>2648</v>
      </c>
      <c r="AB4" s="3203" t="s">
        <v>2649</v>
      </c>
      <c r="AC4" s="3281" t="s">
        <v>2650</v>
      </c>
    </row>
    <row r="5" spans="1:30" ht="15">
      <c r="A5" s="404"/>
      <c r="B5" s="405"/>
      <c r="C5" s="3217" t="s">
        <v>2543</v>
      </c>
      <c r="D5" s="3214"/>
      <c r="E5" s="3284" t="s">
        <v>2544</v>
      </c>
      <c r="F5" s="3212"/>
      <c r="G5" s="3217" t="s">
        <v>2545</v>
      </c>
      <c r="H5" s="3214"/>
      <c r="I5" s="3217" t="s">
        <v>2546</v>
      </c>
      <c r="J5" s="3214"/>
      <c r="K5" s="610"/>
      <c r="L5" s="1132"/>
      <c r="M5" s="1133"/>
      <c r="N5" s="1133"/>
      <c r="O5" s="1133"/>
      <c r="P5" s="3288"/>
      <c r="Q5" s="3231"/>
      <c r="R5" s="3209"/>
      <c r="S5" s="3210"/>
      <c r="T5" s="3209"/>
      <c r="U5" s="3210"/>
      <c r="V5" s="3237"/>
      <c r="W5" s="3237"/>
      <c r="X5" s="1815"/>
      <c r="Y5" s="3209"/>
      <c r="Z5" s="3210"/>
      <c r="AA5" s="3203"/>
      <c r="AB5" s="3203"/>
      <c r="AC5" s="3203"/>
    </row>
    <row r="6" spans="1:30" ht="15.75" thickBot="1">
      <c r="A6" s="406"/>
      <c r="B6" s="407"/>
      <c r="C6" s="3238" t="s">
        <v>2547</v>
      </c>
      <c r="D6" s="3216"/>
      <c r="E6" s="3285" t="s">
        <v>2547</v>
      </c>
      <c r="F6" s="3219"/>
      <c r="G6" s="3238" t="s">
        <v>2547</v>
      </c>
      <c r="H6" s="3216"/>
      <c r="I6" s="3238" t="s">
        <v>2547</v>
      </c>
      <c r="J6" s="3216"/>
      <c r="K6" s="610" t="s">
        <v>2548</v>
      </c>
      <c r="L6" s="1132"/>
      <c r="M6" s="1133"/>
      <c r="N6" s="1133"/>
      <c r="O6" s="1133"/>
      <c r="P6" s="3289"/>
      <c r="Q6" s="3233"/>
      <c r="R6" s="3209"/>
      <c r="S6" s="3210"/>
      <c r="T6" s="3234"/>
      <c r="U6" s="3235"/>
      <c r="V6" s="3237"/>
      <c r="W6" s="3237"/>
      <c r="X6" s="1815"/>
      <c r="Y6" s="3234"/>
      <c r="Z6" s="3235"/>
      <c r="AA6" s="3204"/>
      <c r="AB6" s="3204"/>
      <c r="AC6" s="3204"/>
    </row>
    <row r="7" spans="1:30" s="117" customFormat="1" ht="15.75" thickBot="1">
      <c r="A7" s="408" t="s">
        <v>2549</v>
      </c>
      <c r="B7" s="409"/>
      <c r="C7" s="410">
        <f>'数据-取费表'!B2</f>
        <v>43100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4"/>
      <c r="M7" s="1135"/>
      <c r="N7" s="1135"/>
      <c r="O7" s="1135"/>
      <c r="P7" s="3205" t="s">
        <v>2550</v>
      </c>
      <c r="Q7" s="3240"/>
      <c r="R7" s="770" t="s">
        <v>17</v>
      </c>
      <c r="S7" s="771">
        <f t="shared" ref="S7:S15" si="0">F7</f>
        <v>0</v>
      </c>
      <c r="T7" s="770" t="s">
        <v>17</v>
      </c>
      <c r="U7" s="771">
        <f t="shared" ref="U7:U15" si="1">H7</f>
        <v>0</v>
      </c>
      <c r="V7" s="770" t="s">
        <v>17</v>
      </c>
      <c r="W7" s="771">
        <f t="shared" ref="W7:W15" si="2">J7</f>
        <v>0</v>
      </c>
      <c r="X7" s="772"/>
      <c r="Y7" s="3205" t="s">
        <v>2550</v>
      </c>
      <c r="Z7" s="3206"/>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05" t="s">
        <v>2553</v>
      </c>
      <c r="Q8" s="3206"/>
      <c r="R8" s="770" t="s">
        <v>17</v>
      </c>
      <c r="S8" s="771">
        <f t="shared" si="0"/>
        <v>0</v>
      </c>
      <c r="T8" s="770" t="s">
        <v>17</v>
      </c>
      <c r="U8" s="771">
        <f t="shared" si="1"/>
        <v>0</v>
      </c>
      <c r="V8" s="770" t="s">
        <v>17</v>
      </c>
      <c r="W8" s="771">
        <f t="shared" si="2"/>
        <v>0</v>
      </c>
      <c r="X8" s="772"/>
      <c r="Y8" s="3205" t="s">
        <v>2553</v>
      </c>
      <c r="Z8" s="3206"/>
      <c r="AA8" s="773" t="e">
        <f t="shared" ref="AA8:AA45" si="3">D8/F8</f>
        <v>#DIV/0!</v>
      </c>
      <c r="AB8" s="773" t="e">
        <f t="shared" ref="AB8:AB45" si="4">D8/H8</f>
        <v>#DIV/0!</v>
      </c>
      <c r="AC8" s="773" t="e">
        <f t="shared" ref="AC8:AC45" si="5">D8/J8</f>
        <v>#DIV/0!</v>
      </c>
    </row>
    <row r="9" spans="1:30" s="117" customFormat="1">
      <c r="A9" s="415" t="s">
        <v>2554</v>
      </c>
      <c r="B9" s="71" t="s">
        <v>2555</v>
      </c>
      <c r="C9" s="2700"/>
      <c r="D9" s="135">
        <v>100</v>
      </c>
      <c r="E9" s="2700"/>
      <c r="F9" s="135">
        <f>SUMIF(75:75,E9,76:76)-SUMIF(75:75,C9,76:76)+100</f>
        <v>100</v>
      </c>
      <c r="G9" s="2700"/>
      <c r="H9" s="135">
        <f>SUMIF(75:75,G9,76:76)-SUMIF(75:75,C9,76:76)+100</f>
        <v>100</v>
      </c>
      <c r="I9" s="2700"/>
      <c r="J9" s="135">
        <f>SUMIF(75:75,I9,76:76)-SUMIF(75:75,C9,76:76)+100</f>
        <v>100</v>
      </c>
      <c r="K9" s="611"/>
      <c r="L9" s="1134"/>
      <c r="M9" s="1135"/>
      <c r="N9" s="1135"/>
      <c r="O9" s="1136"/>
      <c r="P9" s="3250" t="s">
        <v>2556</v>
      </c>
      <c r="Q9" s="1797" t="str">
        <f t="shared" ref="Q9:Q15" si="6">B9</f>
        <v>用途</v>
      </c>
      <c r="R9" s="770" t="s">
        <v>17</v>
      </c>
      <c r="S9" s="771">
        <f t="shared" si="0"/>
        <v>100</v>
      </c>
      <c r="T9" s="770" t="s">
        <v>17</v>
      </c>
      <c r="U9" s="771">
        <f t="shared" si="1"/>
        <v>100</v>
      </c>
      <c r="V9" s="770" t="s">
        <v>17</v>
      </c>
      <c r="W9" s="771">
        <f t="shared" si="2"/>
        <v>100</v>
      </c>
      <c r="X9" s="772"/>
      <c r="Y9" s="3074"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t="e">
        <f>ROUND(100/'数据-取费表'!G16,0)</f>
        <v>#DIV/0!</v>
      </c>
      <c r="G10" s="463"/>
      <c r="H10" s="136" t="e">
        <f>ROUND(100/'数据-取费表'!G16,0)</f>
        <v>#DIV/0!</v>
      </c>
      <c r="I10" s="463"/>
      <c r="J10" s="136" t="e">
        <f>ROUND(100/'数据-取费表'!G16,0)</f>
        <v>#DIV/0!</v>
      </c>
      <c r="K10" s="672"/>
      <c r="L10" s="1137"/>
      <c r="M10" s="1138"/>
      <c r="N10" s="1138"/>
      <c r="O10" s="1139"/>
      <c r="P10" s="3250"/>
      <c r="Q10" s="1797" t="str">
        <f t="shared" si="6"/>
        <v>土地使用年限（年）</v>
      </c>
      <c r="R10" s="770" t="s">
        <v>17</v>
      </c>
      <c r="S10" s="771" t="e">
        <f t="shared" si="0"/>
        <v>#DIV/0!</v>
      </c>
      <c r="T10" s="770" t="s">
        <v>17</v>
      </c>
      <c r="U10" s="771" t="e">
        <f t="shared" si="1"/>
        <v>#DIV/0!</v>
      </c>
      <c r="V10" s="770" t="s">
        <v>17</v>
      </c>
      <c r="W10" s="771" t="e">
        <f t="shared" si="2"/>
        <v>#DIV/0!</v>
      </c>
      <c r="X10" s="772"/>
      <c r="Y10" s="3074"/>
      <c r="Z10" s="55" t="str">
        <f t="shared" si="7"/>
        <v>土地使用年限（年）</v>
      </c>
      <c r="AA10" s="773" t="e">
        <f t="shared" si="3"/>
        <v>#DIV/0!</v>
      </c>
      <c r="AB10" s="773" t="e">
        <f t="shared" si="4"/>
        <v>#DIV/0!</v>
      </c>
      <c r="AC10" s="773" t="e">
        <f t="shared" si="5"/>
        <v>#DIV/0!</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50"/>
      <c r="Q11" s="1797" t="str">
        <f t="shared" si="6"/>
        <v>容积率</v>
      </c>
      <c r="R11" s="770" t="s">
        <v>17</v>
      </c>
      <c r="S11" s="771" t="e">
        <f t="shared" si="0"/>
        <v>#N/A</v>
      </c>
      <c r="T11" s="770" t="s">
        <v>17</v>
      </c>
      <c r="U11" s="771" t="e">
        <f t="shared" si="1"/>
        <v>#N/A</v>
      </c>
      <c r="V11" s="770" t="s">
        <v>17</v>
      </c>
      <c r="W11" s="771" t="e">
        <f t="shared" si="2"/>
        <v>#N/A</v>
      </c>
      <c r="X11" s="772"/>
      <c r="Y11" s="3074"/>
      <c r="Z11" s="55" t="str">
        <f t="shared" si="7"/>
        <v>容积率</v>
      </c>
      <c r="AA11" s="773" t="e">
        <f t="shared" si="3"/>
        <v>#N/A</v>
      </c>
      <c r="AB11" s="773" t="e">
        <f t="shared" si="4"/>
        <v>#N/A</v>
      </c>
      <c r="AC11" s="773"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50"/>
      <c r="Q12" s="1797" t="str">
        <f t="shared" si="6"/>
        <v>配建</v>
      </c>
      <c r="R12" s="770" t="s">
        <v>17</v>
      </c>
      <c r="S12" s="771">
        <f t="shared" si="0"/>
        <v>100</v>
      </c>
      <c r="T12" s="770" t="s">
        <v>17</v>
      </c>
      <c r="U12" s="771">
        <f t="shared" si="1"/>
        <v>100</v>
      </c>
      <c r="V12" s="770" t="s">
        <v>17</v>
      </c>
      <c r="W12" s="771">
        <f t="shared" si="2"/>
        <v>100</v>
      </c>
      <c r="X12" s="772"/>
      <c r="Y12" s="3074"/>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50"/>
      <c r="Q13" s="1797">
        <f t="shared" si="6"/>
        <v>111</v>
      </c>
      <c r="R13" s="770" t="s">
        <v>17</v>
      </c>
      <c r="S13" s="771">
        <f t="shared" si="0"/>
        <v>100</v>
      </c>
      <c r="T13" s="770" t="s">
        <v>17</v>
      </c>
      <c r="U13" s="771">
        <f t="shared" si="1"/>
        <v>100</v>
      </c>
      <c r="V13" s="770" t="s">
        <v>17</v>
      </c>
      <c r="W13" s="771">
        <f t="shared" si="2"/>
        <v>100</v>
      </c>
      <c r="X13" s="772"/>
      <c r="Y13" s="3074"/>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50"/>
      <c r="Q14" s="1797">
        <f t="shared" si="6"/>
        <v>111</v>
      </c>
      <c r="R14" s="770" t="s">
        <v>17</v>
      </c>
      <c r="S14" s="771">
        <f t="shared" si="0"/>
        <v>100</v>
      </c>
      <c r="T14" s="770" t="s">
        <v>17</v>
      </c>
      <c r="U14" s="771">
        <f t="shared" si="1"/>
        <v>100</v>
      </c>
      <c r="V14" s="770" t="s">
        <v>17</v>
      </c>
      <c r="W14" s="771">
        <f t="shared" si="2"/>
        <v>100</v>
      </c>
      <c r="X14" s="772"/>
      <c r="Y14" s="3074"/>
      <c r="Z14" s="55">
        <f t="shared" si="7"/>
        <v>111</v>
      </c>
      <c r="AA14" s="773">
        <f>D14/F14</f>
        <v>1</v>
      </c>
      <c r="AB14" s="773">
        <f>D14/H14</f>
        <v>1</v>
      </c>
      <c r="AC14" s="773">
        <f>D14/J14</f>
        <v>1</v>
      </c>
    </row>
    <row r="15" spans="1:30" ht="15">
      <c r="A15" s="440" t="s">
        <v>2560</v>
      </c>
      <c r="B15" s="69" t="s">
        <v>2089</v>
      </c>
      <c r="C15" s="2604">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43" t="s">
        <v>2561</v>
      </c>
      <c r="Q15" s="1812" t="str">
        <f t="shared" si="6"/>
        <v>居住社区成熟度</v>
      </c>
      <c r="R15" s="774" t="s">
        <v>17</v>
      </c>
      <c r="S15" s="775">
        <f t="shared" si="0"/>
        <v>100</v>
      </c>
      <c r="T15" s="774" t="s">
        <v>17</v>
      </c>
      <c r="U15" s="775">
        <f t="shared" si="1"/>
        <v>100</v>
      </c>
      <c r="V15" s="774" t="s">
        <v>17</v>
      </c>
      <c r="W15" s="775">
        <f t="shared" si="2"/>
        <v>100</v>
      </c>
      <c r="X15" s="1815"/>
      <c r="Y15" s="3243" t="s">
        <v>2561</v>
      </c>
      <c r="Z15" s="1816" t="str">
        <f t="shared" si="7"/>
        <v>居住社区成熟度</v>
      </c>
      <c r="AA15" s="1813">
        <f t="shared" si="3"/>
        <v>1</v>
      </c>
      <c r="AB15" s="1813">
        <f t="shared" si="4"/>
        <v>1</v>
      </c>
      <c r="AC15" s="1813">
        <f t="shared" si="5"/>
        <v>1</v>
      </c>
    </row>
    <row r="16" spans="1:30" ht="15">
      <c r="A16" s="428"/>
      <c r="B16" s="446"/>
      <c r="C16" s="447"/>
      <c r="D16" s="448"/>
      <c r="E16" s="2606"/>
      <c r="F16" s="448"/>
      <c r="G16" s="2606"/>
      <c r="H16" s="450"/>
      <c r="I16" s="2605"/>
      <c r="J16" s="448"/>
      <c r="K16" s="672"/>
      <c r="L16" s="1142"/>
      <c r="M16" s="1133"/>
      <c r="N16" s="1133"/>
      <c r="O16" s="1141"/>
      <c r="P16" s="3244"/>
      <c r="Q16" s="1812"/>
      <c r="R16" s="774"/>
      <c r="S16" s="775"/>
      <c r="T16" s="774"/>
      <c r="U16" s="775"/>
      <c r="V16" s="774"/>
      <c r="W16" s="775"/>
      <c r="X16" s="1815"/>
      <c r="Y16" s="3244"/>
      <c r="Z16" s="1816"/>
      <c r="AA16" s="1813">
        <v>1</v>
      </c>
      <c r="AB16" s="1813">
        <v>1</v>
      </c>
      <c r="AC16" s="1813">
        <v>1</v>
      </c>
    </row>
    <row r="17" spans="1:29" ht="99.75">
      <c r="A17" s="428"/>
      <c r="B17" s="451" t="s">
        <v>2654</v>
      </c>
      <c r="C17" s="2665" t="str">
        <f>估价对象房地状况!C16</f>
        <v>估价对象位于朝青商圈，周边商业氛围一般，有红星美凯龙等购物场所，人流量一般，商业繁华度一般。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44"/>
      <c r="Q17" s="1812" t="str">
        <f>B17</f>
        <v>商业繁华度</v>
      </c>
      <c r="R17" s="774" t="s">
        <v>17</v>
      </c>
      <c r="S17" s="775">
        <f>F17</f>
        <v>100</v>
      </c>
      <c r="T17" s="774" t="s">
        <v>17</v>
      </c>
      <c r="U17" s="775">
        <f>H17</f>
        <v>100</v>
      </c>
      <c r="V17" s="774" t="s">
        <v>17</v>
      </c>
      <c r="W17" s="775">
        <f>J17</f>
        <v>100</v>
      </c>
      <c r="X17" s="1815"/>
      <c r="Y17" s="3244"/>
      <c r="Z17" s="1816" t="str">
        <f>Q17</f>
        <v>商业繁华度</v>
      </c>
      <c r="AA17" s="1813">
        <f t="shared" si="3"/>
        <v>1</v>
      </c>
      <c r="AB17" s="1813">
        <f t="shared" si="4"/>
        <v>1</v>
      </c>
      <c r="AC17" s="1813">
        <f t="shared" si="5"/>
        <v>1</v>
      </c>
    </row>
    <row r="18" spans="1:29" ht="15">
      <c r="A18" s="428"/>
      <c r="B18" s="456"/>
      <c r="C18" s="2609"/>
      <c r="D18" s="450"/>
      <c r="E18" s="2611"/>
      <c r="F18" s="450"/>
      <c r="G18" s="2611"/>
      <c r="H18" s="448"/>
      <c r="I18" s="2610"/>
      <c r="J18" s="448"/>
      <c r="K18" s="672"/>
      <c r="L18" s="1142"/>
      <c r="M18" s="1133"/>
      <c r="N18" s="1133"/>
      <c r="O18" s="1141"/>
      <c r="P18" s="3244"/>
      <c r="Q18" s="1812"/>
      <c r="R18" s="774"/>
      <c r="S18" s="775"/>
      <c r="T18" s="774"/>
      <c r="U18" s="775"/>
      <c r="V18" s="774"/>
      <c r="W18" s="775"/>
      <c r="X18" s="1815"/>
      <c r="Y18" s="3244"/>
      <c r="Z18" s="1816"/>
      <c r="AA18" s="1813">
        <v>1</v>
      </c>
      <c r="AB18" s="1813">
        <v>1</v>
      </c>
      <c r="AC18" s="1813">
        <v>1</v>
      </c>
    </row>
    <row r="19" spans="1:29" ht="114">
      <c r="A19" s="428"/>
      <c r="B19" s="451" t="s">
        <v>2688</v>
      </c>
      <c r="C19" s="2665" t="str">
        <f>估价对象房地状况!C17</f>
        <v>估价对象位于朝青商圈，周边办公楼项目较多，有世丰国际大厦、财经中心等写字楼项目，入驻率高，办公集聚程度较好。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44"/>
      <c r="Q19" s="1812" t="str">
        <f>B19</f>
        <v>办公集聚程度</v>
      </c>
      <c r="R19" s="774" t="s">
        <v>17</v>
      </c>
      <c r="S19" s="775">
        <f>F19</f>
        <v>100</v>
      </c>
      <c r="T19" s="774" t="s">
        <v>17</v>
      </c>
      <c r="U19" s="775">
        <f>H19</f>
        <v>100</v>
      </c>
      <c r="V19" s="774" t="s">
        <v>17</v>
      </c>
      <c r="W19" s="775">
        <f>J19</f>
        <v>100</v>
      </c>
      <c r="X19" s="1815"/>
      <c r="Y19" s="3244"/>
      <c r="Z19" s="1816" t="str">
        <f>Q19</f>
        <v>办公集聚程度</v>
      </c>
      <c r="AA19" s="1813">
        <f t="shared" si="3"/>
        <v>1</v>
      </c>
      <c r="AB19" s="1813">
        <f t="shared" si="4"/>
        <v>1</v>
      </c>
      <c r="AC19" s="1813">
        <f t="shared" si="5"/>
        <v>1</v>
      </c>
    </row>
    <row r="20" spans="1:29" ht="15">
      <c r="A20" s="428"/>
      <c r="B20" s="456"/>
      <c r="C20" s="447"/>
      <c r="D20" s="448"/>
      <c r="E20" s="2606"/>
      <c r="F20" s="448"/>
      <c r="G20" s="2606"/>
      <c r="H20" s="448"/>
      <c r="I20" s="2605"/>
      <c r="J20" s="448"/>
      <c r="K20" s="672"/>
      <c r="L20" s="1142"/>
      <c r="M20" s="1133"/>
      <c r="N20" s="1133"/>
      <c r="O20" s="1141"/>
      <c r="P20" s="3244"/>
      <c r="Q20" s="1812"/>
      <c r="R20" s="774"/>
      <c r="S20" s="775"/>
      <c r="T20" s="774"/>
      <c r="U20" s="775"/>
      <c r="V20" s="774"/>
      <c r="W20" s="775"/>
      <c r="X20" s="1815"/>
      <c r="Y20" s="3244"/>
      <c r="Z20" s="1816"/>
      <c r="AA20" s="1813">
        <v>1</v>
      </c>
      <c r="AB20" s="1813">
        <v>1</v>
      </c>
      <c r="AC20" s="1813">
        <v>1</v>
      </c>
    </row>
    <row r="21" spans="1:29" ht="142.5">
      <c r="A21" s="428"/>
      <c r="B21" s="451" t="s">
        <v>2710</v>
      </c>
      <c r="C21" s="2608" t="str">
        <f>估价对象房地状况!C18</f>
        <v>估价对象周边道路较为密集，公共交通通达情况较好，1公里内有350路、411路及地铁1号线等公共交通，停车便捷程度较好，综合评价交通便捷度较好。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44"/>
      <c r="Q21" s="1812" t="str">
        <f>B21</f>
        <v>交通便捷度</v>
      </c>
      <c r="R21" s="774" t="s">
        <v>17</v>
      </c>
      <c r="S21" s="775">
        <f>F21</f>
        <v>100</v>
      </c>
      <c r="T21" s="774" t="s">
        <v>17</v>
      </c>
      <c r="U21" s="775">
        <f>H21</f>
        <v>100</v>
      </c>
      <c r="V21" s="774" t="s">
        <v>17</v>
      </c>
      <c r="W21" s="775">
        <f>J21</f>
        <v>100</v>
      </c>
      <c r="X21" s="1815"/>
      <c r="Y21" s="3244"/>
      <c r="Z21" s="1816" t="str">
        <f>Q21</f>
        <v>交通便捷度</v>
      </c>
      <c r="AA21" s="1813">
        <f t="shared" si="3"/>
        <v>1</v>
      </c>
      <c r="AB21" s="1813">
        <f t="shared" si="4"/>
        <v>1</v>
      </c>
      <c r="AC21" s="1813">
        <f t="shared" si="5"/>
        <v>1</v>
      </c>
    </row>
    <row r="22" spans="1:29" ht="15">
      <c r="A22" s="428"/>
      <c r="B22" s="1386"/>
      <c r="C22" s="447"/>
      <c r="D22" s="450"/>
      <c r="E22" s="2606"/>
      <c r="F22" s="448"/>
      <c r="G22" s="2606"/>
      <c r="H22" s="448"/>
      <c r="I22" s="2605"/>
      <c r="J22" s="448"/>
      <c r="K22" s="672"/>
      <c r="L22" s="1142"/>
      <c r="M22" s="1133"/>
      <c r="N22" s="1133"/>
      <c r="O22" s="1141"/>
      <c r="P22" s="3244"/>
      <c r="Q22" s="1812"/>
      <c r="R22" s="774"/>
      <c r="S22" s="775"/>
      <c r="T22" s="774"/>
      <c r="U22" s="775"/>
      <c r="V22" s="774"/>
      <c r="W22" s="775"/>
      <c r="X22" s="1815"/>
      <c r="Y22" s="3244"/>
      <c r="Z22" s="1816"/>
      <c r="AA22" s="1813">
        <v>1</v>
      </c>
      <c r="AB22" s="1813">
        <v>1</v>
      </c>
      <c r="AC22" s="1813">
        <v>1</v>
      </c>
    </row>
    <row r="23" spans="1:29" ht="15">
      <c r="A23" s="404"/>
      <c r="B23" s="451" t="s">
        <v>2749</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44"/>
      <c r="Q23" s="1812" t="str">
        <f t="shared" ref="Q23:Q37" si="8">B23</f>
        <v>区域土地利用方向</v>
      </c>
      <c r="R23" s="774" t="s">
        <v>17</v>
      </c>
      <c r="S23" s="775">
        <f>F23</f>
        <v>100</v>
      </c>
      <c r="T23" s="774" t="s">
        <v>17</v>
      </c>
      <c r="U23" s="775">
        <f>H23</f>
        <v>100</v>
      </c>
      <c r="V23" s="774" t="s">
        <v>17</v>
      </c>
      <c r="W23" s="775">
        <f>J23</f>
        <v>100</v>
      </c>
      <c r="X23" s="1815"/>
      <c r="Y23" s="3244"/>
      <c r="Z23" s="1816" t="str">
        <f>Q23</f>
        <v>区域土地利用方向</v>
      </c>
      <c r="AA23" s="1813">
        <f t="shared" si="3"/>
        <v>1</v>
      </c>
      <c r="AB23" s="1813">
        <f t="shared" si="4"/>
        <v>1</v>
      </c>
      <c r="AC23" s="1813">
        <f t="shared" si="5"/>
        <v>1</v>
      </c>
    </row>
    <row r="24" spans="1:29" ht="15">
      <c r="A24" s="404"/>
      <c r="B24" s="456"/>
      <c r="C24" s="616"/>
      <c r="D24" s="448"/>
      <c r="E24" s="2606"/>
      <c r="F24" s="448"/>
      <c r="G24" s="2605"/>
      <c r="H24" s="448"/>
      <c r="I24" s="2605"/>
      <c r="J24" s="448"/>
      <c r="K24" s="811"/>
      <c r="L24" s="1142"/>
      <c r="M24" s="1133"/>
      <c r="N24" s="1133"/>
      <c r="O24" s="1141"/>
      <c r="P24" s="3244"/>
      <c r="Q24" s="1812"/>
      <c r="R24" s="774"/>
      <c r="S24" s="775"/>
      <c r="T24" s="774"/>
      <c r="U24" s="775"/>
      <c r="V24" s="774"/>
      <c r="W24" s="775"/>
      <c r="X24" s="1815"/>
      <c r="Y24" s="3244"/>
      <c r="Z24" s="1816"/>
      <c r="AA24" s="1813"/>
      <c r="AB24" s="1813"/>
      <c r="AC24" s="1813"/>
    </row>
    <row r="25" spans="1:29" ht="71.25">
      <c r="A25" s="404"/>
      <c r="B25" s="1386" t="s">
        <v>2750</v>
      </c>
      <c r="C25" s="2665" t="str">
        <f>估价对象房地状况!C20</f>
        <v>区域自然环境：兴隆公园；人文环境：中国传媒大学；综合评价环境状况较好。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44"/>
      <c r="Q25" s="1812" t="str">
        <f t="shared" si="8"/>
        <v>自然及人文环境状况</v>
      </c>
      <c r="R25" s="774" t="s">
        <v>17</v>
      </c>
      <c r="S25" s="775">
        <f>F25</f>
        <v>100</v>
      </c>
      <c r="T25" s="774" t="s">
        <v>17</v>
      </c>
      <c r="U25" s="775">
        <f>H25</f>
        <v>100</v>
      </c>
      <c r="V25" s="774" t="s">
        <v>17</v>
      </c>
      <c r="W25" s="775">
        <f>J25</f>
        <v>100</v>
      </c>
      <c r="X25" s="1815"/>
      <c r="Y25" s="3244"/>
      <c r="Z25" s="1816" t="str">
        <f>Q25</f>
        <v>自然及人文环境状况</v>
      </c>
      <c r="AA25" s="1813">
        <f t="shared" si="3"/>
        <v>1</v>
      </c>
      <c r="AB25" s="1813">
        <f t="shared" si="4"/>
        <v>1</v>
      </c>
      <c r="AC25" s="1813">
        <f t="shared" si="5"/>
        <v>1</v>
      </c>
    </row>
    <row r="26" spans="1:29" ht="15">
      <c r="A26" s="404"/>
      <c r="B26" s="456"/>
      <c r="C26" s="447"/>
      <c r="D26" s="448"/>
      <c r="E26" s="2612"/>
      <c r="F26" s="448"/>
      <c r="G26" s="2612"/>
      <c r="H26" s="448"/>
      <c r="I26" s="447"/>
      <c r="J26" s="448"/>
      <c r="K26" s="672"/>
      <c r="L26" s="1142"/>
      <c r="M26" s="1133"/>
      <c r="N26" s="1133"/>
      <c r="O26" s="1141"/>
      <c r="P26" s="3244"/>
      <c r="Q26" s="1812"/>
      <c r="R26" s="774"/>
      <c r="S26" s="775"/>
      <c r="T26" s="774"/>
      <c r="U26" s="775"/>
      <c r="V26" s="774"/>
      <c r="W26" s="775"/>
      <c r="X26" s="1815"/>
      <c r="Y26" s="3244"/>
      <c r="Z26" s="1816"/>
      <c r="AA26" s="1813">
        <v>1</v>
      </c>
      <c r="AB26" s="1813">
        <v>1</v>
      </c>
      <c r="AC26" s="1813">
        <v>1</v>
      </c>
    </row>
    <row r="27" spans="1:29" s="117" customFormat="1" ht="199.5">
      <c r="A27" s="649"/>
      <c r="B27" s="1386" t="s">
        <v>2655</v>
      </c>
      <c r="C27" s="2608" t="str">
        <f>估价对象房地状况!C21</f>
        <v>估价对象所在区域1公里范围内，有银行（中国工商银行、中国银行），购物（卜蜂莲花、物美超市），医院（民航总医院），学校（朝阳区兴隆小学、星河实验学校）等，公共配套设施齐备情况较好。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44"/>
      <c r="Q27" s="1797" t="str">
        <f t="shared" si="8"/>
        <v>公共配套设施</v>
      </c>
      <c r="R27" s="770" t="s">
        <v>17</v>
      </c>
      <c r="S27" s="771">
        <f>F27</f>
        <v>100</v>
      </c>
      <c r="T27" s="770" t="s">
        <v>17</v>
      </c>
      <c r="U27" s="771">
        <f>H27</f>
        <v>100</v>
      </c>
      <c r="V27" s="770" t="s">
        <v>17</v>
      </c>
      <c r="W27" s="771">
        <f>J27</f>
        <v>100</v>
      </c>
      <c r="X27" s="772"/>
      <c r="Y27" s="3244"/>
      <c r="Z27" s="55" t="str">
        <f>Q27</f>
        <v>公共配套设施</v>
      </c>
      <c r="AA27" s="1813">
        <f>D27/F27</f>
        <v>1</v>
      </c>
      <c r="AB27" s="1813">
        <f>D27/H27</f>
        <v>1</v>
      </c>
      <c r="AC27" s="1813">
        <f>D27/J27</f>
        <v>1</v>
      </c>
    </row>
    <row r="28" spans="1:29" s="117" customFormat="1" ht="15">
      <c r="A28" s="649"/>
      <c r="B28" s="456"/>
      <c r="C28" s="2701"/>
      <c r="D28" s="448"/>
      <c r="E28" s="2612"/>
      <c r="F28" s="448"/>
      <c r="G28" s="2612"/>
      <c r="H28" s="448"/>
      <c r="I28" s="447"/>
      <c r="J28" s="448"/>
      <c r="K28" s="672"/>
      <c r="L28" s="1134"/>
      <c r="M28" s="1135"/>
      <c r="N28" s="1135"/>
      <c r="O28" s="1136"/>
      <c r="P28" s="3244"/>
      <c r="Q28" s="1797"/>
      <c r="R28" s="770"/>
      <c r="S28" s="771"/>
      <c r="T28" s="770"/>
      <c r="U28" s="771"/>
      <c r="V28" s="770"/>
      <c r="W28" s="771"/>
      <c r="X28" s="772"/>
      <c r="Y28" s="3244"/>
      <c r="Z28" s="55"/>
      <c r="AA28" s="1813">
        <v>1</v>
      </c>
      <c r="AB28" s="1813">
        <v>1</v>
      </c>
      <c r="AC28" s="1813">
        <v>1</v>
      </c>
    </row>
    <row r="29" spans="1:29" s="117" customFormat="1" ht="42.75">
      <c r="A29" s="649"/>
      <c r="B29" s="1386" t="s">
        <v>2656</v>
      </c>
      <c r="C29" s="2608"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44"/>
      <c r="Q29" s="1797" t="str">
        <f t="shared" ref="Q29" si="9">B29</f>
        <v>基础设施水平</v>
      </c>
      <c r="R29" s="770" t="s">
        <v>17</v>
      </c>
      <c r="S29" s="771">
        <f>F29</f>
        <v>100</v>
      </c>
      <c r="T29" s="770" t="s">
        <v>17</v>
      </c>
      <c r="U29" s="771">
        <f>H29</f>
        <v>100</v>
      </c>
      <c r="V29" s="770" t="s">
        <v>17</v>
      </c>
      <c r="W29" s="771">
        <f>J29</f>
        <v>100</v>
      </c>
      <c r="X29" s="772"/>
      <c r="Y29" s="3244"/>
      <c r="Z29" s="55" t="str">
        <f>Q29</f>
        <v>基础设施水平</v>
      </c>
      <c r="AA29" s="1813">
        <f>D29/F29</f>
        <v>1</v>
      </c>
      <c r="AB29" s="1813">
        <f>D29/H29</f>
        <v>1</v>
      </c>
      <c r="AC29" s="1813">
        <f>D29/J29</f>
        <v>1</v>
      </c>
    </row>
    <row r="30" spans="1:29" s="117" customFormat="1" ht="15">
      <c r="A30" s="649"/>
      <c r="B30" s="456"/>
      <c r="C30" s="2701"/>
      <c r="D30" s="448"/>
      <c r="E30" s="2702"/>
      <c r="F30" s="448"/>
      <c r="G30" s="2702"/>
      <c r="H30" s="448"/>
      <c r="I30" s="2702"/>
      <c r="J30" s="448"/>
      <c r="K30" s="672"/>
      <c r="L30" s="1134"/>
      <c r="M30" s="1135"/>
      <c r="N30" s="1135"/>
      <c r="O30" s="1136"/>
      <c r="P30" s="3244"/>
      <c r="Q30" s="1797"/>
      <c r="R30" s="770"/>
      <c r="S30" s="771"/>
      <c r="T30" s="770"/>
      <c r="U30" s="771"/>
      <c r="V30" s="770"/>
      <c r="W30" s="771"/>
      <c r="X30" s="772"/>
      <c r="Y30" s="3244"/>
      <c r="Z30" s="55"/>
      <c r="AA30" s="1813">
        <v>1</v>
      </c>
      <c r="AB30" s="1813">
        <v>1</v>
      </c>
      <c r="AC30" s="1813">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4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44"/>
      <c r="Z31" s="1816" t="str">
        <f t="shared" ref="Z31:Z45" si="13">Q31</f>
        <v>临街状况</v>
      </c>
      <c r="AA31" s="1813">
        <f t="shared" si="3"/>
        <v>1</v>
      </c>
      <c r="AB31" s="1813">
        <f t="shared" si="4"/>
        <v>1</v>
      </c>
      <c r="AC31" s="1813">
        <f t="shared" si="5"/>
        <v>1</v>
      </c>
    </row>
    <row r="32" spans="1:29" ht="27">
      <c r="A32" s="428"/>
      <c r="B32" s="1386"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44"/>
      <c r="Q32" s="1812" t="str">
        <f t="shared" si="8"/>
        <v>毗邻道路的类型与等级</v>
      </c>
      <c r="R32" s="774" t="s">
        <v>17</v>
      </c>
      <c r="S32" s="775">
        <f t="shared" si="10"/>
        <v>100</v>
      </c>
      <c r="T32" s="774" t="s">
        <v>17</v>
      </c>
      <c r="U32" s="775">
        <f t="shared" si="11"/>
        <v>100</v>
      </c>
      <c r="V32" s="774" t="s">
        <v>17</v>
      </c>
      <c r="W32" s="775">
        <f t="shared" si="12"/>
        <v>100</v>
      </c>
      <c r="X32" s="1815"/>
      <c r="Y32" s="3244"/>
      <c r="Z32" s="1816" t="str">
        <f t="shared" si="13"/>
        <v>毗邻道路的类型与等级</v>
      </c>
      <c r="AA32" s="1813">
        <f t="shared" si="3"/>
        <v>1</v>
      </c>
      <c r="AB32" s="1813">
        <f t="shared" si="4"/>
        <v>1</v>
      </c>
      <c r="AC32" s="1813">
        <f t="shared" si="5"/>
        <v>1</v>
      </c>
    </row>
    <row r="33" spans="1:29" ht="15">
      <c r="A33" s="428"/>
      <c r="B33" s="456"/>
      <c r="C33" s="447"/>
      <c r="D33" s="448"/>
      <c r="E33" s="2612"/>
      <c r="F33" s="448"/>
      <c r="G33" s="2612"/>
      <c r="H33" s="448"/>
      <c r="I33" s="447"/>
      <c r="J33" s="448"/>
      <c r="K33" s="613"/>
      <c r="L33" s="1142"/>
      <c r="M33" s="1133"/>
      <c r="N33" s="1133"/>
      <c r="O33" s="1141"/>
      <c r="P33" s="3244"/>
      <c r="Q33" s="1812"/>
      <c r="R33" s="774"/>
      <c r="S33" s="775"/>
      <c r="T33" s="774"/>
      <c r="U33" s="775"/>
      <c r="V33" s="774"/>
      <c r="W33" s="775"/>
      <c r="X33" s="1815"/>
      <c r="Y33" s="3244"/>
      <c r="Z33" s="1816"/>
      <c r="AA33" s="1813">
        <v>1</v>
      </c>
      <c r="AB33" s="1813">
        <v>1</v>
      </c>
      <c r="AC33" s="1813">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44"/>
      <c r="Q34" s="1812" t="str">
        <f t="shared" si="8"/>
        <v>土地级别</v>
      </c>
      <c r="R34" s="774" t="s">
        <v>17</v>
      </c>
      <c r="S34" s="775">
        <f t="shared" si="10"/>
        <v>100</v>
      </c>
      <c r="T34" s="774" t="s">
        <v>17</v>
      </c>
      <c r="U34" s="775">
        <f t="shared" si="11"/>
        <v>100</v>
      </c>
      <c r="V34" s="774" t="s">
        <v>17</v>
      </c>
      <c r="W34" s="775">
        <f t="shared" si="12"/>
        <v>100</v>
      </c>
      <c r="X34" s="1815"/>
      <c r="Y34" s="3244"/>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44"/>
      <c r="Q35" s="1812">
        <f t="shared" si="8"/>
        <v>111</v>
      </c>
      <c r="R35" s="774" t="s">
        <v>17</v>
      </c>
      <c r="S35" s="775">
        <f t="shared" si="10"/>
        <v>100</v>
      </c>
      <c r="T35" s="774" t="s">
        <v>17</v>
      </c>
      <c r="U35" s="775">
        <f t="shared" si="11"/>
        <v>100</v>
      </c>
      <c r="V35" s="774" t="s">
        <v>17</v>
      </c>
      <c r="W35" s="775">
        <f t="shared" si="12"/>
        <v>100</v>
      </c>
      <c r="X35" s="1815"/>
      <c r="Y35" s="3244"/>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93" t="s">
        <v>2566</v>
      </c>
      <c r="Q36" s="1812">
        <f t="shared" si="8"/>
        <v>111</v>
      </c>
      <c r="R36" s="774" t="s">
        <v>17</v>
      </c>
      <c r="S36" s="775">
        <f t="shared" si="10"/>
        <v>100</v>
      </c>
      <c r="T36" s="774" t="s">
        <v>17</v>
      </c>
      <c r="U36" s="775">
        <f t="shared" si="11"/>
        <v>100</v>
      </c>
      <c r="V36" s="774" t="s">
        <v>17</v>
      </c>
      <c r="W36" s="775">
        <f t="shared" si="12"/>
        <v>100</v>
      </c>
      <c r="X36" s="1815"/>
      <c r="Y36" s="3248" t="s">
        <v>2566</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48"/>
      <c r="Q37" s="1812">
        <f t="shared" si="8"/>
        <v>111</v>
      </c>
      <c r="R37" s="777" t="s">
        <v>17</v>
      </c>
      <c r="S37" s="778">
        <f t="shared" si="10"/>
        <v>100</v>
      </c>
      <c r="T37" s="777" t="s">
        <v>17</v>
      </c>
      <c r="U37" s="778">
        <f t="shared" si="11"/>
        <v>100</v>
      </c>
      <c r="V37" s="777" t="s">
        <v>17</v>
      </c>
      <c r="W37" s="778">
        <f t="shared" si="12"/>
        <v>100</v>
      </c>
      <c r="X37" s="779"/>
      <c r="Y37" s="3248"/>
      <c r="Z37" s="780">
        <f t="shared" si="13"/>
        <v>111</v>
      </c>
      <c r="AA37" s="1813">
        <f t="shared" si="3"/>
        <v>1</v>
      </c>
      <c r="AB37" s="1813">
        <f t="shared" si="4"/>
        <v>1</v>
      </c>
      <c r="AC37" s="1813">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48"/>
      <c r="Q38" s="1812" t="str">
        <f>B38</f>
        <v>宗地面积</v>
      </c>
      <c r="R38" s="774" t="s">
        <v>17</v>
      </c>
      <c r="S38" s="775" t="e">
        <f t="shared" si="10"/>
        <v>#N/A</v>
      </c>
      <c r="T38" s="774" t="s">
        <v>17</v>
      </c>
      <c r="U38" s="775" t="e">
        <f t="shared" si="11"/>
        <v>#N/A</v>
      </c>
      <c r="V38" s="774" t="s">
        <v>17</v>
      </c>
      <c r="W38" s="775" t="e">
        <f t="shared" si="12"/>
        <v>#N/A</v>
      </c>
      <c r="X38" s="1815"/>
      <c r="Y38" s="3248"/>
      <c r="Z38" s="1816" t="str">
        <f t="shared" si="13"/>
        <v>宗地面积</v>
      </c>
      <c r="AA38" s="1813" t="e">
        <f t="shared" si="3"/>
        <v>#N/A</v>
      </c>
      <c r="AB38" s="1813" t="e">
        <f t="shared" si="4"/>
        <v>#N/A</v>
      </c>
      <c r="AC38" s="1813"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2"/>
      <c r="M39" s="1133"/>
      <c r="N39" s="1133"/>
      <c r="O39" s="1141"/>
      <c r="P39" s="3248"/>
      <c r="Q39" s="1812" t="str">
        <f t="shared" ref="Q39:Q45" si="14">B39</f>
        <v>宗地形状</v>
      </c>
      <c r="R39" s="774" t="s">
        <v>17</v>
      </c>
      <c r="S39" s="775">
        <f t="shared" si="10"/>
        <v>100</v>
      </c>
      <c r="T39" s="774" t="s">
        <v>17</v>
      </c>
      <c r="U39" s="775">
        <f t="shared" si="11"/>
        <v>100</v>
      </c>
      <c r="V39" s="774" t="s">
        <v>17</v>
      </c>
      <c r="W39" s="775">
        <f t="shared" si="12"/>
        <v>100</v>
      </c>
      <c r="X39" s="1815"/>
      <c r="Y39" s="3248"/>
      <c r="Z39" s="1816" t="str">
        <f t="shared" si="13"/>
        <v>宗地形状</v>
      </c>
      <c r="AA39" s="1813">
        <f t="shared" si="3"/>
        <v>1</v>
      </c>
      <c r="AB39" s="1813">
        <f t="shared" si="4"/>
        <v>1</v>
      </c>
      <c r="AC39" s="1813">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2"/>
      <c r="M40" s="1133"/>
      <c r="N40" s="1133"/>
      <c r="O40" s="1141"/>
      <c r="P40" s="3248"/>
      <c r="Q40" s="1812" t="str">
        <f t="shared" si="14"/>
        <v>临街宽度及深度</v>
      </c>
      <c r="R40" s="774" t="s">
        <v>17</v>
      </c>
      <c r="S40" s="775">
        <f t="shared" si="10"/>
        <v>100</v>
      </c>
      <c r="T40" s="774" t="s">
        <v>17</v>
      </c>
      <c r="U40" s="775">
        <f t="shared" si="11"/>
        <v>100</v>
      </c>
      <c r="V40" s="774" t="s">
        <v>17</v>
      </c>
      <c r="W40" s="775">
        <f t="shared" si="12"/>
        <v>100</v>
      </c>
      <c r="X40" s="1815"/>
      <c r="Y40" s="3248"/>
      <c r="Z40" s="1816" t="str">
        <f t="shared" si="13"/>
        <v>临街宽度及深度</v>
      </c>
      <c r="AA40" s="1813">
        <f t="shared" si="3"/>
        <v>1</v>
      </c>
      <c r="AB40" s="1813">
        <f t="shared" si="4"/>
        <v>1</v>
      </c>
      <c r="AC40" s="1813">
        <f t="shared" si="5"/>
        <v>1</v>
      </c>
    </row>
    <row r="41" spans="1:29" s="117" customFormat="1" ht="15">
      <c r="A41" s="473"/>
      <c r="B41" s="422" t="s">
        <v>2755</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4"/>
      <c r="M41" s="1135"/>
      <c r="N41" s="1135"/>
      <c r="O41" s="1136"/>
      <c r="P41" s="3248"/>
      <c r="Q41" s="1812" t="str">
        <f t="shared" si="14"/>
        <v>宗地开发程度</v>
      </c>
      <c r="R41" s="770" t="s">
        <v>17</v>
      </c>
      <c r="S41" s="771">
        <f t="shared" si="10"/>
        <v>100</v>
      </c>
      <c r="T41" s="770" t="s">
        <v>17</v>
      </c>
      <c r="U41" s="771">
        <f t="shared" si="11"/>
        <v>100</v>
      </c>
      <c r="V41" s="770" t="s">
        <v>17</v>
      </c>
      <c r="W41" s="771">
        <f t="shared" si="12"/>
        <v>100</v>
      </c>
      <c r="X41" s="772"/>
      <c r="Y41" s="3248"/>
      <c r="Z41" s="55" t="str">
        <f t="shared" si="13"/>
        <v>宗地开发程度</v>
      </c>
      <c r="AA41" s="773">
        <f t="shared" si="3"/>
        <v>1</v>
      </c>
      <c r="AB41" s="773">
        <f t="shared" si="4"/>
        <v>1</v>
      </c>
      <c r="AC41" s="773">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2"/>
      <c r="M42" s="1133"/>
      <c r="N42" s="1133"/>
      <c r="O42" s="1141"/>
      <c r="P42" s="3248" t="s">
        <v>2566</v>
      </c>
      <c r="Q42" s="1812" t="str">
        <f t="shared" si="14"/>
        <v>工程地质条件</v>
      </c>
      <c r="R42" s="774" t="s">
        <v>17</v>
      </c>
      <c r="S42" s="775">
        <f t="shared" si="10"/>
        <v>100</v>
      </c>
      <c r="T42" s="774" t="s">
        <v>17</v>
      </c>
      <c r="U42" s="775">
        <f t="shared" si="11"/>
        <v>100</v>
      </c>
      <c r="V42" s="774" t="s">
        <v>17</v>
      </c>
      <c r="W42" s="775">
        <f t="shared" si="12"/>
        <v>100</v>
      </c>
      <c r="X42" s="1815"/>
      <c r="Y42" s="3248" t="s">
        <v>2566</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48"/>
      <c r="Q43" s="1812">
        <f t="shared" si="14"/>
        <v>111</v>
      </c>
      <c r="R43" s="774" t="s">
        <v>17</v>
      </c>
      <c r="S43" s="775">
        <f t="shared" si="10"/>
        <v>100</v>
      </c>
      <c r="T43" s="774" t="s">
        <v>17</v>
      </c>
      <c r="U43" s="775">
        <f t="shared" si="11"/>
        <v>100</v>
      </c>
      <c r="V43" s="774" t="s">
        <v>17</v>
      </c>
      <c r="W43" s="775">
        <f t="shared" si="12"/>
        <v>100</v>
      </c>
      <c r="X43" s="1815"/>
      <c r="Y43" s="3248"/>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48"/>
      <c r="Q44" s="1812">
        <f t="shared" si="14"/>
        <v>111</v>
      </c>
      <c r="R44" s="774" t="s">
        <v>17</v>
      </c>
      <c r="S44" s="775">
        <f t="shared" si="10"/>
        <v>100</v>
      </c>
      <c r="T44" s="774" t="s">
        <v>17</v>
      </c>
      <c r="U44" s="775">
        <f t="shared" si="11"/>
        <v>100</v>
      </c>
      <c r="V44" s="774" t="s">
        <v>17</v>
      </c>
      <c r="W44" s="775">
        <f t="shared" si="12"/>
        <v>100</v>
      </c>
      <c r="X44" s="1815"/>
      <c r="Y44" s="3248"/>
      <c r="Z44" s="1816">
        <f t="shared" si="13"/>
        <v>111</v>
      </c>
      <c r="AA44" s="1813">
        <f t="shared" si="3"/>
        <v>1</v>
      </c>
      <c r="AB44" s="1813">
        <f t="shared" si="4"/>
        <v>1</v>
      </c>
      <c r="AC44" s="1813">
        <f t="shared" si="5"/>
        <v>1</v>
      </c>
    </row>
    <row r="45" spans="1:29" s="471" customFormat="1" ht="15.75" thickBot="1">
      <c r="A45" s="468"/>
      <c r="B45" s="1389">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48"/>
      <c r="Q45" s="1812">
        <f t="shared" si="14"/>
        <v>111</v>
      </c>
      <c r="R45" s="777" t="s">
        <v>17</v>
      </c>
      <c r="S45" s="778">
        <f t="shared" si="10"/>
        <v>100</v>
      </c>
      <c r="T45" s="777" t="s">
        <v>17</v>
      </c>
      <c r="U45" s="778">
        <f t="shared" si="11"/>
        <v>100</v>
      </c>
      <c r="V45" s="777" t="s">
        <v>17</v>
      </c>
      <c r="W45" s="778">
        <f t="shared" si="12"/>
        <v>100</v>
      </c>
      <c r="X45" s="779"/>
      <c r="Y45" s="3248"/>
      <c r="Z45" s="780">
        <f t="shared" si="13"/>
        <v>111</v>
      </c>
      <c r="AA45" s="1813">
        <f t="shared" si="3"/>
        <v>1</v>
      </c>
      <c r="AB45" s="1813">
        <f t="shared" si="4"/>
        <v>1</v>
      </c>
      <c r="AC45" s="1813">
        <f t="shared" si="5"/>
        <v>1</v>
      </c>
    </row>
    <row r="46" spans="1:29" ht="15">
      <c r="A46" s="479" t="s">
        <v>2721</v>
      </c>
      <c r="B46" s="2705" t="s">
        <v>2757</v>
      </c>
      <c r="C46" s="682" t="s">
        <v>1</v>
      </c>
      <c r="D46" s="481"/>
      <c r="E46" s="482"/>
      <c r="F46" s="483"/>
      <c r="G46" s="484"/>
      <c r="H46" s="485"/>
      <c r="I46" s="482"/>
      <c r="J46" s="485"/>
      <c r="K46" s="783"/>
      <c r="L46" s="1145"/>
      <c r="M46" s="1146"/>
      <c r="N46" s="1133"/>
      <c r="O46" s="1146"/>
      <c r="P46" s="3250" t="str">
        <f>A46</f>
        <v>成交单价</v>
      </c>
      <c r="Q46" s="3250"/>
      <c r="R46" s="3237">
        <f>E46</f>
        <v>0</v>
      </c>
      <c r="S46" s="3237"/>
      <c r="T46" s="3237">
        <f>G46</f>
        <v>0</v>
      </c>
      <c r="U46" s="3237"/>
      <c r="V46" s="3237">
        <f>I46</f>
        <v>0</v>
      </c>
      <c r="W46" s="3237"/>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5"/>
      <c r="M47" s="1146"/>
      <c r="N47" s="1146"/>
      <c r="O47" s="1146"/>
      <c r="P47" s="3250" t="str">
        <f>A47</f>
        <v>比较价值（元/平方米）</v>
      </c>
      <c r="Q47" s="3250"/>
      <c r="R47" s="3294" t="e">
        <f>ROUND(PRODUCT(R46,AA7:AA45),0)</f>
        <v>#DIV/0!</v>
      </c>
      <c r="S47" s="3294"/>
      <c r="T47" s="3294" t="e">
        <f>ROUND(PRODUCT(T46,AB7:AB45),0)</f>
        <v>#DIV/0!</v>
      </c>
      <c r="U47" s="3294"/>
      <c r="V47" s="3294" t="e">
        <f>ROUND(PRODUCT(V46,AC7:AC45),0)</f>
        <v>#DIV/0!</v>
      </c>
      <c r="W47" s="3294"/>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5"/>
      <c r="M48" s="1146"/>
      <c r="N48" s="1146"/>
      <c r="O48" s="1146"/>
      <c r="P48" s="3290" t="str">
        <f>A48</f>
        <v>估价对象XX用房的比较价值（楼面单价，元/平方米）</v>
      </c>
      <c r="Q48" s="3291"/>
      <c r="R48" s="3295" t="e">
        <f>ROUND(AVERAGE(R47:V47),0)</f>
        <v>#DIV/0!</v>
      </c>
      <c r="S48" s="3295"/>
      <c r="T48" s="3295"/>
      <c r="U48" s="3295"/>
      <c r="V48" s="3295"/>
      <c r="W48" s="3295"/>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2759</v>
      </c>
      <c r="B55" s="685" t="s">
        <v>2760</v>
      </c>
      <c r="C55" s="2706" t="s">
        <v>2761</v>
      </c>
      <c r="D55" s="2707" t="s">
        <v>2762</v>
      </c>
      <c r="E55" s="686" t="s">
        <v>2763</v>
      </c>
      <c r="F55" s="1109" t="s">
        <v>2764</v>
      </c>
      <c r="G55" s="3224" t="s">
        <v>2765</v>
      </c>
      <c r="H55" s="3296"/>
      <c r="I55" s="144" t="s">
        <v>2766</v>
      </c>
      <c r="J55" s="2708">
        <f>项目基本情况!F35</f>
        <v>0</v>
      </c>
      <c r="K55" s="2709" t="s">
        <v>2767</v>
      </c>
      <c r="L55" s="1108"/>
      <c r="M55" s="1146"/>
      <c r="N55" s="1146"/>
      <c r="O55" s="1146"/>
    </row>
    <row r="56" spans="1:15" s="692" customFormat="1">
      <c r="A56" s="688" t="s">
        <v>2768</v>
      </c>
      <c r="B56" s="689" t="e">
        <f>C48</f>
        <v>#DIV/0!</v>
      </c>
      <c r="C56" s="690">
        <v>1</v>
      </c>
      <c r="D56" s="1165">
        <v>1</v>
      </c>
      <c r="E56" s="690">
        <f>'数据-汇总表'!E8+'数据-汇总表'!E9</f>
        <v>271.14</v>
      </c>
      <c r="F56" s="1105" t="e">
        <f t="shared" ref="F56:F65" si="15">ROUND(B56*E56/10000,0)</f>
        <v>#DIV/0!</v>
      </c>
      <c r="G56" s="3220"/>
      <c r="H56" s="3250"/>
      <c r="I56" s="1110">
        <v>1</v>
      </c>
      <c r="J56" s="1113">
        <v>1</v>
      </c>
      <c r="K56" s="1147"/>
      <c r="L56" s="943"/>
      <c r="M56" s="943"/>
      <c r="N56" s="943"/>
      <c r="O56" s="943"/>
    </row>
    <row r="57" spans="1:15" s="692" customFormat="1">
      <c r="A57" s="693" t="s">
        <v>2769</v>
      </c>
      <c r="B57" s="262" t="e">
        <f>ROUND($C$48*C57*D57,0)</f>
        <v>#DIV/0!</v>
      </c>
      <c r="C57" s="200">
        <f t="shared" ref="C57:C65" si="16">IF($C$55="北京市系数",I57,J57)</f>
        <v>0</v>
      </c>
      <c r="D57" s="1166">
        <v>0.25</v>
      </c>
      <c r="E57" s="694"/>
      <c r="F57" s="1105" t="e">
        <f t="shared" si="15"/>
        <v>#DIV/0!</v>
      </c>
      <c r="G57" s="3297" t="s">
        <v>2770</v>
      </c>
      <c r="H57" s="1106">
        <f>项目基本情况!B37</f>
        <v>0</v>
      </c>
      <c r="I57" s="1110">
        <f>SUMIF(修正!A45:A56,H57,修正!B45:B56)</f>
        <v>0</v>
      </c>
      <c r="J57" s="1114"/>
      <c r="K57" s="1146"/>
      <c r="L57" s="943"/>
      <c r="M57" s="943"/>
      <c r="N57" s="943"/>
      <c r="O57" s="943"/>
    </row>
    <row r="58" spans="1:15" s="692" customFormat="1">
      <c r="A58" s="693" t="s">
        <v>2771</v>
      </c>
      <c r="B58" s="262" t="e">
        <f t="shared" ref="B58:B65" si="17">ROUND($C$48*C58*D58,0)</f>
        <v>#DIV/0!</v>
      </c>
      <c r="C58" s="200">
        <f t="shared" si="16"/>
        <v>0</v>
      </c>
      <c r="D58" s="1166">
        <v>0.25</v>
      </c>
      <c r="E58" s="694"/>
      <c r="F58" s="1105" t="e">
        <f t="shared" si="15"/>
        <v>#DIV/0!</v>
      </c>
      <c r="G58" s="3297"/>
      <c r="H58" s="1106">
        <f>项目基本情况!B37</f>
        <v>0</v>
      </c>
      <c r="I58" s="1110">
        <f>SUMIF(修正!A45:A56,H58,修正!C45:C56)</f>
        <v>0</v>
      </c>
      <c r="J58" s="1114"/>
      <c r="K58" s="1147"/>
      <c r="L58" s="943"/>
      <c r="M58" s="943"/>
      <c r="N58" s="943"/>
      <c r="O58" s="943"/>
    </row>
    <row r="59" spans="1:15" s="692" customFormat="1">
      <c r="A59" s="693" t="s">
        <v>2772</v>
      </c>
      <c r="B59" s="262" t="e">
        <f t="shared" si="17"/>
        <v>#DIV/0!</v>
      </c>
      <c r="C59" s="200">
        <f t="shared" si="16"/>
        <v>0</v>
      </c>
      <c r="D59" s="1166">
        <v>0.25</v>
      </c>
      <c r="E59" s="694"/>
      <c r="F59" s="1105" t="e">
        <f t="shared" si="15"/>
        <v>#DIV/0!</v>
      </c>
      <c r="G59" s="3297"/>
      <c r="H59" s="1106">
        <f>项目基本情况!B37</f>
        <v>0</v>
      </c>
      <c r="I59" s="1110">
        <f>SUMIF(修正!A45:A56,H59,修正!D45:D56)</f>
        <v>0</v>
      </c>
      <c r="J59" s="1114"/>
      <c r="K59" s="1146"/>
      <c r="L59" s="943"/>
      <c r="M59" s="943"/>
      <c r="N59" s="943"/>
      <c r="O59" s="943"/>
    </row>
    <row r="60" spans="1:15" s="692" customFormat="1">
      <c r="A60" s="693" t="s">
        <v>2773</v>
      </c>
      <c r="B60" s="262" t="e">
        <f t="shared" si="17"/>
        <v>#DIV/0!</v>
      </c>
      <c r="C60" s="200">
        <f t="shared" si="16"/>
        <v>0</v>
      </c>
      <c r="D60" s="1166">
        <v>0.25</v>
      </c>
      <c r="E60" s="694"/>
      <c r="F60" s="1105" t="e">
        <f t="shared" si="15"/>
        <v>#DIV/0!</v>
      </c>
      <c r="G60" s="3297"/>
      <c r="H60" s="1106">
        <f>项目基本情况!B37</f>
        <v>0</v>
      </c>
      <c r="I60" s="1110">
        <f>SUMIF(修正!A45:A56,H60,修正!E45:E56)</f>
        <v>0</v>
      </c>
      <c r="J60" s="1114"/>
      <c r="K60" s="1147"/>
      <c r="L60" s="943"/>
      <c r="M60" s="943"/>
      <c r="N60" s="943"/>
      <c r="O60" s="943"/>
    </row>
    <row r="61" spans="1:15" s="692" customFormat="1">
      <c r="A61" s="693" t="s">
        <v>2774</v>
      </c>
      <c r="B61" s="262" t="e">
        <f t="shared" si="17"/>
        <v>#DIV/0!</v>
      </c>
      <c r="C61" s="200">
        <f t="shared" si="16"/>
        <v>0</v>
      </c>
      <c r="D61" s="1166">
        <v>0.25</v>
      </c>
      <c r="E61" s="261">
        <f>'数据-汇总表'!E11</f>
        <v>0</v>
      </c>
      <c r="F61" s="1105" t="e">
        <f t="shared" si="15"/>
        <v>#DIV/0!</v>
      </c>
      <c r="G61" s="2710" t="s">
        <v>2775</v>
      </c>
      <c r="H61" s="1106">
        <f>项目基本情况!C37</f>
        <v>0</v>
      </c>
      <c r="I61" s="1110">
        <f>SUMIF(修正!A45:A56,H61,修正!F45:F56)</f>
        <v>0</v>
      </c>
      <c r="J61" s="1114"/>
      <c r="K61" s="1146"/>
      <c r="L61" s="943"/>
      <c r="M61" s="943"/>
      <c r="N61" s="943"/>
      <c r="O61" s="943"/>
    </row>
    <row r="62" spans="1:15" s="692" customFormat="1">
      <c r="A62" s="693" t="s">
        <v>2776</v>
      </c>
      <c r="B62" s="262" t="e">
        <f t="shared" si="17"/>
        <v>#DIV/0!</v>
      </c>
      <c r="C62" s="200">
        <f t="shared" si="16"/>
        <v>0</v>
      </c>
      <c r="D62" s="1166">
        <v>0.25</v>
      </c>
      <c r="E62" s="261">
        <f>'数据-汇总表'!E12</f>
        <v>323.76000000000005</v>
      </c>
      <c r="F62" s="1105" t="e">
        <f t="shared" si="15"/>
        <v>#DIV/0!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2778</v>
      </c>
      <c r="B63" s="262" t="e">
        <f t="shared" si="17"/>
        <v>#DIV/0!</v>
      </c>
      <c r="C63" s="200">
        <f t="shared" si="16"/>
        <v>0</v>
      </c>
      <c r="D63" s="1166">
        <v>0.25</v>
      </c>
      <c r="E63" s="261">
        <f>'数据-汇总表'!E13</f>
        <v>0</v>
      </c>
      <c r="F63" s="1105" t="e">
        <f t="shared" si="15"/>
        <v>#DIV/0!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2780</v>
      </c>
      <c r="B64" s="262" t="e">
        <f t="shared" si="17"/>
        <v>#DIV/0!</v>
      </c>
      <c r="C64" s="200">
        <f t="shared" si="16"/>
        <v>0</v>
      </c>
      <c r="D64" s="1166">
        <v>0.25</v>
      </c>
      <c r="E64" s="261">
        <f>'数据-汇总表'!E14</f>
        <v>0</v>
      </c>
      <c r="F64" s="1105" t="e">
        <f t="shared" si="15"/>
        <v>#DIV/0!</v>
      </c>
      <c r="G64" s="2710" t="s">
        <v>2770</v>
      </c>
      <c r="H64" s="1106">
        <f>项目基本情况!B37</f>
        <v>0</v>
      </c>
      <c r="I64" s="1110">
        <f>SUMIF(修正!A45:A56,H64,修正!H45:H56)</f>
        <v>0</v>
      </c>
      <c r="J64" s="1114"/>
      <c r="K64" s="1147"/>
      <c r="L64" s="943"/>
      <c r="M64" s="943"/>
      <c r="N64" s="943"/>
      <c r="O64" s="943"/>
    </row>
    <row r="65" spans="1:17" s="692" customFormat="1" ht="15" thickBot="1">
      <c r="A65" s="693" t="s">
        <v>2781</v>
      </c>
      <c r="B65" s="262" t="e">
        <f t="shared" si="17"/>
        <v>#DIV/0!</v>
      </c>
      <c r="C65" s="200">
        <f t="shared" si="16"/>
        <v>0</v>
      </c>
      <c r="D65" s="1166">
        <v>0.25</v>
      </c>
      <c r="E65" s="261">
        <f>'数据-汇总表'!E15</f>
        <v>0</v>
      </c>
      <c r="F65" s="1105" t="e">
        <f t="shared" si="15"/>
        <v>#DIV/0!</v>
      </c>
      <c r="G65" s="2711" t="s">
        <v>2775</v>
      </c>
      <c r="H65" s="1116">
        <f>项目基本情况!C37</f>
        <v>0</v>
      </c>
      <c r="I65" s="1112">
        <f>SUMIF(修正!A45:A56,H65,修正!H45:H56)</f>
        <v>0</v>
      </c>
      <c r="J65" s="1115"/>
      <c r="K65" s="1146"/>
      <c r="L65" s="943"/>
      <c r="M65" s="943"/>
      <c r="N65" s="943"/>
      <c r="O65" s="943"/>
    </row>
    <row r="66" spans="1:17" s="692" customFormat="1" ht="13.5" thickBot="1">
      <c r="A66" s="695" t="s">
        <v>2782</v>
      </c>
      <c r="B66" s="696" t="s">
        <v>28</v>
      </c>
      <c r="C66" s="696" t="s">
        <v>29</v>
      </c>
      <c r="D66" s="696" t="s">
        <v>1029</v>
      </c>
      <c r="E66" s="696">
        <f>IF(B46="楼面地价",SUM(E56:E65),'数据-汇总表'!D3)</f>
        <v>594.90000000000009</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2675</v>
      </c>
      <c r="B69" s="759"/>
      <c r="C69" s="764"/>
      <c r="D69" s="764"/>
      <c r="E69" s="764"/>
      <c r="F69" s="765"/>
      <c r="G69" s="765"/>
      <c r="H69" s="764"/>
      <c r="I69" s="764"/>
      <c r="J69" s="1161"/>
      <c r="K69" s="1162"/>
      <c r="L69" s="1163"/>
      <c r="M69" s="1161"/>
      <c r="N69" s="1161"/>
      <c r="O69" s="1161"/>
      <c r="P69" s="503"/>
      <c r="Q69" s="504"/>
    </row>
    <row r="70" spans="1:17" s="508" customFormat="1" ht="15">
      <c r="A70" s="2712" t="s">
        <v>2783</v>
      </c>
      <c r="B70" s="1361"/>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7"/>
    </row>
    <row r="71" spans="1:17" s="117" customFormat="1" ht="30" customHeight="1">
      <c r="A71" s="2713" t="s">
        <v>2784</v>
      </c>
      <c r="B71" s="332" t="str">
        <f>"北京市平均增长率"&amp;TEXT(SUMIF(基准地价修正!N21:N25,A71,基准地价修正!P21:P25),"0.00%")</f>
        <v>北京市平均增长率2.71%</v>
      </c>
      <c r="C71" s="603">
        <v>100</v>
      </c>
      <c r="D71" s="595"/>
      <c r="E71" s="595"/>
      <c r="F71" s="595"/>
      <c r="G71" s="595"/>
      <c r="H71" s="595"/>
      <c r="I71" s="595"/>
      <c r="J71" s="595"/>
      <c r="K71" s="595"/>
      <c r="L71" s="595"/>
      <c r="M71" s="1569"/>
      <c r="N71" s="595"/>
      <c r="O71" s="1570"/>
      <c r="P71" s="504"/>
    </row>
    <row r="72" spans="1:17" s="117" customFormat="1" ht="15.75" thickBot="1">
      <c r="A72" s="515" t="s">
        <v>2586</v>
      </c>
      <c r="B72" s="516"/>
      <c r="C72" s="517"/>
      <c r="D72" s="518"/>
      <c r="E72" s="518"/>
      <c r="F72" s="518"/>
      <c r="G72" s="518"/>
      <c r="H72" s="518"/>
      <c r="I72" s="518"/>
      <c r="J72" s="518"/>
      <c r="K72" s="518"/>
      <c r="L72" s="518"/>
      <c r="M72" s="519"/>
      <c r="N72" s="518"/>
      <c r="O72" s="1164"/>
      <c r="P72" s="504"/>
      <c r="Q72" s="504"/>
    </row>
    <row r="73" spans="1:17" s="117" customFormat="1" ht="15">
      <c r="A73" s="521" t="s">
        <v>2551</v>
      </c>
      <c r="B73" s="510"/>
      <c r="C73" s="522" t="s">
        <v>2653</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2589</v>
      </c>
      <c r="B75" s="528" t="s">
        <v>2555</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2558</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2692</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2751</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2793</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2794</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2795</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2796</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82" priority="14" stopIfTrue="1" operator="containsText" text="超过">
      <formula>NOT(ISERROR(SEARCH("超过",F51)))</formula>
    </cfRule>
  </conditionalFormatting>
  <conditionalFormatting sqref="J53">
    <cfRule type="containsText" dxfId="81" priority="13" stopIfTrue="1" operator="containsText" text="超过">
      <formula>NOT(ISERROR(SEARCH("超过",J53)))</formula>
    </cfRule>
  </conditionalFormatting>
  <conditionalFormatting sqref="H53">
    <cfRule type="containsText" dxfId="80" priority="12" stopIfTrue="1" operator="containsText" text="超过">
      <formula>NOT(ISERROR(SEARCH("超过",H53)))</formula>
    </cfRule>
  </conditionalFormatting>
  <conditionalFormatting sqref="F53">
    <cfRule type="containsText" dxfId="79" priority="11" stopIfTrue="1" operator="containsText" text="超过">
      <formula>NOT(ISERROR(SEARCH("超过",F53)))</formula>
    </cfRule>
  </conditionalFormatting>
  <conditionalFormatting sqref="F52 H52 J52">
    <cfRule type="containsText" dxfId="78" priority="10" stopIfTrue="1" operator="containsText" text="超过">
      <formula>NOT(ISERROR(SEARCH("超过",F52)))</formula>
    </cfRule>
  </conditionalFormatting>
  <conditionalFormatting sqref="E51">
    <cfRule type="expression" dxfId="77" priority="9" stopIfTrue="1">
      <formula>$F$51="超过30%"</formula>
    </cfRule>
  </conditionalFormatting>
  <conditionalFormatting sqref="G53">
    <cfRule type="expression" dxfId="76" priority="8" stopIfTrue="1">
      <formula>$H$53="超过30%"</formula>
    </cfRule>
  </conditionalFormatting>
  <conditionalFormatting sqref="E52">
    <cfRule type="expression" dxfId="75" priority="7" stopIfTrue="1">
      <formula>$F$52="超过20%"</formula>
    </cfRule>
  </conditionalFormatting>
  <conditionalFormatting sqref="E53">
    <cfRule type="expression" dxfId="74" priority="6" stopIfTrue="1">
      <formula>$F$53="超过30%"</formula>
    </cfRule>
  </conditionalFormatting>
  <conditionalFormatting sqref="G51">
    <cfRule type="expression" dxfId="73" priority="5" stopIfTrue="1">
      <formula>$H$53+$H$51="超过30%"</formula>
    </cfRule>
  </conditionalFormatting>
  <conditionalFormatting sqref="G52">
    <cfRule type="expression" dxfId="72" priority="4" stopIfTrue="1">
      <formula>$H$52="超过20%"</formula>
    </cfRule>
  </conditionalFormatting>
  <conditionalFormatting sqref="I51">
    <cfRule type="expression" dxfId="71" priority="3" stopIfTrue="1">
      <formula>$J$51="超过30%"</formula>
    </cfRule>
  </conditionalFormatting>
  <conditionalFormatting sqref="I52">
    <cfRule type="expression" dxfId="70" priority="2" stopIfTrue="1">
      <formula>$J$52="超过20%"</formula>
    </cfRule>
  </conditionalFormatting>
  <conditionalFormatting sqref="I53">
    <cfRule type="expression" dxfId="6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2646</v>
      </c>
      <c r="B4" s="402"/>
      <c r="C4" s="3224" t="s">
        <v>2647</v>
      </c>
      <c r="D4" s="3225"/>
      <c r="E4" s="3226" t="s">
        <v>2648</v>
      </c>
      <c r="F4" s="3227"/>
      <c r="G4" s="3224" t="s">
        <v>2649</v>
      </c>
      <c r="H4" s="3225"/>
      <c r="I4" s="3224" t="s">
        <v>2650</v>
      </c>
      <c r="J4" s="3225"/>
      <c r="K4" s="610" t="s">
        <v>2651</v>
      </c>
      <c r="L4" s="1132"/>
      <c r="M4" s="1133"/>
      <c r="N4" s="1133"/>
      <c r="O4" s="1133"/>
      <c r="P4" s="3286" t="s">
        <v>2652</v>
      </c>
      <c r="Q4" s="3287"/>
      <c r="R4" s="3282" t="s">
        <v>2648</v>
      </c>
      <c r="S4" s="3283"/>
      <c r="T4" s="3282" t="s">
        <v>2649</v>
      </c>
      <c r="U4" s="3283"/>
      <c r="V4" s="3237" t="s">
        <v>2650</v>
      </c>
      <c r="W4" s="3237"/>
      <c r="X4" s="1815"/>
      <c r="Y4" s="3282" t="s">
        <v>2652</v>
      </c>
      <c r="Z4" s="3283"/>
      <c r="AA4" s="3281" t="s">
        <v>2648</v>
      </c>
      <c r="AB4" s="3203" t="s">
        <v>2649</v>
      </c>
      <c r="AC4" s="3281" t="s">
        <v>2650</v>
      </c>
    </row>
    <row r="5" spans="1:29" ht="15">
      <c r="A5" s="404"/>
      <c r="B5" s="405"/>
      <c r="C5" s="3217" t="s">
        <v>2543</v>
      </c>
      <c r="D5" s="3214"/>
      <c r="E5" s="3284" t="s">
        <v>2544</v>
      </c>
      <c r="F5" s="3212"/>
      <c r="G5" s="3217" t="s">
        <v>2545</v>
      </c>
      <c r="H5" s="3214"/>
      <c r="I5" s="3217" t="s">
        <v>2546</v>
      </c>
      <c r="J5" s="3214"/>
      <c r="K5" s="610"/>
      <c r="L5" s="1132"/>
      <c r="M5" s="1133"/>
      <c r="N5" s="1133"/>
      <c r="O5" s="1133"/>
      <c r="P5" s="3288"/>
      <c r="Q5" s="3231"/>
      <c r="R5" s="3209"/>
      <c r="S5" s="3210"/>
      <c r="T5" s="3209"/>
      <c r="U5" s="3210"/>
      <c r="V5" s="3237"/>
      <c r="W5" s="3237"/>
      <c r="X5" s="1815"/>
      <c r="Y5" s="3209"/>
      <c r="Z5" s="3210"/>
      <c r="AA5" s="3203"/>
      <c r="AB5" s="3203"/>
      <c r="AC5" s="3203"/>
    </row>
    <row r="6" spans="1:29" ht="15.75" thickBot="1">
      <c r="A6" s="406"/>
      <c r="B6" s="407"/>
      <c r="C6" s="3298" t="s">
        <v>2798</v>
      </c>
      <c r="D6" s="3299"/>
      <c r="E6" s="3300" t="s">
        <v>2798</v>
      </c>
      <c r="F6" s="3301"/>
      <c r="G6" s="3298" t="s">
        <v>2798</v>
      </c>
      <c r="H6" s="3299"/>
      <c r="I6" s="3298" t="s">
        <v>2798</v>
      </c>
      <c r="J6" s="3299"/>
      <c r="K6" s="610" t="s">
        <v>2548</v>
      </c>
      <c r="L6" s="1132"/>
      <c r="M6" s="1133"/>
      <c r="N6" s="1133"/>
      <c r="O6" s="1133"/>
      <c r="P6" s="3289"/>
      <c r="Q6" s="3233"/>
      <c r="R6" s="3209"/>
      <c r="S6" s="3210"/>
      <c r="T6" s="3234"/>
      <c r="U6" s="3235"/>
      <c r="V6" s="3237"/>
      <c r="W6" s="3237"/>
      <c r="X6" s="1815"/>
      <c r="Y6" s="3234"/>
      <c r="Z6" s="3235"/>
      <c r="AA6" s="3204"/>
      <c r="AB6" s="3204"/>
      <c r="AC6" s="3204"/>
    </row>
    <row r="7" spans="1:29" s="117" customFormat="1" ht="15.75" thickBot="1">
      <c r="A7" s="408" t="s">
        <v>2549</v>
      </c>
      <c r="B7" s="409"/>
      <c r="C7" s="410">
        <f>'数据-取费表'!B2</f>
        <v>43100</v>
      </c>
      <c r="D7" s="411">
        <v>100</v>
      </c>
      <c r="E7" s="412"/>
      <c r="F7" s="413">
        <f>SUMIF(65:65,YEAR(E7)&amp;"-"&amp;INT((MONTH(E7)+2)/3),66:66)</f>
        <v>0</v>
      </c>
      <c r="G7" s="2697"/>
      <c r="H7" s="411">
        <f>SUMIF(65:65,YEAR(G7)&amp;"-"&amp;INT((MONTH(G7)+2)/3),66:66)</f>
        <v>0</v>
      </c>
      <c r="I7" s="2697"/>
      <c r="J7" s="411">
        <f>SUMIF(65:65,YEAR(I7)&amp;"-"&amp;INT((MONTH(I7)+2)/3),66:66)</f>
        <v>0</v>
      </c>
      <c r="K7" s="611"/>
      <c r="L7" s="1134"/>
      <c r="M7" s="1135"/>
      <c r="N7" s="1135"/>
      <c r="O7" s="1135"/>
      <c r="P7" s="3205" t="s">
        <v>2550</v>
      </c>
      <c r="Q7" s="3240"/>
      <c r="R7" s="770" t="s">
        <v>17</v>
      </c>
      <c r="S7" s="771">
        <f t="shared" ref="S7:S15" si="0">F7</f>
        <v>0</v>
      </c>
      <c r="T7" s="770" t="s">
        <v>17</v>
      </c>
      <c r="U7" s="771">
        <f t="shared" ref="U7:U15" si="1">H7</f>
        <v>0</v>
      </c>
      <c r="V7" s="770" t="s">
        <v>17</v>
      </c>
      <c r="W7" s="771">
        <f t="shared" ref="W7:W15" si="2">J7</f>
        <v>0</v>
      </c>
      <c r="X7" s="772"/>
      <c r="Y7" s="3205" t="s">
        <v>2550</v>
      </c>
      <c r="Z7" s="320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05" t="s">
        <v>2553</v>
      </c>
      <c r="Q8" s="3206"/>
      <c r="R8" s="770" t="s">
        <v>17</v>
      </c>
      <c r="S8" s="771">
        <f t="shared" si="0"/>
        <v>0</v>
      </c>
      <c r="T8" s="770" t="s">
        <v>17</v>
      </c>
      <c r="U8" s="771">
        <f t="shared" si="1"/>
        <v>0</v>
      </c>
      <c r="V8" s="770" t="s">
        <v>17</v>
      </c>
      <c r="W8" s="771">
        <f t="shared" si="2"/>
        <v>0</v>
      </c>
      <c r="X8" s="772"/>
      <c r="Y8" s="3205" t="s">
        <v>2553</v>
      </c>
      <c r="Z8" s="3206"/>
      <c r="AA8" s="773" t="e">
        <f t="shared" ref="AA8:AA40" si="3">D8/F8</f>
        <v>#DIV/0!</v>
      </c>
      <c r="AB8" s="773" t="e">
        <f t="shared" ref="AB8:AB40" si="4">D8/H8</f>
        <v>#DIV/0!</v>
      </c>
      <c r="AC8" s="773" t="e">
        <f t="shared" ref="AC8:AC40" si="5">D8/J8</f>
        <v>#DIV/0!</v>
      </c>
    </row>
    <row r="9" spans="1:29" s="117" customFormat="1">
      <c r="A9" s="415" t="s">
        <v>2554</v>
      </c>
      <c r="B9" s="71" t="s">
        <v>2555</v>
      </c>
      <c r="C9" s="2700"/>
      <c r="D9" s="135">
        <v>100</v>
      </c>
      <c r="E9" s="2700"/>
      <c r="F9" s="135">
        <f>SUMIF(70:70,E9,71:71)-SUMIF(70:70,C9,71:71)+100</f>
        <v>100</v>
      </c>
      <c r="G9" s="2700"/>
      <c r="H9" s="135">
        <f>SUMIF(70:70,G9,71:71)-SUMIF(70:70,C9,71:71)+100</f>
        <v>100</v>
      </c>
      <c r="I9" s="2700"/>
      <c r="J9" s="135">
        <f>SUMIF(70:70,I9,71:71)-SUMIF(70:70,C9,71:71)+100</f>
        <v>100</v>
      </c>
      <c r="K9" s="611"/>
      <c r="L9" s="1134"/>
      <c r="M9" s="1135"/>
      <c r="N9" s="1135"/>
      <c r="O9" s="1136"/>
      <c r="P9" s="3250" t="s">
        <v>2556</v>
      </c>
      <c r="Q9" s="1797" t="str">
        <f t="shared" ref="Q9:Q15" si="6">B9</f>
        <v>用途</v>
      </c>
      <c r="R9" s="770" t="s">
        <v>17</v>
      </c>
      <c r="S9" s="771">
        <f t="shared" si="0"/>
        <v>100</v>
      </c>
      <c r="T9" s="770" t="s">
        <v>17</v>
      </c>
      <c r="U9" s="771">
        <f t="shared" si="1"/>
        <v>100</v>
      </c>
      <c r="V9" s="770" t="s">
        <v>17</v>
      </c>
      <c r="W9" s="771">
        <f t="shared" si="2"/>
        <v>100</v>
      </c>
      <c r="X9" s="772"/>
      <c r="Y9" s="3074"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t="e">
        <f>ROUND(100/'数据-取费表'!G16,0)</f>
        <v>#DIV/0!</v>
      </c>
      <c r="G10" s="432"/>
      <c r="H10" s="136" t="e">
        <f>ROUND(100/'数据-取费表'!G16,0)</f>
        <v>#DIV/0!</v>
      </c>
      <c r="I10" s="432"/>
      <c r="J10" s="136" t="e">
        <f>ROUND(100/'数据-取费表'!G16,0)</f>
        <v>#DIV/0!</v>
      </c>
      <c r="K10" s="672"/>
      <c r="L10" s="1137"/>
      <c r="M10" s="1138"/>
      <c r="N10" s="1138"/>
      <c r="O10" s="1139"/>
      <c r="P10" s="3250"/>
      <c r="Q10" s="1797" t="str">
        <f t="shared" si="6"/>
        <v>土地使用年限（年）</v>
      </c>
      <c r="R10" s="770" t="s">
        <v>17</v>
      </c>
      <c r="S10" s="771" t="e">
        <f t="shared" si="0"/>
        <v>#DIV/0!</v>
      </c>
      <c r="T10" s="770" t="s">
        <v>17</v>
      </c>
      <c r="U10" s="771" t="e">
        <f t="shared" si="1"/>
        <v>#DIV/0!</v>
      </c>
      <c r="V10" s="770" t="s">
        <v>17</v>
      </c>
      <c r="W10" s="771" t="e">
        <f t="shared" si="2"/>
        <v>#DIV/0!</v>
      </c>
      <c r="X10" s="772"/>
      <c r="Y10" s="3074"/>
      <c r="Z10" s="55" t="str">
        <f t="shared" si="7"/>
        <v>土地使用年限（年）</v>
      </c>
      <c r="AA10" s="773" t="e">
        <f t="shared" si="3"/>
        <v>#DIV/0!</v>
      </c>
      <c r="AB10" s="773" t="e">
        <f t="shared" si="4"/>
        <v>#DIV/0!</v>
      </c>
      <c r="AC10" s="773" t="e">
        <f t="shared" si="5"/>
        <v>#DIV/0!</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50"/>
      <c r="Q11" s="1797" t="str">
        <f t="shared" si="6"/>
        <v>容积率</v>
      </c>
      <c r="R11" s="770" t="s">
        <v>17</v>
      </c>
      <c r="S11" s="771" t="e">
        <f t="shared" si="0"/>
        <v>#N/A</v>
      </c>
      <c r="T11" s="770" t="s">
        <v>17</v>
      </c>
      <c r="U11" s="771" t="e">
        <f t="shared" si="1"/>
        <v>#N/A</v>
      </c>
      <c r="V11" s="770" t="s">
        <v>17</v>
      </c>
      <c r="W11" s="771" t="e">
        <f t="shared" si="2"/>
        <v>#N/A</v>
      </c>
      <c r="X11" s="772"/>
      <c r="Y11" s="3074"/>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50"/>
      <c r="Q12" s="1797">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50"/>
      <c r="Q13" s="1797">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50"/>
      <c r="Q14" s="1797">
        <f t="shared" si="6"/>
        <v>111</v>
      </c>
      <c r="R14" s="770" t="s">
        <v>17</v>
      </c>
      <c r="S14" s="771">
        <f t="shared" si="0"/>
        <v>100</v>
      </c>
      <c r="T14" s="770" t="s">
        <v>17</v>
      </c>
      <c r="U14" s="771">
        <f t="shared" si="1"/>
        <v>100</v>
      </c>
      <c r="V14" s="770" t="s">
        <v>17</v>
      </c>
      <c r="W14" s="771">
        <f t="shared" si="2"/>
        <v>100</v>
      </c>
      <c r="X14" s="772"/>
      <c r="Y14" s="3074"/>
      <c r="Z14" s="55">
        <f t="shared" si="7"/>
        <v>111</v>
      </c>
      <c r="AA14" s="773">
        <f t="shared" si="3"/>
        <v>1</v>
      </c>
      <c r="AB14" s="773">
        <f t="shared" si="4"/>
        <v>1</v>
      </c>
      <c r="AC14" s="773">
        <f t="shared" si="5"/>
        <v>1</v>
      </c>
    </row>
    <row r="15" spans="1:29" ht="57">
      <c r="A15" s="440" t="s">
        <v>2560</v>
      </c>
      <c r="B15" s="629" t="s">
        <v>2799</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43" t="s">
        <v>2561</v>
      </c>
      <c r="Q15" s="1812" t="str">
        <f t="shared" si="6"/>
        <v>产业集聚程度</v>
      </c>
      <c r="R15" s="774" t="s">
        <v>17</v>
      </c>
      <c r="S15" s="775">
        <f t="shared" si="0"/>
        <v>100</v>
      </c>
      <c r="T15" s="774" t="s">
        <v>17</v>
      </c>
      <c r="U15" s="775">
        <f t="shared" si="1"/>
        <v>100</v>
      </c>
      <c r="V15" s="774" t="s">
        <v>17</v>
      </c>
      <c r="W15" s="775">
        <f t="shared" si="2"/>
        <v>100</v>
      </c>
      <c r="X15" s="1815"/>
      <c r="Y15" s="3243" t="s">
        <v>2561</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2"/>
      <c r="M16" s="1133"/>
      <c r="N16" s="1133"/>
      <c r="O16" s="1141"/>
      <c r="P16" s="3244"/>
      <c r="Q16" s="1812"/>
      <c r="R16" s="774"/>
      <c r="S16" s="775"/>
      <c r="T16" s="774"/>
      <c r="U16" s="775"/>
      <c r="V16" s="774"/>
      <c r="W16" s="775"/>
      <c r="X16" s="1815"/>
      <c r="Y16" s="3244"/>
      <c r="Z16" s="1816"/>
      <c r="AA16" s="1813">
        <v>1</v>
      </c>
      <c r="AB16" s="1813">
        <v>1</v>
      </c>
      <c r="AC16" s="1813">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44"/>
      <c r="Q17" s="1812" t="str">
        <f>B17</f>
        <v>交通便捷度</v>
      </c>
      <c r="R17" s="774" t="s">
        <v>17</v>
      </c>
      <c r="S17" s="775">
        <f>F17</f>
        <v>100</v>
      </c>
      <c r="T17" s="774" t="s">
        <v>17</v>
      </c>
      <c r="U17" s="775">
        <f>H17</f>
        <v>100</v>
      </c>
      <c r="V17" s="774" t="s">
        <v>17</v>
      </c>
      <c r="W17" s="775">
        <f>J17</f>
        <v>100</v>
      </c>
      <c r="X17" s="1815"/>
      <c r="Y17" s="3244"/>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2"/>
      <c r="M18" s="1133"/>
      <c r="N18" s="1133"/>
      <c r="O18" s="1141"/>
      <c r="P18" s="3244"/>
      <c r="Q18" s="1812"/>
      <c r="R18" s="774"/>
      <c r="S18" s="775"/>
      <c r="T18" s="774"/>
      <c r="U18" s="775"/>
      <c r="V18" s="774"/>
      <c r="W18" s="775"/>
      <c r="X18" s="1815"/>
      <c r="Y18" s="3244"/>
      <c r="Z18" s="1816"/>
      <c r="AA18" s="1813">
        <v>1</v>
      </c>
      <c r="AB18" s="1813">
        <v>1</v>
      </c>
      <c r="AC18" s="1813">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44"/>
      <c r="Q19" s="1812" t="str">
        <f t="shared" ref="Q19:Q33" si="8">B19</f>
        <v>区域土地利用方向</v>
      </c>
      <c r="R19" s="774" t="s">
        <v>17</v>
      </c>
      <c r="S19" s="775">
        <f>F19</f>
        <v>100</v>
      </c>
      <c r="T19" s="774" t="s">
        <v>17</v>
      </c>
      <c r="U19" s="775">
        <f>H19</f>
        <v>100</v>
      </c>
      <c r="V19" s="774" t="s">
        <v>17</v>
      </c>
      <c r="W19" s="775">
        <f>J19</f>
        <v>100</v>
      </c>
      <c r="X19" s="1815"/>
      <c r="Y19" s="3244"/>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1"/>
      <c r="L20" s="1142"/>
      <c r="M20" s="1133"/>
      <c r="N20" s="1133"/>
      <c r="O20" s="1141"/>
      <c r="P20" s="3244"/>
      <c r="Q20" s="1812"/>
      <c r="R20" s="774"/>
      <c r="S20" s="775"/>
      <c r="T20" s="774"/>
      <c r="U20" s="775"/>
      <c r="V20" s="774"/>
      <c r="W20" s="775"/>
      <c r="X20" s="1815"/>
      <c r="Y20" s="3244"/>
      <c r="Z20" s="1816"/>
      <c r="AA20" s="1813"/>
      <c r="AB20" s="1813"/>
      <c r="AC20" s="1813"/>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44"/>
      <c r="Q21" s="1812" t="str">
        <f t="shared" si="8"/>
        <v>环境状况</v>
      </c>
      <c r="R21" s="774" t="s">
        <v>17</v>
      </c>
      <c r="S21" s="775">
        <f>F21</f>
        <v>100</v>
      </c>
      <c r="T21" s="774" t="s">
        <v>17</v>
      </c>
      <c r="U21" s="775">
        <f>H21</f>
        <v>100</v>
      </c>
      <c r="V21" s="774" t="s">
        <v>17</v>
      </c>
      <c r="W21" s="775">
        <f>J21</f>
        <v>100</v>
      </c>
      <c r="X21" s="1815"/>
      <c r="Y21" s="3244"/>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2"/>
      <c r="M22" s="1133"/>
      <c r="N22" s="1133"/>
      <c r="O22" s="1141"/>
      <c r="P22" s="3244"/>
      <c r="Q22" s="1812"/>
      <c r="R22" s="774"/>
      <c r="S22" s="775"/>
      <c r="T22" s="774"/>
      <c r="U22" s="775"/>
      <c r="V22" s="774"/>
      <c r="W22" s="775"/>
      <c r="X22" s="1815"/>
      <c r="Y22" s="3244"/>
      <c r="Z22" s="1816"/>
      <c r="AA22" s="1813">
        <v>1</v>
      </c>
      <c r="AB22" s="1813">
        <v>1</v>
      </c>
      <c r="AC22" s="1813">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44"/>
      <c r="Q23" s="1797" t="str">
        <f t="shared" si="8"/>
        <v>公共配套设施</v>
      </c>
      <c r="R23" s="770" t="s">
        <v>17</v>
      </c>
      <c r="S23" s="771">
        <f>F23</f>
        <v>100</v>
      </c>
      <c r="T23" s="770" t="s">
        <v>17</v>
      </c>
      <c r="U23" s="771">
        <f>H23</f>
        <v>100</v>
      </c>
      <c r="V23" s="770" t="s">
        <v>17</v>
      </c>
      <c r="W23" s="771">
        <f>J23</f>
        <v>100</v>
      </c>
      <c r="X23" s="772"/>
      <c r="Y23" s="3244"/>
      <c r="Z23" s="55" t="str">
        <f>Q23</f>
        <v>公共配套设施</v>
      </c>
      <c r="AA23" s="1813">
        <f>D23/F23</f>
        <v>1</v>
      </c>
      <c r="AB23" s="1813">
        <f>D23/H23</f>
        <v>1</v>
      </c>
      <c r="AC23" s="1813">
        <f>D23/J23</f>
        <v>1</v>
      </c>
    </row>
    <row r="24" spans="1:29" s="117" customFormat="1" ht="15">
      <c r="A24" s="649"/>
      <c r="B24" s="632"/>
      <c r="C24" s="2701"/>
      <c r="D24" s="448"/>
      <c r="E24" s="2612"/>
      <c r="F24" s="448"/>
      <c r="G24" s="2612"/>
      <c r="H24" s="448"/>
      <c r="I24" s="447"/>
      <c r="J24" s="448"/>
      <c r="K24" s="672"/>
      <c r="L24" s="1134"/>
      <c r="M24" s="1135"/>
      <c r="N24" s="1135"/>
      <c r="O24" s="1136"/>
      <c r="P24" s="3244"/>
      <c r="Q24" s="1797"/>
      <c r="R24" s="770"/>
      <c r="S24" s="771"/>
      <c r="T24" s="770"/>
      <c r="U24" s="771"/>
      <c r="V24" s="770"/>
      <c r="W24" s="771"/>
      <c r="X24" s="772"/>
      <c r="Y24" s="3244"/>
      <c r="Z24" s="55"/>
      <c r="AA24" s="773">
        <v>1</v>
      </c>
      <c r="AB24" s="773">
        <v>1</v>
      </c>
      <c r="AC24" s="773">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44"/>
      <c r="Q25" s="1797" t="str">
        <f t="shared" ref="Q25" si="9">B25</f>
        <v>基础设施水平</v>
      </c>
      <c r="R25" s="770" t="s">
        <v>17</v>
      </c>
      <c r="S25" s="771">
        <f>F25</f>
        <v>100</v>
      </c>
      <c r="T25" s="770" t="s">
        <v>17</v>
      </c>
      <c r="U25" s="771">
        <f>H25</f>
        <v>100</v>
      </c>
      <c r="V25" s="770" t="s">
        <v>17</v>
      </c>
      <c r="W25" s="771">
        <f>J25</f>
        <v>100</v>
      </c>
      <c r="X25" s="772"/>
      <c r="Y25" s="3244"/>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4"/>
      <c r="M26" s="1135"/>
      <c r="N26" s="1135"/>
      <c r="O26" s="1136"/>
      <c r="P26" s="3244"/>
      <c r="Q26" s="1797"/>
      <c r="R26" s="770"/>
      <c r="S26" s="771"/>
      <c r="T26" s="770"/>
      <c r="U26" s="771"/>
      <c r="V26" s="770"/>
      <c r="W26" s="771"/>
      <c r="X26" s="772"/>
      <c r="Y26" s="3244"/>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4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44"/>
      <c r="Z27" s="1816" t="str">
        <f t="shared" ref="Z27:Z40" si="13">Q27</f>
        <v>临街状况</v>
      </c>
      <c r="AA27" s="1813">
        <f t="shared" si="3"/>
        <v>1</v>
      </c>
      <c r="AB27" s="1813">
        <f t="shared" si="4"/>
        <v>1</v>
      </c>
      <c r="AC27" s="1813">
        <f t="shared" si="5"/>
        <v>1</v>
      </c>
    </row>
    <row r="28" spans="1:29" ht="27">
      <c r="A28" s="428"/>
      <c r="B28" s="633" t="s">
        <v>2692</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44"/>
      <c r="Q28" s="1812" t="str">
        <f t="shared" si="8"/>
        <v>毗邻道路的类型与等级</v>
      </c>
      <c r="R28" s="774" t="s">
        <v>17</v>
      </c>
      <c r="S28" s="775">
        <f t="shared" si="10"/>
        <v>100</v>
      </c>
      <c r="T28" s="774" t="s">
        <v>17</v>
      </c>
      <c r="U28" s="775">
        <f t="shared" si="11"/>
        <v>100</v>
      </c>
      <c r="V28" s="774" t="s">
        <v>17</v>
      </c>
      <c r="W28" s="775">
        <f t="shared" si="12"/>
        <v>100</v>
      </c>
      <c r="X28" s="1815"/>
      <c r="Y28" s="3244"/>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2"/>
      <c r="M29" s="1133"/>
      <c r="N29" s="1133"/>
      <c r="O29" s="1141"/>
      <c r="P29" s="3244"/>
      <c r="Q29" s="1812"/>
      <c r="R29" s="774"/>
      <c r="S29" s="775"/>
      <c r="T29" s="774"/>
      <c r="U29" s="775"/>
      <c r="V29" s="774"/>
      <c r="W29" s="775"/>
      <c r="X29" s="1815"/>
      <c r="Y29" s="3244"/>
      <c r="Z29" s="1816"/>
      <c r="AA29" s="1813">
        <v>1</v>
      </c>
      <c r="AB29" s="1813">
        <v>1</v>
      </c>
      <c r="AC29" s="1813">
        <v>1</v>
      </c>
    </row>
    <row r="30" spans="1:29" ht="15">
      <c r="A30" s="428"/>
      <c r="B30" s="654" t="s">
        <v>2751</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44"/>
      <c r="Q30" s="1812" t="str">
        <f t="shared" si="8"/>
        <v>土地级别</v>
      </c>
      <c r="R30" s="774" t="s">
        <v>17</v>
      </c>
      <c r="S30" s="775">
        <f t="shared" si="10"/>
        <v>100</v>
      </c>
      <c r="T30" s="774" t="s">
        <v>17</v>
      </c>
      <c r="U30" s="775">
        <f t="shared" si="11"/>
        <v>100</v>
      </c>
      <c r="V30" s="774" t="s">
        <v>17</v>
      </c>
      <c r="W30" s="775">
        <f t="shared" si="12"/>
        <v>100</v>
      </c>
      <c r="X30" s="1815"/>
      <c r="Y30" s="3244"/>
      <c r="Z30" s="1816" t="str">
        <f t="shared" si="13"/>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44"/>
      <c r="Q31" s="1812">
        <f t="shared" si="8"/>
        <v>111</v>
      </c>
      <c r="R31" s="774" t="s">
        <v>17</v>
      </c>
      <c r="S31" s="775">
        <f t="shared" si="10"/>
        <v>100</v>
      </c>
      <c r="T31" s="774" t="s">
        <v>17</v>
      </c>
      <c r="U31" s="775">
        <f t="shared" si="11"/>
        <v>100</v>
      </c>
      <c r="V31" s="774" t="s">
        <v>17</v>
      </c>
      <c r="W31" s="775">
        <f t="shared" si="12"/>
        <v>100</v>
      </c>
      <c r="X31" s="1815"/>
      <c r="Y31" s="3244"/>
      <c r="Z31" s="1816">
        <f t="shared" si="13"/>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93" t="s">
        <v>2566</v>
      </c>
      <c r="Q32" s="1812">
        <f t="shared" si="8"/>
        <v>111</v>
      </c>
      <c r="R32" s="774" t="s">
        <v>17</v>
      </c>
      <c r="S32" s="775">
        <f t="shared" si="10"/>
        <v>100</v>
      </c>
      <c r="T32" s="774" t="s">
        <v>17</v>
      </c>
      <c r="U32" s="775">
        <f t="shared" si="11"/>
        <v>100</v>
      </c>
      <c r="V32" s="774" t="s">
        <v>17</v>
      </c>
      <c r="W32" s="775">
        <f t="shared" si="12"/>
        <v>100</v>
      </c>
      <c r="X32" s="1815"/>
      <c r="Y32" s="3248" t="s">
        <v>2566</v>
      </c>
      <c r="Z32" s="1816">
        <f t="shared" si="13"/>
        <v>111</v>
      </c>
      <c r="AA32" s="1813">
        <f t="shared" si="3"/>
        <v>1</v>
      </c>
      <c r="AB32" s="1813">
        <f t="shared" si="4"/>
        <v>1</v>
      </c>
      <c r="AC32" s="1813">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48"/>
      <c r="Q33" s="1812">
        <f t="shared" si="8"/>
        <v>111</v>
      </c>
      <c r="R33" s="777" t="s">
        <v>17</v>
      </c>
      <c r="S33" s="778">
        <f t="shared" si="10"/>
        <v>100</v>
      </c>
      <c r="T33" s="777" t="s">
        <v>17</v>
      </c>
      <c r="U33" s="778">
        <f t="shared" si="11"/>
        <v>100</v>
      </c>
      <c r="V33" s="777" t="s">
        <v>17</v>
      </c>
      <c r="W33" s="778">
        <f t="shared" si="12"/>
        <v>100</v>
      </c>
      <c r="X33" s="779"/>
      <c r="Y33" s="3248"/>
      <c r="Z33" s="780">
        <f t="shared" si="13"/>
        <v>111</v>
      </c>
      <c r="AA33" s="1813">
        <f t="shared" si="3"/>
        <v>1</v>
      </c>
      <c r="AB33" s="1813">
        <f t="shared" si="4"/>
        <v>1</v>
      </c>
      <c r="AC33" s="1813">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48"/>
      <c r="Q34" s="1812" t="str">
        <f>B34</f>
        <v>宗地面积</v>
      </c>
      <c r="R34" s="774" t="s">
        <v>17</v>
      </c>
      <c r="S34" s="775" t="e">
        <f t="shared" si="10"/>
        <v>#N/A</v>
      </c>
      <c r="T34" s="774" t="s">
        <v>17</v>
      </c>
      <c r="U34" s="775" t="e">
        <f t="shared" si="11"/>
        <v>#N/A</v>
      </c>
      <c r="V34" s="774" t="s">
        <v>17</v>
      </c>
      <c r="W34" s="775" t="e">
        <f t="shared" si="12"/>
        <v>#N/A</v>
      </c>
      <c r="X34" s="1815"/>
      <c r="Y34" s="3248"/>
      <c r="Z34" s="1816" t="str">
        <f t="shared" si="13"/>
        <v>宗地面积</v>
      </c>
      <c r="AA34" s="1813" t="e">
        <f t="shared" si="3"/>
        <v>#N/A</v>
      </c>
      <c r="AB34" s="1813" t="e">
        <f t="shared" si="4"/>
        <v>#N/A</v>
      </c>
      <c r="AC34" s="1813"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2"/>
      <c r="M35" s="1133"/>
      <c r="N35" s="1133"/>
      <c r="O35" s="1141"/>
      <c r="P35" s="3248"/>
      <c r="Q35" s="1812" t="str">
        <f t="shared" ref="Q35:Q40" si="14">B35</f>
        <v>宗地形状</v>
      </c>
      <c r="R35" s="774" t="s">
        <v>17</v>
      </c>
      <c r="S35" s="775">
        <f t="shared" si="10"/>
        <v>100</v>
      </c>
      <c r="T35" s="774" t="s">
        <v>17</v>
      </c>
      <c r="U35" s="775">
        <f t="shared" si="11"/>
        <v>100</v>
      </c>
      <c r="V35" s="774" t="s">
        <v>17</v>
      </c>
      <c r="W35" s="775">
        <f t="shared" si="12"/>
        <v>100</v>
      </c>
      <c r="X35" s="1815"/>
      <c r="Y35" s="3248"/>
      <c r="Z35" s="1816" t="str">
        <f t="shared" si="13"/>
        <v>宗地形状</v>
      </c>
      <c r="AA35" s="1813">
        <f t="shared" si="3"/>
        <v>1</v>
      </c>
      <c r="AB35" s="1813">
        <f t="shared" si="4"/>
        <v>1</v>
      </c>
      <c r="AC35" s="1813">
        <f t="shared" si="5"/>
        <v>1</v>
      </c>
    </row>
    <row r="36" spans="1:29" s="117" customFormat="1" ht="15">
      <c r="A36" s="473"/>
      <c r="B36" s="422" t="s">
        <v>2755</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4"/>
      <c r="M36" s="1135"/>
      <c r="N36" s="1135"/>
      <c r="O36" s="1136"/>
      <c r="P36" s="3248"/>
      <c r="Q36" s="1812" t="str">
        <f t="shared" si="14"/>
        <v>宗地开发程度</v>
      </c>
      <c r="R36" s="770" t="s">
        <v>17</v>
      </c>
      <c r="S36" s="771">
        <f t="shared" si="10"/>
        <v>100</v>
      </c>
      <c r="T36" s="770" t="s">
        <v>17</v>
      </c>
      <c r="U36" s="771">
        <f t="shared" si="11"/>
        <v>100</v>
      </c>
      <c r="V36" s="770" t="s">
        <v>17</v>
      </c>
      <c r="W36" s="771">
        <f t="shared" si="12"/>
        <v>100</v>
      </c>
      <c r="X36" s="772"/>
      <c r="Y36" s="3248"/>
      <c r="Z36" s="55" t="str">
        <f t="shared" si="13"/>
        <v>宗地开发程度</v>
      </c>
      <c r="AA36" s="773">
        <f t="shared" si="3"/>
        <v>1</v>
      </c>
      <c r="AB36" s="773">
        <f t="shared" si="4"/>
        <v>1</v>
      </c>
      <c r="AC36" s="773">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2"/>
      <c r="M37" s="1133"/>
      <c r="N37" s="1133"/>
      <c r="O37" s="1141"/>
      <c r="P37" s="3248" t="s">
        <v>2566</v>
      </c>
      <c r="Q37" s="1812" t="str">
        <f t="shared" si="14"/>
        <v>工程地质条件</v>
      </c>
      <c r="R37" s="774" t="s">
        <v>17</v>
      </c>
      <c r="S37" s="775">
        <f t="shared" si="10"/>
        <v>100</v>
      </c>
      <c r="T37" s="774" t="s">
        <v>17</v>
      </c>
      <c r="U37" s="775">
        <f t="shared" si="11"/>
        <v>100</v>
      </c>
      <c r="V37" s="774" t="s">
        <v>17</v>
      </c>
      <c r="W37" s="775">
        <f t="shared" si="12"/>
        <v>100</v>
      </c>
      <c r="X37" s="1815"/>
      <c r="Y37" s="3248" t="s">
        <v>2566</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48"/>
      <c r="Q38" s="1812">
        <f t="shared" si="14"/>
        <v>111</v>
      </c>
      <c r="R38" s="774" t="s">
        <v>17</v>
      </c>
      <c r="S38" s="775">
        <f t="shared" si="10"/>
        <v>100</v>
      </c>
      <c r="T38" s="774" t="s">
        <v>17</v>
      </c>
      <c r="U38" s="775">
        <f t="shared" si="11"/>
        <v>100</v>
      </c>
      <c r="V38" s="774" t="s">
        <v>17</v>
      </c>
      <c r="W38" s="775">
        <f t="shared" si="12"/>
        <v>100</v>
      </c>
      <c r="X38" s="1815"/>
      <c r="Y38" s="3248"/>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48"/>
      <c r="Q39" s="1812">
        <f t="shared" si="14"/>
        <v>111</v>
      </c>
      <c r="R39" s="774" t="s">
        <v>17</v>
      </c>
      <c r="S39" s="775">
        <f t="shared" si="10"/>
        <v>100</v>
      </c>
      <c r="T39" s="774" t="s">
        <v>17</v>
      </c>
      <c r="U39" s="775">
        <f t="shared" si="11"/>
        <v>100</v>
      </c>
      <c r="V39" s="774" t="s">
        <v>17</v>
      </c>
      <c r="W39" s="775">
        <f t="shared" si="12"/>
        <v>100</v>
      </c>
      <c r="X39" s="1815"/>
      <c r="Y39" s="3248"/>
      <c r="Z39" s="1816">
        <f t="shared" si="13"/>
        <v>111</v>
      </c>
      <c r="AA39" s="1813">
        <f t="shared" si="3"/>
        <v>1</v>
      </c>
      <c r="AB39" s="1813">
        <f t="shared" si="4"/>
        <v>1</v>
      </c>
      <c r="AC39" s="1813">
        <f t="shared" si="5"/>
        <v>1</v>
      </c>
    </row>
    <row r="40" spans="1:29" s="471" customFormat="1" ht="15.75" thickBot="1">
      <c r="A40" s="468"/>
      <c r="B40" s="1389">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48"/>
      <c r="Q40" s="1812">
        <f t="shared" si="14"/>
        <v>111</v>
      </c>
      <c r="R40" s="777" t="s">
        <v>17</v>
      </c>
      <c r="S40" s="778">
        <f t="shared" si="10"/>
        <v>100</v>
      </c>
      <c r="T40" s="777" t="s">
        <v>17</v>
      </c>
      <c r="U40" s="778">
        <f t="shared" si="11"/>
        <v>100</v>
      </c>
      <c r="V40" s="777" t="s">
        <v>17</v>
      </c>
      <c r="W40" s="778">
        <f t="shared" si="12"/>
        <v>100</v>
      </c>
      <c r="X40" s="779"/>
      <c r="Y40" s="3248"/>
      <c r="Z40" s="780">
        <f t="shared" si="13"/>
        <v>111</v>
      </c>
      <c r="AA40" s="1813">
        <f t="shared" si="3"/>
        <v>1</v>
      </c>
      <c r="AB40" s="1813">
        <f t="shared" si="4"/>
        <v>1</v>
      </c>
      <c r="AC40" s="1813">
        <f t="shared" si="5"/>
        <v>1</v>
      </c>
    </row>
    <row r="41" spans="1:29" ht="15">
      <c r="A41" s="479" t="s">
        <v>2721</v>
      </c>
      <c r="B41" s="2705" t="s">
        <v>2801</v>
      </c>
      <c r="C41" s="682" t="s">
        <v>1</v>
      </c>
      <c r="D41" s="481"/>
      <c r="E41" s="482"/>
      <c r="F41" s="483"/>
      <c r="G41" s="484"/>
      <c r="H41" s="485"/>
      <c r="I41" s="482"/>
      <c r="J41" s="485"/>
      <c r="K41" s="783"/>
      <c r="L41" s="1145"/>
      <c r="M41" s="1133"/>
      <c r="N41" s="1133"/>
      <c r="O41" s="1146"/>
      <c r="P41" s="3250" t="str">
        <f>A41</f>
        <v>成交单价</v>
      </c>
      <c r="Q41" s="3250"/>
      <c r="R41" s="3237">
        <f>E41</f>
        <v>0</v>
      </c>
      <c r="S41" s="3237"/>
      <c r="T41" s="3237">
        <f>G41</f>
        <v>0</v>
      </c>
      <c r="U41" s="3237"/>
      <c r="V41" s="3237">
        <f>I41</f>
        <v>0</v>
      </c>
      <c r="W41" s="323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5"/>
      <c r="M42" s="1133"/>
      <c r="N42" s="1133"/>
      <c r="O42" s="1146"/>
      <c r="P42" s="3250" t="str">
        <f>A42</f>
        <v>比较价值（元/平方米）</v>
      </c>
      <c r="Q42" s="3250"/>
      <c r="R42" s="3294" t="e">
        <f>ROUND(PRODUCT(R41,AA7:AA40),0)</f>
        <v>#DIV/0!</v>
      </c>
      <c r="S42" s="3294"/>
      <c r="T42" s="3294" t="e">
        <f>ROUND(PRODUCT(T41,AB7:AB40),0)</f>
        <v>#DIV/0!</v>
      </c>
      <c r="U42" s="3294"/>
      <c r="V42" s="3294" t="e">
        <f>ROUND(PRODUCT(V41,AC7:AC40),0)</f>
        <v>#DIV/0!</v>
      </c>
      <c r="W42" s="329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5"/>
      <c r="M43" s="1133"/>
      <c r="N43" s="1133"/>
      <c r="O43" s="1146"/>
      <c r="P43" s="3290" t="str">
        <f>A43</f>
        <v>估价对象XX用房的比较价值（楼面单价，元/平方米）</v>
      </c>
      <c r="Q43" s="3291"/>
      <c r="R43" s="3295" t="e">
        <f>ROUND(AVERAGE(R42:V42),0)</f>
        <v>#DIV/0!</v>
      </c>
      <c r="S43" s="3295"/>
      <c r="T43" s="3295"/>
      <c r="U43" s="3295"/>
      <c r="V43" s="3295"/>
      <c r="W43" s="3295"/>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2759</v>
      </c>
      <c r="B50" s="685" t="s">
        <v>2760</v>
      </c>
      <c r="C50" s="2706" t="s">
        <v>2761</v>
      </c>
      <c r="D50" s="2707" t="s">
        <v>2762</v>
      </c>
      <c r="E50" s="686" t="s">
        <v>2763</v>
      </c>
      <c r="F50" s="687" t="s">
        <v>2764</v>
      </c>
      <c r="G50" s="3224" t="s">
        <v>2765</v>
      </c>
      <c r="H50" s="3296"/>
      <c r="I50" s="1816" t="s">
        <v>2802</v>
      </c>
      <c r="J50" s="1816">
        <f>项目基本情况!F35</f>
        <v>0</v>
      </c>
      <c r="K50" s="2709" t="s">
        <v>2767</v>
      </c>
      <c r="L50" s="1108"/>
      <c r="M50" s="1146"/>
      <c r="N50" s="1146"/>
      <c r="O50" s="1146"/>
    </row>
    <row r="51" spans="1:17" s="692" customFormat="1">
      <c r="A51" s="688" t="s">
        <v>2768</v>
      </c>
      <c r="B51" s="689" t="e">
        <f>C43</f>
        <v>#DIV/0!</v>
      </c>
      <c r="C51" s="690">
        <v>1</v>
      </c>
      <c r="D51" s="1165">
        <v>1</v>
      </c>
      <c r="E51" s="690">
        <f>'数据-汇总表'!E8+'数据-汇总表'!E9</f>
        <v>271.14</v>
      </c>
      <c r="F51" s="691" t="e">
        <f t="shared" ref="F51:F60" si="15">ROUND(B51*E51/10000,0)</f>
        <v>#DIV/0!</v>
      </c>
      <c r="G51" s="3220"/>
      <c r="H51" s="3250"/>
      <c r="I51" s="944">
        <v>1</v>
      </c>
      <c r="J51" s="944">
        <v>1</v>
      </c>
      <c r="K51" s="1147"/>
      <c r="L51" s="943"/>
      <c r="M51" s="943"/>
      <c r="N51" s="943"/>
      <c r="O51" s="943"/>
    </row>
    <row r="52" spans="1:17" s="692" customFormat="1">
      <c r="A52" s="693" t="s">
        <v>2769</v>
      </c>
      <c r="B52" s="262" t="e">
        <f>ROUND($C$43*C52*D52,0)</f>
        <v>#DIV/0!</v>
      </c>
      <c r="C52" s="200">
        <f t="shared" ref="C52:C60" si="16">IF($C$50="北京市系数",I52,J52)</f>
        <v>0</v>
      </c>
      <c r="D52" s="1166">
        <v>0.25</v>
      </c>
      <c r="E52" s="694"/>
      <c r="F52" s="691" t="e">
        <f t="shared" si="15"/>
        <v>#DIV/0!</v>
      </c>
      <c r="G52" s="3297" t="s">
        <v>2770</v>
      </c>
      <c r="H52" s="1106">
        <f>项目基本情况!B37</f>
        <v>0</v>
      </c>
      <c r="I52" s="944">
        <f>SUMIF(修正!A45:A56,H52,修正!B45:B56)</f>
        <v>0</v>
      </c>
      <c r="J52" s="945"/>
      <c r="K52" s="1146"/>
      <c r="L52" s="943"/>
      <c r="M52" s="943"/>
      <c r="N52" s="943"/>
      <c r="O52" s="943"/>
    </row>
    <row r="53" spans="1:17" s="692" customFormat="1">
      <c r="A53" s="693" t="s">
        <v>2771</v>
      </c>
      <c r="B53" s="262" t="e">
        <f t="shared" ref="B53:B60" si="17">ROUND($C$43*C53*D53,0)</f>
        <v>#DIV/0!</v>
      </c>
      <c r="C53" s="200">
        <f t="shared" si="16"/>
        <v>0</v>
      </c>
      <c r="D53" s="1166">
        <v>0.25</v>
      </c>
      <c r="E53" s="694"/>
      <c r="F53" s="691" t="e">
        <f t="shared" si="15"/>
        <v>#DIV/0!</v>
      </c>
      <c r="G53" s="3297"/>
      <c r="H53" s="1106">
        <f>项目基本情况!B37</f>
        <v>0</v>
      </c>
      <c r="I53" s="944">
        <f>SUMIF(修正!A45:A56,H53,修正!C45:C56)</f>
        <v>0</v>
      </c>
      <c r="J53" s="945"/>
      <c r="K53" s="1147"/>
      <c r="L53" s="943"/>
      <c r="M53" s="943"/>
      <c r="N53" s="943"/>
      <c r="O53" s="943"/>
    </row>
    <row r="54" spans="1:17" s="692" customFormat="1">
      <c r="A54" s="693" t="s">
        <v>2772</v>
      </c>
      <c r="B54" s="262" t="e">
        <f t="shared" si="17"/>
        <v>#DIV/0!</v>
      </c>
      <c r="C54" s="200">
        <f t="shared" si="16"/>
        <v>0</v>
      </c>
      <c r="D54" s="1166">
        <v>0.25</v>
      </c>
      <c r="E54" s="694"/>
      <c r="F54" s="691" t="e">
        <f t="shared" si="15"/>
        <v>#DIV/0!</v>
      </c>
      <c r="G54" s="3297"/>
      <c r="H54" s="1106">
        <f>项目基本情况!B37</f>
        <v>0</v>
      </c>
      <c r="I54" s="944">
        <f>SUMIF(修正!A45:A56,H54,修正!D45:D56)</f>
        <v>0</v>
      </c>
      <c r="J54" s="945"/>
      <c r="K54" s="1146"/>
      <c r="L54" s="943"/>
      <c r="M54" s="943"/>
      <c r="N54" s="943"/>
      <c r="O54" s="943"/>
    </row>
    <row r="55" spans="1:17" s="692" customFormat="1">
      <c r="A55" s="693" t="s">
        <v>2773</v>
      </c>
      <c r="B55" s="262" t="e">
        <f t="shared" si="17"/>
        <v>#DIV/0!</v>
      </c>
      <c r="C55" s="200">
        <f t="shared" si="16"/>
        <v>0</v>
      </c>
      <c r="D55" s="1166">
        <v>0.25</v>
      </c>
      <c r="E55" s="694"/>
      <c r="F55" s="691" t="e">
        <f t="shared" si="15"/>
        <v>#DIV/0!</v>
      </c>
      <c r="G55" s="3297"/>
      <c r="H55" s="1106">
        <f>项目基本情况!B37</f>
        <v>0</v>
      </c>
      <c r="I55" s="944">
        <f>SUMIF(修正!A45:A56,H55,修正!E45:E56)</f>
        <v>0</v>
      </c>
      <c r="J55" s="945"/>
      <c r="K55" s="1147"/>
      <c r="L55" s="943"/>
      <c r="M55" s="943"/>
      <c r="N55" s="943"/>
      <c r="O55" s="943"/>
    </row>
    <row r="56" spans="1:17" s="692" customFormat="1">
      <c r="A56" s="693" t="s">
        <v>2774</v>
      </c>
      <c r="B56" s="262" t="e">
        <f t="shared" si="17"/>
        <v>#DIV/0!</v>
      </c>
      <c r="C56" s="200">
        <f t="shared" si="16"/>
        <v>0</v>
      </c>
      <c r="D56" s="1166">
        <v>0.25</v>
      </c>
      <c r="E56" s="261">
        <f>'数据-汇总表'!E11</f>
        <v>0</v>
      </c>
      <c r="F56" s="691" t="e">
        <f t="shared" si="15"/>
        <v>#DIV/0!</v>
      </c>
      <c r="G56" s="2710" t="s">
        <v>2775</v>
      </c>
      <c r="H56" s="1106">
        <f>项目基本情况!C37</f>
        <v>0</v>
      </c>
      <c r="I56" s="944">
        <f>SUMIF(修正!A45:A56,H56,修正!F45:F56)</f>
        <v>0</v>
      </c>
      <c r="J56" s="945"/>
      <c r="K56" s="1146"/>
      <c r="L56" s="943"/>
      <c r="M56" s="943"/>
      <c r="N56" s="943"/>
      <c r="O56" s="943"/>
    </row>
    <row r="57" spans="1:17" s="692" customFormat="1">
      <c r="A57" s="693" t="s">
        <v>2776</v>
      </c>
      <c r="B57" s="262" t="e">
        <f t="shared" si="17"/>
        <v>#DIV/0!</v>
      </c>
      <c r="C57" s="200">
        <f t="shared" si="16"/>
        <v>0</v>
      </c>
      <c r="D57" s="1166">
        <v>0.25</v>
      </c>
      <c r="E57" s="261">
        <f>'数据-汇总表'!E12</f>
        <v>323.76000000000005</v>
      </c>
      <c r="F57" s="691"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2778</v>
      </c>
      <c r="B58" s="262" t="e">
        <f t="shared" si="17"/>
        <v>#DIV/0!</v>
      </c>
      <c r="C58" s="200">
        <f t="shared" si="16"/>
        <v>0</v>
      </c>
      <c r="D58" s="1166">
        <v>0.25</v>
      </c>
      <c r="E58" s="261">
        <f>'数据-汇总表'!E13</f>
        <v>0</v>
      </c>
      <c r="F58" s="691" t="e">
        <f t="shared" si="15"/>
        <v>#DIV/0!</v>
      </c>
      <c r="G58" s="1111" t="s">
        <v>2779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2780</v>
      </c>
      <c r="B59" s="262" t="e">
        <f t="shared" si="17"/>
        <v>#DIV/0!</v>
      </c>
      <c r="C59" s="200">
        <f t="shared" si="16"/>
        <v>0</v>
      </c>
      <c r="D59" s="1166">
        <v>0.25</v>
      </c>
      <c r="E59" s="261">
        <f>'数据-汇总表'!E14</f>
        <v>0</v>
      </c>
      <c r="F59" s="691" t="e">
        <f t="shared" si="15"/>
        <v>#DIV/0!</v>
      </c>
      <c r="G59" s="2710" t="s">
        <v>2770</v>
      </c>
      <c r="H59" s="1106">
        <f>项目基本情况!B37</f>
        <v>0</v>
      </c>
      <c r="I59" s="944">
        <f>SUMIF(修正!A45:A56,H59,修正!H45:H56)</f>
        <v>0</v>
      </c>
      <c r="J59" s="945"/>
      <c r="K59" s="1147"/>
      <c r="L59" s="943"/>
      <c r="M59" s="943"/>
      <c r="N59" s="943"/>
      <c r="O59" s="943"/>
    </row>
    <row r="60" spans="1:17" s="692" customFormat="1" ht="15" thickBot="1">
      <c r="A60" s="693" t="s">
        <v>2781</v>
      </c>
      <c r="B60" s="262" t="e">
        <f t="shared" si="17"/>
        <v>#DIV/0!</v>
      </c>
      <c r="C60" s="200">
        <f t="shared" si="16"/>
        <v>0</v>
      </c>
      <c r="D60" s="1166">
        <v>0.25</v>
      </c>
      <c r="E60" s="261">
        <f>'数据-汇总表'!E15</f>
        <v>0</v>
      </c>
      <c r="F60" s="691" t="e">
        <f t="shared" si="15"/>
        <v>#DIV/0!</v>
      </c>
      <c r="G60" s="2711" t="s">
        <v>2775</v>
      </c>
      <c r="H60" s="1116">
        <f>项目基本情况!C37</f>
        <v>0</v>
      </c>
      <c r="I60" s="944">
        <f>SUMIF(修正!A45:A56,H60,修正!H45:H56)</f>
        <v>0</v>
      </c>
      <c r="J60" s="945"/>
      <c r="K60" s="1146"/>
      <c r="L60" s="943"/>
      <c r="M60" s="943"/>
      <c r="N60" s="943"/>
      <c r="O60" s="943"/>
    </row>
    <row r="61" spans="1:17" s="692" customFormat="1" ht="15" thickBot="1">
      <c r="A61" s="695" t="s">
        <v>2782</v>
      </c>
      <c r="B61" s="696" t="s">
        <v>28</v>
      </c>
      <c r="C61" s="696" t="s">
        <v>29</v>
      </c>
      <c r="D61" s="696" t="s">
        <v>1029</v>
      </c>
      <c r="E61" s="696">
        <f>IF(B41="楼面地价",SUM(E51:E60),'数据-汇总表'!D3)</f>
        <v>1042.42</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2675</v>
      </c>
      <c r="B64" s="759"/>
      <c r="C64" s="764"/>
      <c r="D64" s="764"/>
      <c r="E64" s="764"/>
      <c r="F64" s="765"/>
      <c r="G64" s="765"/>
      <c r="H64" s="764"/>
      <c r="I64" s="764"/>
      <c r="J64" s="764"/>
      <c r="K64" s="766"/>
      <c r="L64" s="767"/>
      <c r="M64" s="764"/>
      <c r="N64" s="764"/>
      <c r="O64" s="1161"/>
      <c r="P64" s="503"/>
      <c r="Q64" s="504"/>
    </row>
    <row r="65" spans="1:17" s="508" customFormat="1" ht="15">
      <c r="A65" s="2712" t="s">
        <v>2783</v>
      </c>
      <c r="B65" s="1361"/>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7"/>
    </row>
    <row r="66" spans="1:17" s="117" customFormat="1" ht="30.75" customHeight="1">
      <c r="A66" s="2717" t="s">
        <v>2803</v>
      </c>
      <c r="B66" s="332" t="str">
        <f>"北京市平均增长率"&amp;TEXT(基准地价修正!P24,"0.00%")</f>
        <v>北京市平均增长率1.39%</v>
      </c>
      <c r="C66" s="603">
        <v>100</v>
      </c>
      <c r="D66" s="595"/>
      <c r="E66" s="595"/>
      <c r="F66" s="595"/>
      <c r="G66" s="595"/>
      <c r="H66" s="595"/>
      <c r="I66" s="595"/>
      <c r="J66" s="595"/>
      <c r="K66" s="595"/>
      <c r="L66" s="595"/>
      <c r="M66" s="1569"/>
      <c r="N66" s="1569"/>
      <c r="O66" s="1571"/>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2589</v>
      </c>
      <c r="B70" s="528" t="s">
        <v>2555</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2558</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2692</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2751</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2793</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2795</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2796</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68" priority="14" stopIfTrue="1" operator="containsText" text="超过">
      <formula>NOT(ISERROR(SEARCH("超过",F46)))</formula>
    </cfRule>
  </conditionalFormatting>
  <conditionalFormatting sqref="J48">
    <cfRule type="containsText" dxfId="67" priority="13" stopIfTrue="1" operator="containsText" text="超过">
      <formula>NOT(ISERROR(SEARCH("超过",J48)))</formula>
    </cfRule>
  </conditionalFormatting>
  <conditionalFormatting sqref="H48">
    <cfRule type="containsText" dxfId="66" priority="12" stopIfTrue="1" operator="containsText" text="超过">
      <formula>NOT(ISERROR(SEARCH("超过",H48)))</formula>
    </cfRule>
  </conditionalFormatting>
  <conditionalFormatting sqref="F48">
    <cfRule type="containsText" dxfId="65" priority="11" stopIfTrue="1" operator="containsText" text="超过">
      <formula>NOT(ISERROR(SEARCH("超过",F48)))</formula>
    </cfRule>
  </conditionalFormatting>
  <conditionalFormatting sqref="F47 H47 J47">
    <cfRule type="containsText" dxfId="64" priority="10" stopIfTrue="1" operator="containsText" text="超过">
      <formula>NOT(ISERROR(SEARCH("超过",F47)))</formula>
    </cfRule>
  </conditionalFormatting>
  <conditionalFormatting sqref="E46">
    <cfRule type="expression" dxfId="63" priority="9" stopIfTrue="1">
      <formula>$F$46="超过30%"</formula>
    </cfRule>
  </conditionalFormatting>
  <conditionalFormatting sqref="G48">
    <cfRule type="expression" dxfId="62" priority="8" stopIfTrue="1">
      <formula>$H$48="超过30%"</formula>
    </cfRule>
  </conditionalFormatting>
  <conditionalFormatting sqref="E48">
    <cfRule type="expression" dxfId="61" priority="6" stopIfTrue="1">
      <formula>$F$48="超过30%"</formula>
    </cfRule>
  </conditionalFormatting>
  <conditionalFormatting sqref="G46">
    <cfRule type="expression" dxfId="60" priority="5" stopIfTrue="1">
      <formula>$H$46="超过30%"</formula>
    </cfRule>
  </conditionalFormatting>
  <conditionalFormatting sqref="G47">
    <cfRule type="expression" dxfId="59" priority="4" stopIfTrue="1">
      <formula>$H$47="超过20%"</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conditionalFormatting sqref="E47">
    <cfRule type="expression" dxfId="5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40" t="s">
        <v>2805</v>
      </c>
      <c r="B1" s="241"/>
      <c r="C1" s="245" t="s">
        <v>2806</v>
      </c>
      <c r="D1" s="388">
        <f>SUM(D29:D30,D33:D39)</f>
        <v>0</v>
      </c>
      <c r="E1" s="2718"/>
      <c r="F1" s="2718"/>
      <c r="G1" s="2718"/>
      <c r="H1" s="2718"/>
      <c r="I1" s="2718"/>
      <c r="J1" s="2718"/>
      <c r="K1" s="1372"/>
      <c r="L1" s="2719" t="s">
        <v>2807</v>
      </c>
      <c r="M1" s="1082">
        <f>SUMPRODUCT((区片价!B5:B9=I2)*(区片价!C3:F3=E2)*(区片价!C5:F9))</f>
        <v>0</v>
      </c>
      <c r="N1" s="1085">
        <f>SUMPRODUCT((因素修正幅度!B5:B9=I2)*(因素修正幅度!C3:F3=E2)*(因素修正幅度!C5:F9))</f>
        <v>0</v>
      </c>
      <c r="O1" s="2720"/>
      <c r="P1" s="2720"/>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5" t="s">
        <v>2813</v>
      </c>
      <c r="B2" s="248" t="e">
        <f>C26</f>
        <v>#DIV/0!</v>
      </c>
      <c r="C2" s="2722" t="s">
        <v>2814</v>
      </c>
      <c r="D2" s="2723" t="s">
        <v>2815</v>
      </c>
      <c r="E2" s="2724"/>
      <c r="F2" s="2723" t="s">
        <v>2816</v>
      </c>
      <c r="G2" s="2725">
        <f>IF(E2="商业",项目基本情况!B37,IF(E2="办公",项目基本情况!C37,IF(E2="住宅",项目基本情况!D37,项目基本情况!E37)))</f>
        <v>0</v>
      </c>
      <c r="H2" s="2723" t="s">
        <v>2817</v>
      </c>
      <c r="I2" s="2725">
        <f>IF(E2="商业",项目基本情况!B38,IF(E2="办公",项目基本情况!C38,IF(E2="住宅",项目基本情况!D38,项目基本情况!E38)))</f>
        <v>0</v>
      </c>
      <c r="J2" s="2726"/>
      <c r="K2" s="1372"/>
      <c r="L2" s="2727" t="s">
        <v>2818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2819</v>
      </c>
      <c r="B3" s="248" t="e">
        <f>ROUND(B2*10000/D1,0)</f>
        <v>#DIV/0!</v>
      </c>
      <c r="C3" s="2722" t="s">
        <v>2820</v>
      </c>
      <c r="D3" s="2723" t="s">
        <v>2821</v>
      </c>
      <c r="E3" s="2728"/>
      <c r="F3" s="2729" t="s">
        <v>2822</v>
      </c>
      <c r="G3" s="915">
        <f>IF(F3="宗地容积率",'数据-汇总表'!I4,IF(F3="估价对象容积率",'数据-汇总表'!I6,'数据-汇总表'!I7))</f>
        <v>0.26</v>
      </c>
      <c r="H3" s="198" t="s">
        <v>2823</v>
      </c>
      <c r="I3" s="946"/>
      <c r="J3" s="2726" t="s">
        <v>2824</v>
      </c>
      <c r="K3" s="1372"/>
      <c r="L3" s="2727" t="s">
        <v>2825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16"/>
      <c r="B4" s="3317"/>
      <c r="C4" s="3317"/>
      <c r="D4" s="3318"/>
      <c r="E4" s="3318"/>
      <c r="F4" s="3318"/>
      <c r="G4" s="3318"/>
      <c r="H4" s="3318"/>
      <c r="I4" s="3318"/>
      <c r="J4" s="3319"/>
      <c r="K4" s="1372"/>
      <c r="L4" s="2727" t="s">
        <v>2826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2827</v>
      </c>
      <c r="C5" s="916" t="e">
        <f>ROUND(IF(E2="商业",IF(F16="增加",C6*C7+C16,C6*C7-C16),IF(E2="住宅",IF(F16="增加",C6*C12+C16,C6*C12-C16),IF(F16="增加",C6+C16,C6-C16))),0)</f>
        <v>#DIV/0!</v>
      </c>
      <c r="D5" s="1789">
        <f>ROUND(IF(E2="商业",IF(F16="增加",C6+C16,C6-C16)),0)</f>
        <v>0</v>
      </c>
      <c r="E5" s="2732"/>
      <c r="F5" s="2732"/>
      <c r="G5" s="2733"/>
      <c r="H5" s="2733"/>
      <c r="I5" s="2733"/>
      <c r="J5" s="2734"/>
      <c r="K5" s="2735"/>
      <c r="L5" s="2727" t="s">
        <v>2828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6"/>
      <c r="AD5" s="2737"/>
      <c r="AE5" s="2737"/>
      <c r="AF5" s="2737"/>
      <c r="AG5" s="2737"/>
      <c r="AH5" s="2737"/>
      <c r="AI5" s="2737"/>
      <c r="AJ5" s="2738"/>
    </row>
    <row r="6" spans="1:36" ht="15.75" thickBot="1">
      <c r="A6" s="2740" t="s">
        <v>2829</v>
      </c>
      <c r="B6" s="2741" t="s">
        <v>2830</v>
      </c>
      <c r="C6" s="917">
        <f>SUMIF(L1:L12,G2,M1:M12)</f>
        <v>0</v>
      </c>
      <c r="D6" s="2742" t="s">
        <v>2831</v>
      </c>
      <c r="E6" s="2743"/>
      <c r="F6" s="2743"/>
      <c r="G6" s="2744"/>
      <c r="H6" s="2744"/>
      <c r="I6" s="2744"/>
      <c r="J6" s="2745"/>
      <c r="K6" s="1844"/>
      <c r="L6" s="2727" t="s">
        <v>2832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6"/>
      <c r="AD6" s="2737"/>
      <c r="AE6" s="2737"/>
      <c r="AF6" s="2737"/>
      <c r="AG6" s="2737"/>
      <c r="AH6" s="2737"/>
      <c r="AI6" s="2737"/>
      <c r="AJ6" s="2738"/>
    </row>
    <row r="7" spans="1:36" ht="24">
      <c r="A7" s="3302" t="str">
        <f>IF(E2="商业",IF(C8="不临58条商业街","",2),"")</f>
        <v/>
      </c>
      <c r="B7" s="2746" t="s">
        <v>2833</v>
      </c>
      <c r="C7" s="918" t="e">
        <f>IF(C8="不临58条商业街",1,ROUND(1+(1.6*E8+1.2*E9+0.8*E10+0.4*E11)*C9,4))</f>
        <v>#DIV/0!</v>
      </c>
      <c r="D7" s="2747" t="s">
        <v>2834</v>
      </c>
      <c r="E7" s="947"/>
      <c r="F7" s="2748"/>
      <c r="G7" s="2749"/>
      <c r="H7" s="2749"/>
      <c r="I7" s="2749"/>
      <c r="J7" s="2750"/>
      <c r="K7" s="1844"/>
      <c r="L7" s="2727" t="s">
        <v>2835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2836</v>
      </c>
      <c r="X7" s="1606">
        <f>G2</f>
        <v>0</v>
      </c>
      <c r="Y7" s="1606" t="s">
        <v>2837</v>
      </c>
      <c r="Z7" s="1607">
        <f>G3</f>
        <v>0.26</v>
      </c>
      <c r="AA7" s="1608"/>
      <c r="AB7" s="1608"/>
      <c r="AC7" s="1609"/>
      <c r="AD7" s="1610"/>
      <c r="AE7" s="1610"/>
      <c r="AF7" s="1610"/>
      <c r="AG7" s="1610"/>
      <c r="AH7" s="1610"/>
      <c r="AI7" s="1610"/>
      <c r="AJ7" s="1611"/>
    </row>
    <row r="8" spans="1:36" ht="15">
      <c r="A8" s="3303"/>
      <c r="B8" s="198" t="s">
        <v>2838</v>
      </c>
      <c r="C8" s="2751"/>
      <c r="D8" s="919" t="s">
        <v>139</v>
      </c>
      <c r="E8" s="920" t="e">
        <f>ROUND(C11/E7,4)</f>
        <v>#DIV/0!</v>
      </c>
      <c r="F8" s="2752" t="s">
        <v>2839</v>
      </c>
      <c r="G8" s="2753"/>
      <c r="H8" s="2753"/>
      <c r="I8" s="2753"/>
      <c r="J8" s="2754"/>
      <c r="K8" s="1372"/>
      <c r="L8" s="2727" t="s">
        <v>2840</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13" t="s">
        <v>2841</v>
      </c>
      <c r="X8" s="3314"/>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303"/>
      <c r="B9" s="198" t="s">
        <v>2854</v>
      </c>
      <c r="C9" s="921">
        <f>SUMIF(修正!C59:C119,C8,修正!E59:E119)</f>
        <v>0</v>
      </c>
      <c r="D9" s="200" t="s">
        <v>140</v>
      </c>
      <c r="E9" s="200" t="e">
        <f>ROUND(C11/E7,4)</f>
        <v>#DIV/0!</v>
      </c>
      <c r="F9" s="2752" t="s">
        <v>2855</v>
      </c>
      <c r="G9" s="2753"/>
      <c r="H9" s="2753"/>
      <c r="I9" s="2753"/>
      <c r="J9" s="2754"/>
      <c r="K9" s="1372"/>
      <c r="L9" s="2727" t="s">
        <v>2856</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15"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03"/>
      <c r="B10" s="198" t="s">
        <v>2859</v>
      </c>
      <c r="C10" s="200">
        <f>SUMIF(修正!C59:C119,C8,修正!F59:F119)</f>
        <v>0</v>
      </c>
      <c r="D10" s="200" t="s">
        <v>141</v>
      </c>
      <c r="E10" s="200" t="e">
        <f>ROUND(C11/E7,4)</f>
        <v>#DIV/0!</v>
      </c>
      <c r="F10" s="2752" t="s">
        <v>2860</v>
      </c>
      <c r="G10" s="2753"/>
      <c r="H10" s="2753"/>
      <c r="I10" s="2753"/>
      <c r="J10" s="2754"/>
      <c r="K10" s="1372"/>
      <c r="L10" s="2727" t="s">
        <v>2861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1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03"/>
      <c r="B11" s="2755" t="s">
        <v>2862</v>
      </c>
      <c r="C11" s="922">
        <f>C10/4</f>
        <v>0</v>
      </c>
      <c r="D11" s="922" t="s">
        <v>142</v>
      </c>
      <c r="E11" s="922" t="e">
        <f>ROUND(C11/E7,4)</f>
        <v>#DIV/0!</v>
      </c>
      <c r="F11" s="2756" t="s">
        <v>2863</v>
      </c>
      <c r="G11" s="2757"/>
      <c r="H11" s="2757"/>
      <c r="I11" s="2757"/>
      <c r="J11" s="2758"/>
      <c r="K11" s="1372"/>
      <c r="L11" s="2727" t="s">
        <v>2864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15" t="s">
        <v>2865</v>
      </c>
      <c r="X11" s="1616" t="s">
        <v>2866</v>
      </c>
      <c r="Y11" s="1617">
        <f>$G$3</f>
        <v>0.26</v>
      </c>
      <c r="Z11" s="1617">
        <f t="shared" ref="Z11:AJ11" si="3">$G$3</f>
        <v>0.26</v>
      </c>
      <c r="AA11" s="1617">
        <f t="shared" si="3"/>
        <v>0.26</v>
      </c>
      <c r="AB11" s="1617">
        <f t="shared" si="3"/>
        <v>0.26</v>
      </c>
      <c r="AC11" s="1617">
        <f t="shared" si="3"/>
        <v>0.26</v>
      </c>
      <c r="AD11" s="1617">
        <f t="shared" si="3"/>
        <v>0.26</v>
      </c>
      <c r="AE11" s="1617">
        <f t="shared" si="3"/>
        <v>0.26</v>
      </c>
      <c r="AF11" s="1617">
        <f t="shared" si="3"/>
        <v>0.26</v>
      </c>
      <c r="AG11" s="1617">
        <f t="shared" si="3"/>
        <v>0.26</v>
      </c>
      <c r="AH11" s="1617">
        <f t="shared" si="3"/>
        <v>0.26</v>
      </c>
      <c r="AI11" s="1617">
        <f t="shared" si="3"/>
        <v>0.26</v>
      </c>
      <c r="AJ11" s="1617">
        <f t="shared" si="3"/>
        <v>0.26</v>
      </c>
    </row>
    <row r="12" spans="1:36" ht="25.5" thickBot="1">
      <c r="A12" s="3302" t="s">
        <v>2867</v>
      </c>
      <c r="B12" s="2759" t="s">
        <v>2868</v>
      </c>
      <c r="C12" s="918">
        <f>ROUND(C15*D15*E15*F15*G15*H15*I15*J15,4)</f>
        <v>1</v>
      </c>
      <c r="D12" s="2760" t="s">
        <v>2869</v>
      </c>
      <c r="E12" s="2761"/>
      <c r="F12" s="2761"/>
      <c r="G12" s="2762"/>
      <c r="H12" s="2762"/>
      <c r="I12" s="2762"/>
      <c r="J12" s="2763"/>
      <c r="K12" s="1372"/>
      <c r="L12" s="2764" t="s">
        <v>2870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15"/>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20"/>
      <c r="B13" s="2765" t="s">
        <v>2872</v>
      </c>
      <c r="C13" s="2766" t="s">
        <v>2873</v>
      </c>
      <c r="D13" s="1810" t="s">
        <v>2874</v>
      </c>
      <c r="E13" s="1810" t="s">
        <v>2875</v>
      </c>
      <c r="F13" s="30" t="s">
        <v>2876</v>
      </c>
      <c r="G13" s="2767" t="s">
        <v>2877</v>
      </c>
      <c r="H13" s="2767" t="s">
        <v>2877</v>
      </c>
      <c r="I13" s="2767" t="s">
        <v>2877</v>
      </c>
      <c r="J13" s="2768" t="s">
        <v>2877</v>
      </c>
      <c r="K13" s="1372"/>
      <c r="L13" s="1372"/>
      <c r="M13" s="1372"/>
      <c r="N13" s="1372"/>
      <c r="O13" s="1372"/>
      <c r="P13" s="1372"/>
      <c r="Q13" s="1372"/>
      <c r="R13" s="1604">
        <v>12</v>
      </c>
      <c r="S13" s="1605"/>
      <c r="T13" s="1604" t="e">
        <f t="shared" si="0"/>
        <v>#DIV/0!</v>
      </c>
      <c r="U13" s="1605"/>
      <c r="V13" s="1604" t="e">
        <f t="shared" si="1"/>
        <v>#DIV/0!</v>
      </c>
      <c r="W13" s="3315"/>
      <c r="X13" s="1618"/>
      <c r="Y13" s="1615">
        <f>(-0.163*(Y12^2)-0.59*Y12+7617)*(10^(-4))/Y11</f>
        <v>2.9296153846153845</v>
      </c>
      <c r="Z13" s="1615">
        <f t="shared" ref="Z13:AJ13" si="5">(-0.163*(Z12^2)-0.59*Z12+7617)*(10^(-4))/Z11</f>
        <v>2.9296153846153845</v>
      </c>
      <c r="AA13" s="1615">
        <f t="shared" si="5"/>
        <v>2.9296153846153845</v>
      </c>
      <c r="AB13" s="1615">
        <f t="shared" si="5"/>
        <v>2.9296153846153845</v>
      </c>
      <c r="AC13" s="1615">
        <f t="shared" si="5"/>
        <v>2.9296153846153845</v>
      </c>
      <c r="AD13" s="1615">
        <f t="shared" si="5"/>
        <v>2.9296153846153845</v>
      </c>
      <c r="AE13" s="1615">
        <f t="shared" si="5"/>
        <v>2.9296153846153845</v>
      </c>
      <c r="AF13" s="1615">
        <f t="shared" si="5"/>
        <v>2.9296153846153845</v>
      </c>
      <c r="AG13" s="1615">
        <f t="shared" si="5"/>
        <v>2.9296153846153845</v>
      </c>
      <c r="AH13" s="1615">
        <f t="shared" si="5"/>
        <v>2.9296153846153845</v>
      </c>
      <c r="AI13" s="1615">
        <f t="shared" si="5"/>
        <v>2.9296153846153845</v>
      </c>
      <c r="AJ13" s="1615">
        <f t="shared" si="5"/>
        <v>2.9296153846153845</v>
      </c>
    </row>
    <row r="14" spans="1:36" ht="15">
      <c r="A14" s="3320"/>
      <c r="B14" s="2769"/>
      <c r="C14" s="2770"/>
      <c r="D14" s="2771"/>
      <c r="E14" s="2771"/>
      <c r="F14" s="2772"/>
      <c r="G14" s="2773" t="s">
        <v>2878</v>
      </c>
      <c r="H14" s="2774"/>
      <c r="I14" s="2775"/>
      <c r="J14" s="2776"/>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21"/>
      <c r="B15" s="2777" t="s">
        <v>2879</v>
      </c>
      <c r="C15" s="229">
        <f>IF(C14="有",1.1,1)</f>
        <v>1</v>
      </c>
      <c r="D15" s="229">
        <f>IF(D14="有",1.1,1)</f>
        <v>1</v>
      </c>
      <c r="E15" s="229">
        <f>IF(E14="有",1.1,1)</f>
        <v>1</v>
      </c>
      <c r="F15" s="229">
        <f>IF(F14="500米范围内",1.2,IF(F14="500-1000米",1.1,1))</f>
        <v>1</v>
      </c>
      <c r="G15" s="948">
        <v>1</v>
      </c>
      <c r="H15" s="948">
        <v>1</v>
      </c>
      <c r="I15" s="948">
        <v>1</v>
      </c>
      <c r="J15" s="949">
        <v>1</v>
      </c>
      <c r="K15" s="1372"/>
      <c r="L15" s="2778" t="s">
        <v>2815</v>
      </c>
      <c r="M15" s="919" t="s">
        <v>2880</v>
      </c>
      <c r="N15" s="919" t="s">
        <v>2881</v>
      </c>
      <c r="O15" s="919" t="s">
        <v>2882</v>
      </c>
      <c r="P15" s="2779" t="s">
        <v>2883</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02" t="s">
        <v>2884</v>
      </c>
      <c r="B16" s="2746" t="s">
        <v>2885</v>
      </c>
      <c r="C16" s="1803" t="e">
        <f>ROUND(SUM(G17:J17)/C17,0)</f>
        <v>#DIV/0!</v>
      </c>
      <c r="D16" s="2780" t="s">
        <v>2886</v>
      </c>
      <c r="E16" s="2781"/>
      <c r="F16" s="2782"/>
      <c r="G16" s="2783"/>
      <c r="H16" s="2783"/>
      <c r="I16" s="2783"/>
      <c r="J16" s="2784"/>
      <c r="K16" s="1372"/>
      <c r="L16" s="2785" t="s">
        <v>2887</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03"/>
      <c r="B17" s="2786" t="s">
        <v>2888</v>
      </c>
      <c r="C17" s="923">
        <f>SUMPRODUCT((修正!A2:A5=E2)*(修正!B1:M1=G2)*(修正!B2:M5))</f>
        <v>0</v>
      </c>
      <c r="D17" s="2787" t="s">
        <v>2889</v>
      </c>
      <c r="E17" s="922" t="str">
        <f>IF(OR(G2="八级",G2="九级",G2="十级",G2="十一级",G2="十二级"),"五通一平","七通一平")</f>
        <v>七通一平</v>
      </c>
      <c r="F17" s="923" t="s">
        <v>2890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2891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2892</v>
      </c>
      <c r="C18" s="925">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2893</v>
      </c>
      <c r="C19" s="926" t="e">
        <f>ROUND(IF(H19="按公示增长率计算",SUMPRODUCT((地价!A3:A21=YEAR(G19)&amp;"-"&amp;ROUNDUP(MONTH(G19)/3,0))*(地价!X2:AB2=E2)*(地价!X3:AB21)),IF(H19="地价指数",M20/M19,(1+I19)^O19)),4)</f>
        <v>#DIV/0!</v>
      </c>
      <c r="D19" s="2798" t="s">
        <v>2894</v>
      </c>
      <c r="E19" s="927">
        <v>41640</v>
      </c>
      <c r="F19" s="2798" t="s">
        <v>2895</v>
      </c>
      <c r="G19" s="928">
        <f>'数据-取费表'!B2</f>
        <v>43100</v>
      </c>
      <c r="H19" s="2799" t="s">
        <v>2896</v>
      </c>
      <c r="I19" s="929" t="str">
        <f>IF(H19="季度增幅（自定义）",SUMIF(N21:N24,E2,O21:O24),"")</f>
        <v/>
      </c>
      <c r="J19" s="2796"/>
      <c r="K19" s="1379"/>
      <c r="L19" s="2800" t="s">
        <v>2897</v>
      </c>
      <c r="M19" s="1736">
        <f>ROUND(SUMIF(地价!B2:F2,E2,地价!B21:F21),0)</f>
        <v>0</v>
      </c>
      <c r="N19" s="2801" t="s">
        <v>2898</v>
      </c>
      <c r="O19" s="930">
        <f>ROUNDDOWN(DATEDIF(E19,G19,"M")/3,0)</f>
        <v>15</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2899</v>
      </c>
      <c r="C20" s="931" t="e">
        <f>ROUND(POWER(1+G20,J20-I20)*(POWER(1+G20,I20)-1)/(POWER(1+G20,J20)-1),4)</f>
        <v>#DIV/0!</v>
      </c>
      <c r="D20" s="2807" t="s">
        <v>2900</v>
      </c>
      <c r="E20" s="1770">
        <f ca="1">存贷款利率!D4/100</f>
        <v>4.3499999999999997E-2</v>
      </c>
      <c r="F20" s="2807" t="s">
        <v>2891</v>
      </c>
      <c r="G20" s="936">
        <f>SUMIF(M15:P15,E2,M17:P17)</f>
        <v>0</v>
      </c>
      <c r="H20" s="2807" t="s">
        <v>2901</v>
      </c>
      <c r="I20" s="937" t="e">
        <f>SUMIF('数据-取费表'!C6:C15,E2,'数据-取费表'!F6:F15)/COUNTIF('数据-取费表'!C6:C15,E2)</f>
        <v>#DIV/0!</v>
      </c>
      <c r="J20" s="938">
        <f>IF(E2="住宅",70,IF(E2="商业",40,50))</f>
        <v>50</v>
      </c>
      <c r="K20" s="1379"/>
      <c r="L20" s="2808" t="s">
        <v>2902</v>
      </c>
      <c r="M20" s="1737">
        <f>ROUND(SUMPRODUCT((地价!A4:A21=YEAR(G19)&amp;"-"&amp;ROUNDUP(MONTH(G19)/3,0))*(地价!B2:F2=E2)*(地价!B4:F21)),0)</f>
        <v>0</v>
      </c>
      <c r="N20" s="2809" t="s">
        <v>2903</v>
      </c>
      <c r="O20" s="2810" t="s">
        <v>2904</v>
      </c>
      <c r="P20" s="2811" t="s">
        <v>2905</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2906</v>
      </c>
      <c r="C21" s="939">
        <f>IF(B21="容积率修正",IF(G3&lt;=10,D22,J22),C23)</f>
        <v>0</v>
      </c>
      <c r="D21" s="2814"/>
      <c r="E21" s="2814"/>
      <c r="F21" s="2814"/>
      <c r="G21" s="2814"/>
      <c r="H21" s="2814"/>
      <c r="I21" s="2814"/>
      <c r="J21" s="2815"/>
      <c r="K21" s="1379"/>
      <c r="N21" s="2816" t="s">
        <v>2907</v>
      </c>
      <c r="O21" s="1563"/>
      <c r="P21" s="1564">
        <f>SUMPRODUCT((地价!A3:A21=YEAR(G19)&amp;"-"&amp;ROUNDUP(MONTH(G19)/3,0))*(地价!AD2:AH2=N21)*(地价!AD3:AH21))</f>
        <v>1.6500000000000001E-2</v>
      </c>
      <c r="R21" s="1378"/>
      <c r="S21" s="1378"/>
      <c r="T21" s="1373"/>
      <c r="U21" s="1373"/>
      <c r="V21" s="1373"/>
      <c r="W21" s="1372"/>
      <c r="X21" s="1372"/>
      <c r="Y21" s="1372"/>
      <c r="Z21" s="1379"/>
      <c r="AA21" s="1380"/>
      <c r="AB21" s="1380"/>
      <c r="AC21" s="1380"/>
      <c r="AD21" s="1380"/>
      <c r="AE21" s="1380"/>
      <c r="AF21" s="1380"/>
    </row>
    <row r="22" spans="1:37" s="2739" customFormat="1" ht="14.25">
      <c r="A22" s="2665" t="s">
        <v>2908</v>
      </c>
      <c r="B22" s="2817" t="s">
        <v>2909</v>
      </c>
      <c r="C22" s="1812" t="s">
        <v>2910</v>
      </c>
      <c r="D22" s="1812">
        <f>IF(E22=G22,F22,IF(G3&lt;=10,ROUND(F22+(H22-F22)*(G3-E22)/(G22-E22),4),"——"))</f>
        <v>0</v>
      </c>
      <c r="E22" s="915">
        <f>ROUNDDOWN(G3,1)</f>
        <v>0.2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0.30000000000000004</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6" t="s">
        <v>2911</v>
      </c>
      <c r="O22" s="1563"/>
      <c r="P22" s="1564">
        <f>SUMPRODUCT((地价!A3:A21=YEAR(G19)&amp;"-"&amp;ROUNDUP(MONTH(G19)/3,0))*(地价!AD2:AH2=N22)*(地价!AD3:AH21))</f>
        <v>1.6500000000000001E-2</v>
      </c>
      <c r="R22" s="1378"/>
      <c r="S22" s="1378"/>
      <c r="T22" s="1373"/>
      <c r="U22" s="1373"/>
      <c r="V22" s="1373"/>
      <c r="W22" s="1372"/>
      <c r="X22" s="1372"/>
      <c r="Y22" s="1372"/>
      <c r="Z22" s="1379"/>
      <c r="AA22" s="1380"/>
      <c r="AB22" s="1380"/>
      <c r="AC22" s="1380"/>
      <c r="AD22" s="1380"/>
      <c r="AE22" s="1380"/>
      <c r="AF22" s="1380"/>
    </row>
    <row r="23" spans="1:37" ht="27.75" thickBot="1">
      <c r="A23" s="2665" t="s">
        <v>2912</v>
      </c>
      <c r="B23" s="2818" t="s">
        <v>2913</v>
      </c>
      <c r="C23" s="1015">
        <f>ROUND(IF(G3&gt;1,IF(I3&lt;7,SUMPRODUCT((B93:B98=I3)*(C92:N92=G2)*(C93:N98)),SUMIF(C92:N92,G2,C100:N100)),IF(I3&lt;7,SUMPRODUCT((B102:B107=I3)*(C92:N92=G2)*(C102:N107)),SUMIF(C92:N92,G2,C109:N109))),4)</f>
        <v>0</v>
      </c>
      <c r="D23" s="2774"/>
      <c r="E23" s="2774"/>
      <c r="F23" s="2819"/>
      <c r="G23" s="2820"/>
      <c r="H23" s="2821"/>
      <c r="I23" s="2822"/>
      <c r="J23" s="2823"/>
      <c r="K23" s="1372"/>
      <c r="N23" s="2816" t="s">
        <v>2914</v>
      </c>
      <c r="O23" s="1563"/>
      <c r="P23" s="1564">
        <f>SUMPRODUCT((地价!A3:A21=YEAR(G19)&amp;"-"&amp;ROUNDUP(MONTH(G19)/3,0))*(地价!AD2:AH2=N23)*(地价!AD3:AH21))</f>
        <v>2.7099999999999999E-2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2915</v>
      </c>
      <c r="C24" s="926">
        <f>SUMIF(A45:A88,E2,B45:B88)</f>
        <v>0</v>
      </c>
      <c r="D24" s="2794"/>
      <c r="E24" s="2824"/>
      <c r="F24" s="2824"/>
      <c r="G24" s="2824"/>
      <c r="H24" s="2824"/>
      <c r="I24" s="2824"/>
      <c r="J24" s="2825"/>
      <c r="K24" s="1379"/>
      <c r="N24" s="2826" t="s">
        <v>2916</v>
      </c>
      <c r="O24" s="1565"/>
      <c r="P24" s="1566">
        <f>SUMPRODUCT((地价!A3:A21=YEAR(G19)&amp;"-"&amp;ROUNDUP(MONTH(G19)/3,0))*(地价!AD2:AH2=N24)*(地价!AD3:AH21))</f>
        <v>1.3899999999999999E-2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2917</v>
      </c>
      <c r="C25" s="932"/>
      <c r="D25" s="2749"/>
      <c r="E25" s="2749"/>
      <c r="F25" s="2828"/>
      <c r="G25" s="2749"/>
      <c r="H25" s="2749"/>
      <c r="I25" s="2749"/>
      <c r="J25" s="2750"/>
      <c r="K25" s="1372"/>
      <c r="N25" s="2829" t="s">
        <v>2918</v>
      </c>
      <c r="O25" s="1567"/>
      <c r="P25" s="1566">
        <f>SUMPRODUCT((地价!A3:A21=YEAR(G19)&amp;"-"&amp;ROUNDUP(MONTH(G19)/3,0))*(地价!AD2:AH2=N25)*(地价!AD3:AH21))</f>
        <v>2.4500000000000001E-2</v>
      </c>
      <c r="R25" s="1378"/>
      <c r="S25" s="1378"/>
      <c r="T25" s="1373"/>
      <c r="U25" s="1373"/>
      <c r="V25" s="1373"/>
      <c r="W25" s="1372"/>
      <c r="X25" s="1372"/>
      <c r="Y25" s="1372"/>
      <c r="Z25" s="1379"/>
      <c r="AA25" s="1380"/>
      <c r="AB25" s="1380"/>
      <c r="AC25" s="1380"/>
      <c r="AD25" s="1380"/>
    </row>
    <row r="26" spans="1:37" ht="15">
      <c r="A26" s="2830"/>
      <c r="B26" s="2817" t="s">
        <v>2919</v>
      </c>
      <c r="C26" s="206"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2920</v>
      </c>
      <c r="C27" s="933"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2921</v>
      </c>
      <c r="C28" s="2841" t="s">
        <v>2922</v>
      </c>
      <c r="D28" s="2841" t="s">
        <v>2923</v>
      </c>
      <c r="E28" s="2842" t="s">
        <v>2924</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2925</v>
      </c>
      <c r="C29" s="206" t="e">
        <f>ROUND(C5*C18*C19*C20*C21*C24,0)</f>
        <v>#DIV/0!</v>
      </c>
      <c r="D29" s="2846"/>
      <c r="E29" s="944" t="e">
        <f>ROUND(C29*D29/10000,0)</f>
        <v>#DIV/0!</v>
      </c>
      <c r="F29" s="2847" t="s">
        <v>2926</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2927</v>
      </c>
      <c r="C30" s="229" t="e">
        <f>ROUND(IF(E2="工业",C29*M39,C29*M38),0)</f>
        <v>#DIV/0!</v>
      </c>
      <c r="D30" s="2852"/>
      <c r="E30" s="944" t="e">
        <f>ROUND(C30*D30/10000,0)</f>
        <v>#DIV/0!</v>
      </c>
      <c r="F30" s="2853" t="s">
        <v>2928</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2929</v>
      </c>
      <c r="C31" s="2858" t="s">
        <v>2930</v>
      </c>
      <c r="D31" s="2762"/>
      <c r="E31" s="2858"/>
      <c r="F31" s="2858"/>
      <c r="G31" s="2760" t="s">
        <v>2931</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1" t="s">
        <v>2922</v>
      </c>
      <c r="D32" s="498" t="s">
        <v>2923</v>
      </c>
      <c r="E32" s="498" t="s">
        <v>2924</v>
      </c>
      <c r="F32" s="388" t="s">
        <v>2932</v>
      </c>
      <c r="G32" s="2861" t="s">
        <v>2922</v>
      </c>
      <c r="H32" s="2861" t="s">
        <v>2923</v>
      </c>
      <c r="I32" s="2861" t="s">
        <v>2924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310" t="s">
        <v>2933</v>
      </c>
      <c r="B33" s="2862" t="s">
        <v>2934</v>
      </c>
      <c r="C33" s="206" t="e">
        <f>ROUND(D5*C19*C20*C24*F33,0)</f>
        <v>#DIV/0!</v>
      </c>
      <c r="D33" s="2846"/>
      <c r="E33" s="200" t="e">
        <f>ROUND(C33*D33/10000,0)</f>
        <v>#DIV/0!</v>
      </c>
      <c r="F33" s="200">
        <f>SUMIF(修正!A45:A56,G2,修正!B45:B56)</f>
        <v>0</v>
      </c>
      <c r="G33" s="200" t="e">
        <f t="shared" ref="G33:G39" si="6">ROUND(IF(E2="工业",C33*$M$39,C33*$M$38),0)</f>
        <v>#DIV/0!</v>
      </c>
      <c r="H33" s="200">
        <f>D33</f>
        <v>0</v>
      </c>
      <c r="I33" s="200"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11"/>
      <c r="B34" s="2766" t="s">
        <v>2935</v>
      </c>
      <c r="C34" s="206" t="e">
        <f>ROUND(D5*C19*C20*C24*F34,0)</f>
        <v>#DIV/0!</v>
      </c>
      <c r="D34" s="2846"/>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11"/>
      <c r="B35" s="2766" t="s">
        <v>2936</v>
      </c>
      <c r="C35" s="206" t="e">
        <f>ROUND(D5*C19*C20*C24*F35,0)</f>
        <v>#DIV/0!</v>
      </c>
      <c r="D35" s="2846"/>
      <c r="E35" s="200" t="e">
        <f t="shared" si="7"/>
        <v>#DIV/0!</v>
      </c>
      <c r="F35" s="200">
        <f>SUMIF(修正!A45:A56,G2,修正!D45:D56)</f>
        <v>0</v>
      </c>
      <c r="G35" s="200" t="e">
        <f t="shared" si="6"/>
        <v>#DIV/0!</v>
      </c>
      <c r="H35" s="200">
        <f t="shared" si="8"/>
        <v>0</v>
      </c>
      <c r="I35" s="200"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312"/>
      <c r="B36" s="2766" t="s">
        <v>2937</v>
      </c>
      <c r="C36" s="206" t="e">
        <f>ROUND(D5*C19*C20*C24*F36,0)</f>
        <v>#DIV/0!</v>
      </c>
      <c r="D36" s="2846"/>
      <c r="E36" s="200" t="e">
        <f t="shared" si="7"/>
        <v>#DIV/0!</v>
      </c>
      <c r="F36" s="200">
        <f>SUMIF(修正!A45:A56,G2,修正!E45:E56)</f>
        <v>0</v>
      </c>
      <c r="G36" s="200" t="e">
        <f t="shared" si="6"/>
        <v>#DIV/0!</v>
      </c>
      <c r="H36" s="200">
        <f t="shared" si="8"/>
        <v>0</v>
      </c>
      <c r="I36" s="200"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2938</v>
      </c>
      <c r="C37" s="200" t="e">
        <f>ROUND(C5*C19*C20*C24*F37,0)</f>
        <v>#DIV/0!</v>
      </c>
      <c r="D37" s="2846"/>
      <c r="E37" s="200" t="e">
        <f t="shared" si="7"/>
        <v>#DIV/0!</v>
      </c>
      <c r="F37" s="206">
        <f>SUMIF(修正!A45:A56,G2,修正!F45:F56)</f>
        <v>0</v>
      </c>
      <c r="G37" s="200" t="e">
        <f t="shared" si="6"/>
        <v>#DIV/0!</v>
      </c>
      <c r="H37" s="200">
        <f t="shared" si="8"/>
        <v>0</v>
      </c>
      <c r="I37" s="200" t="e">
        <f t="shared" si="9"/>
        <v>#DIV/0!</v>
      </c>
      <c r="J37" s="2863"/>
      <c r="K37" s="1372"/>
      <c r="L37" s="2865" t="s">
        <v>2939</v>
      </c>
      <c r="M37" s="2866"/>
      <c r="N37" s="1372"/>
      <c r="O37" s="1372"/>
      <c r="P37" s="1372"/>
      <c r="Q37" s="1372"/>
      <c r="R37" s="1372"/>
      <c r="S37" s="1372"/>
      <c r="T37" s="1372"/>
      <c r="U37" s="1372"/>
      <c r="V37" s="1372"/>
      <c r="W37" s="1372"/>
      <c r="X37" s="1372"/>
      <c r="Y37" s="1372"/>
      <c r="Z37" s="1373"/>
    </row>
    <row r="38" spans="1:37">
      <c r="A38" s="2864"/>
      <c r="B38" s="2766" t="s">
        <v>2940</v>
      </c>
      <c r="C38" s="200" t="e">
        <f>ROUND(C5*C19*C20*C24*F38,0)</f>
        <v>#DIV/0!</v>
      </c>
      <c r="D38" s="2846"/>
      <c r="E38" s="200" t="e">
        <f t="shared" si="7"/>
        <v>#DIV/0!</v>
      </c>
      <c r="F38" s="206">
        <f>SUMIF(修正!A45:A56,G2,修正!G45:G56)</f>
        <v>0</v>
      </c>
      <c r="G38" s="200" t="e">
        <f t="shared" si="6"/>
        <v>#DIV/0!</v>
      </c>
      <c r="H38" s="200">
        <f t="shared" si="8"/>
        <v>0</v>
      </c>
      <c r="I38" s="200" t="e">
        <f t="shared" si="9"/>
        <v>#DIV/0!</v>
      </c>
      <c r="J38" s="2863"/>
      <c r="K38" s="1372"/>
      <c r="L38" s="1889" t="s">
        <v>2941</v>
      </c>
      <c r="M38" s="2867">
        <v>0.25</v>
      </c>
      <c r="N38" s="1372"/>
      <c r="O38" s="1372"/>
      <c r="P38" s="1372"/>
      <c r="Q38" s="1372"/>
      <c r="R38" s="1372"/>
      <c r="S38" s="1372"/>
      <c r="T38" s="1372"/>
      <c r="U38" s="1372"/>
      <c r="V38" s="1372"/>
      <c r="W38" s="1372"/>
      <c r="X38" s="1372"/>
      <c r="Y38" s="1372"/>
      <c r="Z38" s="1373"/>
    </row>
    <row r="39" spans="1:37" ht="13.5" thickBot="1">
      <c r="A39" s="2850"/>
      <c r="B39" s="2868" t="s">
        <v>2942</v>
      </c>
      <c r="C39" s="229" t="e">
        <f>ROUND(C5*C19*C20*C24*F39,0)</f>
        <v>#DIV/0!</v>
      </c>
      <c r="D39" s="2852"/>
      <c r="E39" s="229" t="e">
        <f t="shared" si="7"/>
        <v>#DIV/0!</v>
      </c>
      <c r="F39" s="934">
        <f>SUMIF(修正!A45:A56,G2,修正!H45:H56)</f>
        <v>0</v>
      </c>
      <c r="G39" s="229" t="e">
        <f t="shared" si="6"/>
        <v>#DIV/0!</v>
      </c>
      <c r="H39" s="229">
        <f t="shared" si="8"/>
        <v>0</v>
      </c>
      <c r="I39" s="229" t="e">
        <f t="shared" si="9"/>
        <v>#DIV/0!</v>
      </c>
      <c r="J39" s="2869"/>
      <c r="K39" s="1372"/>
      <c r="L39" s="2870" t="s">
        <v>2883</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2943</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2944</v>
      </c>
      <c r="B46" s="2876">
        <f>1+E48</f>
        <v>1</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2945</v>
      </c>
      <c r="B47" s="1811" t="s">
        <v>2946</v>
      </c>
      <c r="C47" s="1811" t="s">
        <v>2947</v>
      </c>
      <c r="D47" s="1811" t="s">
        <v>2948</v>
      </c>
      <c r="E47" s="818" t="s">
        <v>2949</v>
      </c>
      <c r="F47" s="2880" t="s">
        <v>2950</v>
      </c>
      <c r="G47" s="1811" t="s">
        <v>754</v>
      </c>
      <c r="H47" s="2881" t="s">
        <v>2951</v>
      </c>
      <c r="I47" s="1811" t="s">
        <v>2952</v>
      </c>
      <c r="J47" s="603" t="s">
        <v>2598</v>
      </c>
      <c r="K47" s="603" t="s">
        <v>2599</v>
      </c>
      <c r="L47" s="603" t="s">
        <v>2600</v>
      </c>
      <c r="M47" s="603" t="s">
        <v>2601</v>
      </c>
      <c r="N47" s="603" t="s">
        <v>2602</v>
      </c>
      <c r="AA47" s="1373"/>
      <c r="AB47" s="1373"/>
      <c r="AC47" s="1373"/>
      <c r="AD47" s="1373"/>
      <c r="AE47" s="1373"/>
      <c r="AF47" s="1373"/>
      <c r="AG47" s="1373"/>
      <c r="AH47" s="1373"/>
      <c r="AI47" s="1373"/>
      <c r="AJ47" s="1373"/>
      <c r="AK47" s="1373"/>
    </row>
    <row r="48" spans="1:37" s="1372" customFormat="1" ht="63.75">
      <c r="A48" s="2879" t="s">
        <v>2953</v>
      </c>
      <c r="B48" s="2882" t="str">
        <f>估价对象房地状况!C4</f>
        <v>估价对象位于朝青商圈，周边商业氛围一般，有红星美凯龙等购物场所，人流量一般，商业繁华度一般。</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89.25">
      <c r="A49" s="2879" t="s">
        <v>2954</v>
      </c>
      <c r="B49" s="2883" t="str">
        <f>估价对象房地状况!C18</f>
        <v>估价对象周边道路较为密集，公共交通通达情况较好，1公里内有350路、411路及地铁1号线等公共交通，停车便捷程度较好，综合评价交通便捷度较好。</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2955</v>
      </c>
      <c r="B50" s="2883">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2956</v>
      </c>
      <c r="B51" s="2884" t="s">
        <v>2957</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2958</v>
      </c>
      <c r="B52" s="2883" t="str">
        <f>估价对象房地状况!C24</f>
        <v>城市主干道——朝阳路</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2959</v>
      </c>
      <c r="B53" s="2885" t="s">
        <v>2960</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114.75">
      <c r="A54" s="2886" t="s">
        <v>2961</v>
      </c>
      <c r="B54" s="1727" t="str">
        <f>估价对象房地状况!C21</f>
        <v>估价对象所在区域1公里范围内，有银行（中国工商银行、中国银行），购物（卜蜂莲花、物美超市），医院（民航总医院），学校（朝阳区兴隆小学、星河实验学校）等，公共配套设施齐备情况较好。</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2962</v>
      </c>
      <c r="B55" s="2883" t="str">
        <f>估价对象房地状况!C22</f>
        <v>估价对象所在区域基础设施水平达到“七通”。</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51.75" thickBot="1">
      <c r="A56" s="2887" t="s">
        <v>2963</v>
      </c>
      <c r="B56" s="2888" t="str">
        <f>估价对象房地状况!C20</f>
        <v>区域自然环境：兴隆公园；人文环境：中国传媒大学；综合评价环境状况较好。</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2964</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2945</v>
      </c>
      <c r="B58" s="1811"/>
      <c r="C58" s="1811" t="s">
        <v>2947</v>
      </c>
      <c r="D58" s="1811" t="s">
        <v>2948</v>
      </c>
      <c r="E58" s="818" t="s">
        <v>2949</v>
      </c>
      <c r="F58" s="2880" t="s">
        <v>2965</v>
      </c>
      <c r="G58" s="1811" t="s">
        <v>754</v>
      </c>
      <c r="H58" s="2881" t="s">
        <v>2951</v>
      </c>
      <c r="I58" s="1811" t="s">
        <v>2952</v>
      </c>
      <c r="J58" s="603" t="s">
        <v>2598</v>
      </c>
      <c r="K58" s="603" t="s">
        <v>2599</v>
      </c>
      <c r="L58" s="603" t="s">
        <v>2600</v>
      </c>
      <c r="M58" s="603" t="s">
        <v>2601</v>
      </c>
      <c r="N58" s="603" t="s">
        <v>2602</v>
      </c>
      <c r="AA58" s="1373"/>
      <c r="AB58" s="1373"/>
      <c r="AC58" s="1373"/>
      <c r="AD58" s="1373"/>
      <c r="AE58" s="1373"/>
      <c r="AF58" s="1373"/>
      <c r="AG58" s="1373"/>
      <c r="AH58" s="1373"/>
      <c r="AI58" s="1373"/>
      <c r="AJ58" s="1373"/>
      <c r="AK58" s="1373"/>
    </row>
    <row r="59" spans="1:37" s="1372" customFormat="1" ht="63.75">
      <c r="A59" s="2879" t="s">
        <v>2966</v>
      </c>
      <c r="B59" s="2882" t="str">
        <f>估价对象房地状况!C17</f>
        <v>估价对象位于朝青商圈，周边办公楼项目较多，有世丰国际大厦、财经中心等写字楼项目，入驻率高，办公集聚程度较好。</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89.25">
      <c r="A60" s="2879" t="s">
        <v>2954</v>
      </c>
      <c r="B60" s="2883" t="str">
        <f>估价对象房地状况!C18</f>
        <v>估价对象周边道路较为密集，公共交通通达情况较好，1公里内有350路、411路及地铁1号线等公共交通，停车便捷程度较好，综合评价交通便捷度较好。</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2955</v>
      </c>
      <c r="B61" s="2883">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2956</v>
      </c>
      <c r="B62" s="2884" t="s">
        <v>2957</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2958</v>
      </c>
      <c r="B63" s="2883" t="str">
        <f>估价对象房地状况!C24</f>
        <v>城市主干道——朝阳路</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2959</v>
      </c>
      <c r="B64" s="2885" t="s">
        <v>2960</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114.75">
      <c r="A65" s="2879" t="s">
        <v>2961</v>
      </c>
      <c r="B65" s="1727" t="str">
        <f>估价对象房地状况!C21</f>
        <v>估价对象所在区域1公里范围内，有银行（中国工商银行、中国银行），购物（卜蜂莲花、物美超市），医院（民航总医院），学校（朝阳区兴隆小学、星河实验学校）等，公共配套设施齐备情况较好。</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2962</v>
      </c>
      <c r="B66" s="1727" t="str">
        <f>估价对象房地状况!C22</f>
        <v>估价对象所在区域基础设施水平达到“七通”。</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51.75" thickBot="1">
      <c r="A67" s="2887" t="s">
        <v>2963</v>
      </c>
      <c r="B67" s="2889" t="str">
        <f>估价对象房地状况!C20</f>
        <v>区域自然环境：兴隆公园；人文环境：中国传媒大学；综合评价环境状况较好。</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2967</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2945</v>
      </c>
      <c r="B69" s="1811"/>
      <c r="C69" s="1811" t="s">
        <v>2947</v>
      </c>
      <c r="D69" s="1811" t="s">
        <v>2948</v>
      </c>
      <c r="E69" s="818" t="s">
        <v>2949</v>
      </c>
      <c r="F69" s="2880" t="s">
        <v>2965</v>
      </c>
      <c r="G69" s="1811" t="s">
        <v>754</v>
      </c>
      <c r="H69" s="2881" t="s">
        <v>2951</v>
      </c>
      <c r="I69" s="1811" t="s">
        <v>2952</v>
      </c>
      <c r="J69" s="603" t="s">
        <v>2598</v>
      </c>
      <c r="K69" s="603" t="s">
        <v>2599</v>
      </c>
      <c r="L69" s="603" t="s">
        <v>2600</v>
      </c>
      <c r="M69" s="603" t="s">
        <v>2601</v>
      </c>
      <c r="N69" s="603" t="s">
        <v>2602</v>
      </c>
      <c r="AA69" s="1373"/>
      <c r="AB69" s="1373"/>
      <c r="AC69" s="1373"/>
      <c r="AD69" s="1373"/>
      <c r="AE69" s="1373"/>
      <c r="AF69" s="1373"/>
      <c r="AG69" s="1373"/>
      <c r="AH69" s="1373"/>
      <c r="AI69" s="1373"/>
      <c r="AJ69" s="1373"/>
      <c r="AK69" s="1373"/>
    </row>
    <row r="70" spans="1:37" s="1372" customFormat="1" ht="24">
      <c r="A70" s="2879" t="s">
        <v>2968</v>
      </c>
      <c r="B70" s="2882">
        <f>估价对象房地状况!C15</f>
        <v>0</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89.25">
      <c r="A71" s="2879" t="s">
        <v>2954</v>
      </c>
      <c r="B71" s="2883" t="str">
        <f>估价对象房地状况!C18</f>
        <v>估价对象周边道路较为密集，公共交通通达情况较好，1公里内有350路、411路及地铁1号线等公共交通，停车便捷程度较好，综合评价交通便捷度较好。</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2955</v>
      </c>
      <c r="B72" s="2883">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2969</v>
      </c>
      <c r="B73" s="2883" t="str">
        <f>估价对象房地状况!C24</f>
        <v>城市主干道——朝阳路</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114.75">
      <c r="A74" s="2879" t="s">
        <v>2961</v>
      </c>
      <c r="B74" s="1727" t="str">
        <f>估价对象房地状况!C21</f>
        <v>估价对象所在区域1公里范围内，有银行（中国工商银行、中国银行），购物（卜蜂莲花、物美超市），医院（民航总医院），学校（朝阳区兴隆小学、星河实验学校）等，公共配套设施齐备情况较好。</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2962</v>
      </c>
      <c r="B75" s="1727" t="str">
        <f>估价对象房地状况!C22</f>
        <v>估价对象所在区域基础设施水平达到“七通”。</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2959</v>
      </c>
      <c r="B76" s="2885" t="s">
        <v>2960</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51">
      <c r="A77" s="2879" t="s">
        <v>2963</v>
      </c>
      <c r="B77" s="2882" t="str">
        <f>估价对象房地状况!C20</f>
        <v>区域自然环境：兴隆公园；人文环境：中国传媒大学；综合评价环境状况较好。</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7"/>
      <c r="AG77" s="1374"/>
      <c r="AK77" s="2797"/>
    </row>
    <row r="78" spans="1:37" ht="24.75" thickBot="1">
      <c r="A78" s="2887" t="s">
        <v>2970</v>
      </c>
      <c r="B78" s="2891"/>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7"/>
      <c r="AG78" s="1374"/>
      <c r="AK78" s="2797"/>
    </row>
    <row r="79" spans="1:37" ht="15">
      <c r="A79" s="2875" t="s">
        <v>2971</v>
      </c>
      <c r="B79" s="2876">
        <f>1+E81</f>
        <v>1</v>
      </c>
      <c r="C79" s="813"/>
      <c r="D79" s="813"/>
      <c r="E79" s="814"/>
      <c r="F79" s="2878"/>
      <c r="G79" s="6"/>
      <c r="H79" s="6"/>
      <c r="I79" s="6"/>
      <c r="J79" s="7"/>
      <c r="K79" s="7"/>
      <c r="L79" s="7"/>
      <c r="M79" s="7"/>
      <c r="N79" s="7"/>
      <c r="Z79" s="2721"/>
      <c r="AA79" s="2797"/>
      <c r="AG79" s="1374"/>
      <c r="AK79" s="2797"/>
    </row>
    <row r="80" spans="1:37" ht="24.75">
      <c r="A80" s="2879" t="s">
        <v>2945</v>
      </c>
      <c r="B80" s="1811"/>
      <c r="C80" s="1811" t="s">
        <v>2947</v>
      </c>
      <c r="D80" s="1811" t="s">
        <v>2948</v>
      </c>
      <c r="E80" s="818" t="s">
        <v>2949</v>
      </c>
      <c r="F80" s="2880" t="s">
        <v>2965</v>
      </c>
      <c r="G80" s="1811" t="s">
        <v>754</v>
      </c>
      <c r="H80" s="2881" t="s">
        <v>2951</v>
      </c>
      <c r="I80" s="1811" t="s">
        <v>2952</v>
      </c>
      <c r="J80" s="603" t="s">
        <v>2598</v>
      </c>
      <c r="K80" s="603" t="s">
        <v>2599</v>
      </c>
      <c r="L80" s="603" t="s">
        <v>2600</v>
      </c>
      <c r="M80" s="603" t="s">
        <v>2601</v>
      </c>
      <c r="N80" s="603" t="s">
        <v>2602</v>
      </c>
      <c r="Z80" s="2721"/>
      <c r="AA80" s="2797"/>
      <c r="AG80" s="1374"/>
      <c r="AK80" s="2797"/>
    </row>
    <row r="81" spans="1:37" ht="38.25">
      <c r="A81" s="2879" t="s">
        <v>2972</v>
      </c>
      <c r="B81" s="2883" t="str">
        <f>估价对象房地状况!G15</f>
        <v>估价对象位于XX开发区，园区建设成熟度XX，产业集聚程度XX</v>
      </c>
      <c r="C81" s="2771"/>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51">
      <c r="A82" s="2879" t="s">
        <v>2954</v>
      </c>
      <c r="B82" s="2883" t="str">
        <f>估价对象房地状况!G16</f>
        <v>估价对象周边道路状况、公共交通通达情况、停车便捷程度，综合评价交通便捷度较好</v>
      </c>
      <c r="C82" s="2771"/>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1"/>
      <c r="AA82" s="2797"/>
      <c r="AG82" s="1374"/>
      <c r="AK82" s="2797"/>
    </row>
    <row r="83" spans="1:37" ht="24">
      <c r="A83" s="2879" t="s">
        <v>2955</v>
      </c>
      <c r="B83" s="2883">
        <f>估价对象房地状况!G17</f>
        <v>0</v>
      </c>
      <c r="C83" s="2771"/>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1"/>
      <c r="AA83" s="2797"/>
      <c r="AG83" s="1374"/>
      <c r="AK83" s="2797"/>
    </row>
    <row r="84" spans="1:37" ht="14.25">
      <c r="A84" s="2879" t="s">
        <v>2969</v>
      </c>
      <c r="B84" s="2883">
        <f>估价对象房地状况!G22</f>
        <v>0</v>
      </c>
      <c r="C84" s="2771"/>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1"/>
      <c r="AA84" s="2797"/>
      <c r="AG84" s="1374"/>
      <c r="AK84" s="2797"/>
    </row>
    <row r="85" spans="1:37" ht="25.5">
      <c r="A85" s="2879" t="s">
        <v>2961</v>
      </c>
      <c r="B85" s="1727" t="str">
        <f>估价对象房地状况!G19</f>
        <v>估价对象所在区域公共配套设施齐备情况</v>
      </c>
      <c r="C85" s="2771"/>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1"/>
      <c r="AA85" s="2797"/>
      <c r="AG85" s="1374"/>
      <c r="AK85" s="2797"/>
    </row>
    <row r="86" spans="1:37" ht="25.5">
      <c r="A86" s="2879" t="s">
        <v>2962</v>
      </c>
      <c r="B86" s="1727" t="str">
        <f>估价对象房地状况!G20</f>
        <v>估价对象所在区域基础设施水平</v>
      </c>
      <c r="C86" s="2771"/>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1"/>
      <c r="AA86" s="2797"/>
      <c r="AG86" s="1374"/>
      <c r="AK86" s="2797"/>
    </row>
    <row r="87" spans="1:37" ht="24">
      <c r="A87" s="2879" t="s">
        <v>2959</v>
      </c>
      <c r="B87" s="2885" t="s">
        <v>2973</v>
      </c>
      <c r="C87" s="2771"/>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1"/>
      <c r="AA87" s="2797"/>
      <c r="AG87" s="1374"/>
      <c r="AK87" s="2797"/>
    </row>
    <row r="88" spans="1:37" ht="39" thickBot="1">
      <c r="A88" s="2887" t="s">
        <v>2974</v>
      </c>
      <c r="B88" s="2892" t="str">
        <f>估价对象房地状况!G18</f>
        <v>该园区内是否有污染型企业，绿化情况，卫生条件，整体环境状况判断</v>
      </c>
      <c r="C88" s="2771"/>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1"/>
      <c r="AA88" s="2797"/>
      <c r="AG88" s="1374"/>
      <c r="AK88" s="2797"/>
    </row>
    <row r="90" spans="1:37">
      <c r="A90" s="3304" t="s">
        <v>2975</v>
      </c>
      <c r="B90" s="3304"/>
      <c r="C90" s="3304"/>
      <c r="D90" s="3304"/>
      <c r="E90" s="3304"/>
      <c r="F90" s="3304"/>
      <c r="G90" s="3304"/>
      <c r="H90" s="3304"/>
      <c r="I90" s="3304"/>
      <c r="J90" s="3304"/>
      <c r="K90" s="2893"/>
      <c r="L90" s="2893"/>
      <c r="M90" s="2893"/>
      <c r="N90" s="2893"/>
    </row>
    <row r="91" spans="1:37">
      <c r="A91" s="3306" t="s">
        <v>2976</v>
      </c>
      <c r="B91" s="3306" t="s">
        <v>2977</v>
      </c>
      <c r="C91" s="2847" t="s">
        <v>2978</v>
      </c>
      <c r="D91" s="2848"/>
      <c r="E91" s="2848"/>
      <c r="F91" s="2848"/>
      <c r="G91" s="2848"/>
      <c r="H91" s="2848"/>
      <c r="I91" s="2848"/>
      <c r="J91" s="2894"/>
      <c r="K91" s="2895"/>
      <c r="L91" s="2895"/>
      <c r="M91" s="2895"/>
      <c r="N91" s="2895"/>
    </row>
    <row r="92" spans="1:37">
      <c r="A92" s="3306"/>
      <c r="B92" s="3306"/>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307" t="s">
        <v>2979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308"/>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308"/>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308"/>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308"/>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308"/>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308"/>
      <c r="B99" s="2896" t="s">
        <v>2858</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309"/>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307" t="s">
        <v>2980</v>
      </c>
      <c r="B101" s="2900" t="s">
        <v>2981</v>
      </c>
      <c r="C101" s="2901">
        <f>$G$3</f>
        <v>0.26</v>
      </c>
      <c r="D101" s="2901">
        <f t="shared" ref="D101:N101" si="31">$G$3</f>
        <v>0.26</v>
      </c>
      <c r="E101" s="2901">
        <f t="shared" si="31"/>
        <v>0.26</v>
      </c>
      <c r="F101" s="2901">
        <f t="shared" si="31"/>
        <v>0.26</v>
      </c>
      <c r="G101" s="2901">
        <f t="shared" si="31"/>
        <v>0.26</v>
      </c>
      <c r="H101" s="2901">
        <f t="shared" si="31"/>
        <v>0.26</v>
      </c>
      <c r="I101" s="2901">
        <f t="shared" si="31"/>
        <v>0.26</v>
      </c>
      <c r="J101" s="2901">
        <f t="shared" si="31"/>
        <v>0.26</v>
      </c>
      <c r="K101" s="2901">
        <f t="shared" si="31"/>
        <v>0.26</v>
      </c>
      <c r="L101" s="2901">
        <f t="shared" si="31"/>
        <v>0.26</v>
      </c>
      <c r="M101" s="2901">
        <f t="shared" si="31"/>
        <v>0.26</v>
      </c>
      <c r="N101" s="2901">
        <f t="shared" si="31"/>
        <v>0.26</v>
      </c>
    </row>
    <row r="102" spans="1:14">
      <c r="A102" s="3308"/>
      <c r="B102" s="2896">
        <v>1</v>
      </c>
      <c r="C102" s="2897">
        <f>1.9362/C101</f>
        <v>7.4469230769230768</v>
      </c>
      <c r="D102" s="2897">
        <f>1.9362/D101</f>
        <v>7.4469230769230768</v>
      </c>
      <c r="E102" s="2897">
        <f>1.8629/E101</f>
        <v>7.165</v>
      </c>
      <c r="F102" s="2897">
        <f>1.8629/F101</f>
        <v>7.165</v>
      </c>
      <c r="G102" s="2897">
        <f>1.8629/G101</f>
        <v>7.165</v>
      </c>
      <c r="H102" s="2897">
        <f>1.8629/H101</f>
        <v>7.165</v>
      </c>
      <c r="I102" s="2897">
        <f>1.8629/I101</f>
        <v>7.165</v>
      </c>
      <c r="J102" s="2897">
        <f>1.942/J101</f>
        <v>7.4692307692307685</v>
      </c>
      <c r="K102" s="2897">
        <f>1.942/K101</f>
        <v>7.4692307692307685</v>
      </c>
      <c r="L102" s="2897">
        <f>1.942/L101</f>
        <v>7.4692307692307685</v>
      </c>
      <c r="M102" s="2897">
        <f>1.942/M101</f>
        <v>7.4692307692307685</v>
      </c>
      <c r="N102" s="2897">
        <f>1.942/N101</f>
        <v>7.4692307692307685</v>
      </c>
    </row>
    <row r="103" spans="1:14">
      <c r="A103" s="3308"/>
      <c r="B103" s="2896">
        <v>2</v>
      </c>
      <c r="C103" s="2897">
        <f>1.4198/C101</f>
        <v>5.4607692307692304</v>
      </c>
      <c r="D103" s="2897">
        <f>1.4198/D101</f>
        <v>5.4607692307692304</v>
      </c>
      <c r="E103" s="2897">
        <f>1.3372/E101</f>
        <v>5.1430769230769231</v>
      </c>
      <c r="F103" s="2897">
        <f>1.3372/F101</f>
        <v>5.1430769230769231</v>
      </c>
      <c r="G103" s="2897">
        <f>1.3372/G101</f>
        <v>5.1430769230769231</v>
      </c>
      <c r="H103" s="2897">
        <f>1.3372/H101</f>
        <v>5.1430769230769231</v>
      </c>
      <c r="I103" s="2897">
        <f>1.3372/I101</f>
        <v>5.1430769230769231</v>
      </c>
      <c r="J103" s="2897">
        <f>1.2799/J101</f>
        <v>4.9226923076923077</v>
      </c>
      <c r="K103" s="2897">
        <f>1.2799/K101</f>
        <v>4.9226923076923077</v>
      </c>
      <c r="L103" s="2897">
        <f>1.2799/L101</f>
        <v>4.9226923076923077</v>
      </c>
      <c r="M103" s="2897">
        <f>1.2799/M101</f>
        <v>4.9226923076923077</v>
      </c>
      <c r="N103" s="2897">
        <f>1.2799/N101</f>
        <v>4.9226923076923077</v>
      </c>
    </row>
    <row r="104" spans="1:14">
      <c r="A104" s="3308"/>
      <c r="B104" s="2896">
        <v>3</v>
      </c>
      <c r="C104" s="2897">
        <f>1.1594/C101</f>
        <v>4.4592307692307687</v>
      </c>
      <c r="D104" s="2897">
        <f>1.1594/D101</f>
        <v>4.4592307692307687</v>
      </c>
      <c r="E104" s="2897">
        <f>1.0788/E101</f>
        <v>4.1492307692307691</v>
      </c>
      <c r="F104" s="2897">
        <f>1.0788/F101</f>
        <v>4.1492307692307691</v>
      </c>
      <c r="G104" s="2897">
        <f>1.0788/G101</f>
        <v>4.1492307692307691</v>
      </c>
      <c r="H104" s="2897">
        <f>1.0788/H101</f>
        <v>4.1492307692307691</v>
      </c>
      <c r="I104" s="2897">
        <f>1.0788/I101</f>
        <v>4.1492307692307691</v>
      </c>
      <c r="J104" s="2897">
        <f>1.0072/J101</f>
        <v>3.8738461538461539</v>
      </c>
      <c r="K104" s="2897">
        <f>1.0072/K101</f>
        <v>3.8738461538461539</v>
      </c>
      <c r="L104" s="2897">
        <f>1.0072/L101</f>
        <v>3.8738461538461539</v>
      </c>
      <c r="M104" s="2897">
        <f>1.0072/M101</f>
        <v>3.8738461538461539</v>
      </c>
      <c r="N104" s="2897">
        <f>1.0072/N101</f>
        <v>3.8738461538461539</v>
      </c>
    </row>
    <row r="105" spans="1:14">
      <c r="A105" s="3308"/>
      <c r="B105" s="2896">
        <v>4</v>
      </c>
      <c r="C105" s="2897">
        <f>0.9622/C101</f>
        <v>3.700769230769231</v>
      </c>
      <c r="D105" s="2897">
        <f>0.9622/D101</f>
        <v>3.700769230769231</v>
      </c>
      <c r="E105" s="2897">
        <f>0.8656/E101</f>
        <v>3.3292307692307692</v>
      </c>
      <c r="F105" s="2897">
        <f>0.8656/F101</f>
        <v>3.3292307692307692</v>
      </c>
      <c r="G105" s="2897">
        <f>0.8656/G101</f>
        <v>3.3292307692307692</v>
      </c>
      <c r="H105" s="2897">
        <f>0.8656/H101</f>
        <v>3.3292307692307692</v>
      </c>
      <c r="I105" s="2897">
        <f>0.8656/I101</f>
        <v>3.3292307692307692</v>
      </c>
      <c r="J105" s="2897">
        <f>0.7525/J101</f>
        <v>2.8942307692307687</v>
      </c>
      <c r="K105" s="2897">
        <f>0.7525/K101</f>
        <v>2.8942307692307687</v>
      </c>
      <c r="L105" s="2897">
        <f>0.7525/L101</f>
        <v>2.8942307692307687</v>
      </c>
      <c r="M105" s="2897">
        <f>0.7525/M101</f>
        <v>2.8942307692307687</v>
      </c>
      <c r="N105" s="2897">
        <f>0.7525/N101</f>
        <v>2.8942307692307687</v>
      </c>
    </row>
    <row r="106" spans="1:14">
      <c r="A106" s="3308"/>
      <c r="B106" s="2896">
        <v>5</v>
      </c>
      <c r="C106" s="2897">
        <f>0.8417/C101</f>
        <v>3.237307692307692</v>
      </c>
      <c r="D106" s="2897">
        <f>0.8417/D101</f>
        <v>3.237307692307692</v>
      </c>
      <c r="E106" s="2897">
        <f>0.7371/E101</f>
        <v>2.835</v>
      </c>
      <c r="F106" s="2897">
        <f>0.7371/F101</f>
        <v>2.835</v>
      </c>
      <c r="G106" s="2897">
        <f>0.7371/G101</f>
        <v>2.835</v>
      </c>
      <c r="H106" s="2897">
        <f>0.7371/H101</f>
        <v>2.835</v>
      </c>
      <c r="I106" s="2897">
        <f>0.7371/I101</f>
        <v>2.835</v>
      </c>
      <c r="J106" s="2897">
        <f>0.5659/J101</f>
        <v>2.1765384615384611</v>
      </c>
      <c r="K106" s="2897">
        <f>0.5659/K101</f>
        <v>2.1765384615384611</v>
      </c>
      <c r="L106" s="2897">
        <f>0.5659/L101</f>
        <v>2.1765384615384611</v>
      </c>
      <c r="M106" s="2897">
        <f>0.5659/M101</f>
        <v>2.1765384615384611</v>
      </c>
      <c r="N106" s="2897">
        <f>0.5659/N101</f>
        <v>2.1765384615384611</v>
      </c>
    </row>
    <row r="107" spans="1:14">
      <c r="A107" s="3308"/>
      <c r="B107" s="2896">
        <v>6</v>
      </c>
      <c r="C107" s="2897">
        <f>0.7608/C101</f>
        <v>2.9261538461538463</v>
      </c>
      <c r="D107" s="2897">
        <f>0.7608/D101</f>
        <v>2.9261538461538463</v>
      </c>
      <c r="E107" s="2897">
        <f>0.6482/E101</f>
        <v>2.4930769230769232</v>
      </c>
      <c r="F107" s="2897">
        <f>0.6482/F101</f>
        <v>2.4930769230769232</v>
      </c>
      <c r="G107" s="2897">
        <f>0.6482/G101</f>
        <v>2.4930769230769232</v>
      </c>
      <c r="H107" s="2897">
        <f>0.6482/H101</f>
        <v>2.4930769230769232</v>
      </c>
      <c r="I107" s="2897">
        <f>0.6482/I101</f>
        <v>2.4930769230769232</v>
      </c>
      <c r="J107" s="2897">
        <f>0.4525/J101</f>
        <v>1.7403846153846154</v>
      </c>
      <c r="K107" s="2897">
        <f>0.4525/K101</f>
        <v>1.7403846153846154</v>
      </c>
      <c r="L107" s="2897">
        <f>0.4525/L101</f>
        <v>1.7403846153846154</v>
      </c>
      <c r="M107" s="2897">
        <f>0.4525/M101</f>
        <v>1.7403846153846154</v>
      </c>
      <c r="N107" s="2897">
        <f>0.4525/N101</f>
        <v>1.7403846153846154</v>
      </c>
    </row>
    <row r="108" spans="1:14">
      <c r="A108" s="3308"/>
      <c r="B108" s="3132" t="s">
        <v>2982</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309"/>
      <c r="B109" s="3133"/>
      <c r="C109" s="2899">
        <f>(-0.163*(C108^2)-0.59*C108+7617)*(10^(-4))/C101</f>
        <v>2.9296153846153845</v>
      </c>
      <c r="D109" s="2899">
        <f>(-0.163*(D108^2)-0.59*D108+7617)*(10^(-4))/D101</f>
        <v>2.9296153846153845</v>
      </c>
      <c r="E109" s="2899">
        <f>(-0.161*(E108^2)-7.509*E108+6533)*(10^(-4))/E101</f>
        <v>2.5126923076923076</v>
      </c>
      <c r="F109" s="2899">
        <f>(-0.161*(F108^2)-7.509*F108+6533)*(10^(-4))/F101</f>
        <v>2.5126923076923076</v>
      </c>
      <c r="G109" s="2899">
        <f>(-0.161*(G108^2)-7.509*G108+6533)*(10^(-4))/G101</f>
        <v>2.5126923076923076</v>
      </c>
      <c r="H109" s="2899">
        <f>(-0.161*(H108^2)-7.509*H108+6533)*(10^(-4))/H101</f>
        <v>2.5126923076923076</v>
      </c>
      <c r="I109" s="2899">
        <f>(-0.161*(I108^2)-7.509*I108+6533)*(10^(-4))/I101</f>
        <v>2.5126923076923076</v>
      </c>
      <c r="J109" s="2899">
        <f>(-0.214*(J108^2)-21.991*J108+4665)*(10^(-4))/J101</f>
        <v>1.7942307692307693</v>
      </c>
      <c r="K109" s="2899">
        <f>(-0.214*(K108^2)-21.991*K108+4665)*(10^(-4))/K101</f>
        <v>1.7942307692307693</v>
      </c>
      <c r="L109" s="2899">
        <f>(-0.214*(L108^2)-21.991*L108+4665)*(10^(-4))/L101</f>
        <v>1.7942307692307693</v>
      </c>
      <c r="M109" s="2899">
        <f>(-0.214*(M108^2)-21.991*M108+4665)*(10^(-4))/M101</f>
        <v>1.7942307692307693</v>
      </c>
      <c r="N109" s="2899">
        <f>(-0.214*(N108^2)-21.991*N108+4665)*(10^(-4))/N101</f>
        <v>1.7942307692307693</v>
      </c>
    </row>
    <row r="110" spans="1:14">
      <c r="A110" s="3305" t="s">
        <v>2983</v>
      </c>
      <c r="B110" s="3305"/>
      <c r="C110" s="3305"/>
      <c r="D110" s="3305"/>
      <c r="E110" s="3305"/>
      <c r="F110" s="3305"/>
      <c r="G110" s="3305"/>
      <c r="H110" s="3305"/>
      <c r="I110" s="3305"/>
      <c r="J110" s="3305"/>
      <c r="K110" s="2902"/>
      <c r="L110" s="2902"/>
      <c r="M110" s="2902"/>
      <c r="N110" s="2902"/>
    </row>
    <row r="112" spans="1:14" ht="13.5" thickBot="1"/>
    <row r="113" spans="1:13" ht="25.5" thickBot="1">
      <c r="A113" s="902" t="s">
        <v>2984</v>
      </c>
      <c r="B113" s="1289">
        <f>G3</f>
        <v>0.26</v>
      </c>
      <c r="C113" s="903" t="s">
        <v>2985</v>
      </c>
      <c r="D113" s="904">
        <f>SUMPRODUCT((A115:A118=F113)*(B114:M114=H113)*B115:M118)</f>
        <v>0</v>
      </c>
      <c r="E113" s="2725" t="s">
        <v>2815</v>
      </c>
      <c r="F113" s="2904">
        <f>E2</f>
        <v>0</v>
      </c>
      <c r="G113" s="2725" t="s">
        <v>2816</v>
      </c>
      <c r="H113" s="2904">
        <f>G2</f>
        <v>0</v>
      </c>
      <c r="I113" s="2725"/>
      <c r="J113" s="2905"/>
      <c r="K113" s="2905"/>
      <c r="L113" s="2905"/>
      <c r="M113" s="2905"/>
    </row>
    <row r="114" spans="1:13">
      <c r="A114" s="907"/>
      <c r="B114" s="2906" t="s">
        <v>2986</v>
      </c>
      <c r="C114" s="2906" t="s">
        <v>2987</v>
      </c>
      <c r="D114" s="2906" t="s">
        <v>2988</v>
      </c>
      <c r="E114" s="2907" t="s">
        <v>2989</v>
      </c>
      <c r="F114" s="2907" t="s">
        <v>2990</v>
      </c>
      <c r="G114" s="2907" t="s">
        <v>2991</v>
      </c>
      <c r="H114" s="2908" t="s">
        <v>2992</v>
      </c>
      <c r="I114" s="2908" t="s">
        <v>2993</v>
      </c>
      <c r="J114" s="2909" t="s">
        <v>2994</v>
      </c>
      <c r="K114" s="2909" t="s">
        <v>2995</v>
      </c>
      <c r="L114" s="2909" t="s">
        <v>2996</v>
      </c>
      <c r="M114" s="2910" t="s">
        <v>2997</v>
      </c>
    </row>
    <row r="115" spans="1:13">
      <c r="A115" s="908" t="s">
        <v>2880</v>
      </c>
      <c r="B115" s="909">
        <f>ROUND(0.9335-0.0094*B113,4)</f>
        <v>0.93110000000000004</v>
      </c>
      <c r="C115" s="909">
        <f>B115</f>
        <v>0.93110000000000004</v>
      </c>
      <c r="D115" s="909">
        <f>ROUND(0.8331-0.0109*B113,4)</f>
        <v>0.83030000000000004</v>
      </c>
      <c r="E115" s="909">
        <f>D115</f>
        <v>0.83030000000000004</v>
      </c>
      <c r="F115" s="909">
        <f>E115</f>
        <v>0.83030000000000004</v>
      </c>
      <c r="G115" s="909">
        <f>F115</f>
        <v>0.83030000000000004</v>
      </c>
      <c r="H115" s="909">
        <f>G115</f>
        <v>0.83030000000000004</v>
      </c>
      <c r="I115" s="909">
        <f>ROUND(0.689-0.0155*B113,4)</f>
        <v>0.68500000000000005</v>
      </c>
      <c r="J115" s="909">
        <f t="shared" ref="J115:M118" si="33">I115</f>
        <v>0.68500000000000005</v>
      </c>
      <c r="K115" s="909">
        <f t="shared" si="33"/>
        <v>0.68500000000000005</v>
      </c>
      <c r="L115" s="909">
        <f t="shared" si="33"/>
        <v>0.68500000000000005</v>
      </c>
      <c r="M115" s="910">
        <f t="shared" si="33"/>
        <v>0.68500000000000005</v>
      </c>
    </row>
    <row r="116" spans="1:13">
      <c r="A116" s="908" t="s">
        <v>2881</v>
      </c>
      <c r="B116" s="909">
        <f>ROUND(0.949-0.012*B113,4)</f>
        <v>0.94589999999999996</v>
      </c>
      <c r="C116" s="909">
        <f>B116</f>
        <v>0.94589999999999996</v>
      </c>
      <c r="D116" s="909">
        <f>ROUND(0.8567-0.013*B113,4)</f>
        <v>0.85329999999999995</v>
      </c>
      <c r="E116" s="909">
        <f t="shared" ref="E116:H117" si="34">D116</f>
        <v>0.85329999999999995</v>
      </c>
      <c r="F116" s="909">
        <f t="shared" si="34"/>
        <v>0.85329999999999995</v>
      </c>
      <c r="G116" s="909">
        <f t="shared" si="34"/>
        <v>0.85329999999999995</v>
      </c>
      <c r="H116" s="909">
        <f t="shared" si="34"/>
        <v>0.85329999999999995</v>
      </c>
      <c r="I116" s="909">
        <f>ROUND(0.7694-0.014*B113,4)</f>
        <v>0.76580000000000004</v>
      </c>
      <c r="J116" s="909">
        <f t="shared" si="33"/>
        <v>0.76580000000000004</v>
      </c>
      <c r="K116" s="909">
        <f t="shared" si="33"/>
        <v>0.76580000000000004</v>
      </c>
      <c r="L116" s="909">
        <f t="shared" si="33"/>
        <v>0.76580000000000004</v>
      </c>
      <c r="M116" s="910">
        <f t="shared" si="33"/>
        <v>0.76580000000000004</v>
      </c>
    </row>
    <row r="117" spans="1:13">
      <c r="A117" s="908" t="s">
        <v>2882</v>
      </c>
      <c r="B117" s="909">
        <f>ROUND(0.8808-0.006*B113,4)</f>
        <v>0.87919999999999998</v>
      </c>
      <c r="C117" s="909">
        <f>B117</f>
        <v>0.87919999999999998</v>
      </c>
      <c r="D117" s="909">
        <f>ROUND(0.8748-0.008*B113,4)</f>
        <v>0.87270000000000003</v>
      </c>
      <c r="E117" s="909">
        <f t="shared" si="34"/>
        <v>0.87270000000000003</v>
      </c>
      <c r="F117" s="909">
        <f t="shared" si="34"/>
        <v>0.87270000000000003</v>
      </c>
      <c r="G117" s="909">
        <f t="shared" si="34"/>
        <v>0.87270000000000003</v>
      </c>
      <c r="H117" s="909">
        <f t="shared" si="34"/>
        <v>0.87270000000000003</v>
      </c>
      <c r="I117" s="909">
        <f>ROUND(0.7412-0.0095*B113,4)</f>
        <v>0.73870000000000002</v>
      </c>
      <c r="J117" s="909">
        <f t="shared" si="33"/>
        <v>0.73870000000000002</v>
      </c>
      <c r="K117" s="909">
        <f t="shared" si="33"/>
        <v>0.73870000000000002</v>
      </c>
      <c r="L117" s="909">
        <f t="shared" si="33"/>
        <v>0.73870000000000002</v>
      </c>
      <c r="M117" s="910">
        <f t="shared" si="33"/>
        <v>0.73870000000000002</v>
      </c>
    </row>
    <row r="118" spans="1:13" ht="13.5" thickBot="1">
      <c r="A118" s="714" t="s">
        <v>2883</v>
      </c>
      <c r="B118" s="911">
        <f>ROUND(0.7275-0.01*B113,4)</f>
        <v>0.72489999999999999</v>
      </c>
      <c r="C118" s="911">
        <f>B118</f>
        <v>0.72489999999999999</v>
      </c>
      <c r="D118" s="911">
        <f>ROUND(0.7043-0.012*B113,4)</f>
        <v>0.70120000000000005</v>
      </c>
      <c r="E118" s="911">
        <f>D118</f>
        <v>0.70120000000000005</v>
      </c>
      <c r="F118" s="911">
        <f>E118</f>
        <v>0.70120000000000005</v>
      </c>
      <c r="G118" s="911">
        <f>ROUND(0.6299-0.0122*B113,4)</f>
        <v>0.62670000000000003</v>
      </c>
      <c r="H118" s="911">
        <f>G118</f>
        <v>0.62670000000000003</v>
      </c>
      <c r="I118" s="911">
        <f>ROUND(0.5667-0.0136*B113,4)</f>
        <v>0.56320000000000003</v>
      </c>
      <c r="J118" s="911">
        <f t="shared" si="33"/>
        <v>0.56320000000000003</v>
      </c>
      <c r="K118" s="911">
        <f t="shared" si="33"/>
        <v>0.56320000000000003</v>
      </c>
      <c r="L118" s="911">
        <f t="shared" si="33"/>
        <v>0.56320000000000003</v>
      </c>
      <c r="M118" s="912">
        <f t="shared" si="33"/>
        <v>0.56320000000000003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54" priority="5" stopIfTrue="1" operator="notEqual">
      <formula>"——"</formula>
    </cfRule>
  </conditionalFormatting>
  <conditionalFormatting sqref="F59">
    <cfRule type="cellIs" dxfId="53" priority="4" stopIfTrue="1" operator="notEqual">
      <formula>"——"</formula>
    </cfRule>
  </conditionalFormatting>
  <conditionalFormatting sqref="F70">
    <cfRule type="cellIs" dxfId="52" priority="3" stopIfTrue="1" operator="notEqual">
      <formula>"——"</formula>
    </cfRule>
  </conditionalFormatting>
  <conditionalFormatting sqref="F81">
    <cfRule type="cellIs" dxfId="51" priority="2" stopIfTrue="1" operator="notEqual">
      <formula>"——"</formula>
    </cfRule>
  </conditionalFormatting>
  <conditionalFormatting sqref="H48:H56 H59:H67 H70:H78 H81:H88">
    <cfRule type="cellIs" dxfId="5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22" t="s">
        <v>183</v>
      </c>
      <c r="B18" s="881" t="s">
        <v>560</v>
      </c>
      <c r="C18" s="882" t="s">
        <v>561</v>
      </c>
      <c r="D18" s="883"/>
      <c r="E18" s="881">
        <v>1</v>
      </c>
      <c r="F18" s="884" t="s">
        <v>562</v>
      </c>
      <c r="G18" s="885"/>
      <c r="H18" s="877"/>
      <c r="I18" s="877"/>
    </row>
    <row r="19" spans="1:9" s="886" customFormat="1" ht="19.5" customHeight="1">
      <c r="A19" s="3322"/>
      <c r="B19" s="3322" t="s">
        <v>563</v>
      </c>
      <c r="C19" s="882" t="s">
        <v>564</v>
      </c>
      <c r="D19" s="883"/>
      <c r="E19" s="881">
        <v>0.9</v>
      </c>
      <c r="F19" s="884" t="s">
        <v>565</v>
      </c>
      <c r="G19" s="885"/>
      <c r="H19" s="877"/>
      <c r="I19" s="877"/>
    </row>
    <row r="20" spans="1:9" s="886" customFormat="1" ht="19.5" customHeight="1">
      <c r="A20" s="3322"/>
      <c r="B20" s="3322"/>
      <c r="C20" s="882" t="s">
        <v>566</v>
      </c>
      <c r="D20" s="883"/>
      <c r="E20" s="881">
        <v>1.1000000000000001</v>
      </c>
      <c r="F20" s="884" t="s">
        <v>567</v>
      </c>
      <c r="G20" s="885"/>
      <c r="H20" s="877"/>
      <c r="I20" s="877"/>
    </row>
    <row r="21" spans="1:9" s="886" customFormat="1" ht="19.5" customHeight="1">
      <c r="A21" s="3322"/>
      <c r="B21" s="3322"/>
      <c r="C21" s="882" t="s">
        <v>568</v>
      </c>
      <c r="D21" s="883"/>
      <c r="E21" s="881">
        <v>0.8</v>
      </c>
      <c r="F21" s="884" t="s">
        <v>569</v>
      </c>
      <c r="G21" s="885"/>
      <c r="H21" s="877"/>
      <c r="I21" s="877"/>
    </row>
    <row r="22" spans="1:9" s="886" customFormat="1" ht="19.5" customHeight="1">
      <c r="A22" s="3322"/>
      <c r="B22" s="3322"/>
      <c r="C22" s="882" t="s">
        <v>570</v>
      </c>
      <c r="D22" s="883"/>
      <c r="E22" s="881">
        <v>0.5</v>
      </c>
      <c r="F22" s="884"/>
      <c r="G22" s="885"/>
      <c r="H22" s="877"/>
      <c r="I22" s="877"/>
    </row>
    <row r="23" spans="1:9" s="886" customFormat="1" ht="19.5" customHeight="1">
      <c r="A23" s="3322" t="s">
        <v>184</v>
      </c>
      <c r="B23" s="881" t="s">
        <v>560</v>
      </c>
      <c r="C23" s="882" t="s">
        <v>571</v>
      </c>
      <c r="D23" s="883"/>
      <c r="E23" s="881">
        <v>1</v>
      </c>
      <c r="F23" s="884" t="s">
        <v>572</v>
      </c>
      <c r="G23" s="885"/>
      <c r="H23" s="877"/>
      <c r="I23" s="877"/>
    </row>
    <row r="24" spans="1:9" s="886" customFormat="1" ht="19.5" customHeight="1">
      <c r="A24" s="3322"/>
      <c r="B24" s="3322" t="s">
        <v>563</v>
      </c>
      <c r="C24" s="882" t="s">
        <v>573</v>
      </c>
      <c r="D24" s="883"/>
      <c r="E24" s="881">
        <v>0.5</v>
      </c>
      <c r="F24" s="884"/>
      <c r="G24" s="885"/>
      <c r="H24" s="877"/>
      <c r="I24" s="877"/>
    </row>
    <row r="25" spans="1:9" s="886" customFormat="1" ht="19.5" customHeight="1">
      <c r="A25" s="3322"/>
      <c r="B25" s="3322"/>
      <c r="C25" s="882" t="s">
        <v>574</v>
      </c>
      <c r="D25" s="883"/>
      <c r="E25" s="881">
        <v>1.1000000000000001</v>
      </c>
      <c r="F25" s="884"/>
      <c r="G25" s="885"/>
      <c r="H25" s="877"/>
      <c r="I25" s="877"/>
    </row>
    <row r="26" spans="1:9" s="886" customFormat="1" ht="19.5" customHeight="1">
      <c r="A26" s="3322"/>
      <c r="B26" s="3322"/>
      <c r="C26" s="882" t="s">
        <v>575</v>
      </c>
      <c r="D26" s="883"/>
      <c r="E26" s="881">
        <v>1.1000000000000001</v>
      </c>
      <c r="F26" s="884"/>
      <c r="G26" s="885"/>
      <c r="H26" s="877"/>
      <c r="I26" s="877"/>
    </row>
    <row r="27" spans="1:9" s="886" customFormat="1" ht="19.5" customHeight="1">
      <c r="A27" s="3322"/>
      <c r="B27" s="3322"/>
      <c r="C27" s="882" t="s">
        <v>576</v>
      </c>
      <c r="D27" s="883"/>
      <c r="E27" s="881">
        <v>0.9</v>
      </c>
      <c r="F27" s="884" t="s">
        <v>577</v>
      </c>
      <c r="G27" s="885"/>
      <c r="H27" s="877"/>
      <c r="I27" s="877"/>
    </row>
    <row r="28" spans="1:9" s="886" customFormat="1" ht="19.5" customHeight="1">
      <c r="A28" s="3322"/>
      <c r="B28" s="3322"/>
      <c r="C28" s="882" t="s">
        <v>578</v>
      </c>
      <c r="D28" s="883"/>
      <c r="E28" s="881">
        <v>0.9</v>
      </c>
      <c r="F28" s="884" t="s">
        <v>579</v>
      </c>
      <c r="G28" s="885"/>
      <c r="H28" s="877"/>
      <c r="I28" s="877"/>
    </row>
    <row r="29" spans="1:9" s="886" customFormat="1" ht="19.5" customHeight="1">
      <c r="A29" s="3322"/>
      <c r="B29" s="3322"/>
      <c r="C29" s="882" t="s">
        <v>580</v>
      </c>
      <c r="D29" s="883"/>
      <c r="E29" s="881">
        <v>0.9</v>
      </c>
      <c r="F29" s="884" t="s">
        <v>581</v>
      </c>
      <c r="G29" s="885"/>
      <c r="H29" s="877"/>
      <c r="I29" s="877"/>
    </row>
    <row r="30" spans="1:9" s="886" customFormat="1" ht="19.5" customHeight="1">
      <c r="A30" s="3322"/>
      <c r="B30" s="3322"/>
      <c r="C30" s="882" t="s">
        <v>582</v>
      </c>
      <c r="D30" s="883"/>
      <c r="E30" s="881">
        <v>0.9</v>
      </c>
      <c r="F30" s="884" t="s">
        <v>583</v>
      </c>
      <c r="G30" s="885"/>
      <c r="H30" s="877"/>
      <c r="I30" s="877"/>
    </row>
    <row r="31" spans="1:9" s="886" customFormat="1" ht="19.5" customHeight="1">
      <c r="A31" s="3322"/>
      <c r="B31" s="3322"/>
      <c r="C31" s="882" t="s">
        <v>584</v>
      </c>
      <c r="D31" s="883"/>
      <c r="E31" s="881">
        <v>0.8</v>
      </c>
      <c r="F31" s="884" t="s">
        <v>585</v>
      </c>
      <c r="G31" s="885"/>
      <c r="H31" s="877"/>
      <c r="I31" s="877"/>
    </row>
    <row r="32" spans="1:9" s="886" customFormat="1" ht="19.5" customHeight="1">
      <c r="A32" s="3322"/>
      <c r="B32" s="3322"/>
      <c r="C32" s="882" t="s">
        <v>586</v>
      </c>
      <c r="D32" s="883"/>
      <c r="E32" s="881">
        <v>0.8</v>
      </c>
      <c r="F32" s="884" t="s">
        <v>587</v>
      </c>
      <c r="G32" s="885"/>
      <c r="H32" s="877"/>
      <c r="I32" s="877"/>
    </row>
    <row r="33" spans="1:9" s="886" customFormat="1" ht="19.5" customHeight="1">
      <c r="A33" s="3322" t="s">
        <v>185</v>
      </c>
      <c r="B33" s="881" t="s">
        <v>560</v>
      </c>
      <c r="C33" s="882" t="s">
        <v>588</v>
      </c>
      <c r="D33" s="883"/>
      <c r="E33" s="881">
        <v>1</v>
      </c>
      <c r="F33" s="884" t="s">
        <v>589</v>
      </c>
      <c r="G33" s="885"/>
      <c r="H33" s="877"/>
      <c r="I33" s="877"/>
    </row>
    <row r="34" spans="1:9" s="886" customFormat="1" ht="19.5" customHeight="1">
      <c r="A34" s="3322"/>
      <c r="B34" s="881" t="s">
        <v>563</v>
      </c>
      <c r="C34" s="882" t="s">
        <v>590</v>
      </c>
      <c r="D34" s="883"/>
      <c r="E34" s="881">
        <v>1.5</v>
      </c>
      <c r="F34" s="884" t="s">
        <v>591</v>
      </c>
      <c r="G34" s="885"/>
      <c r="H34" s="877"/>
      <c r="I34" s="877"/>
    </row>
    <row r="35" spans="1:9" s="886" customFormat="1" ht="19.5" customHeight="1">
      <c r="A35" s="3322" t="s">
        <v>186</v>
      </c>
      <c r="B35" s="881" t="s">
        <v>560</v>
      </c>
      <c r="C35" s="882" t="s">
        <v>592</v>
      </c>
      <c r="D35" s="883"/>
      <c r="E35" s="881">
        <v>1</v>
      </c>
      <c r="F35" s="884" t="s">
        <v>593</v>
      </c>
      <c r="G35" s="885"/>
      <c r="H35" s="877"/>
      <c r="I35" s="877"/>
    </row>
    <row r="36" spans="1:9" s="886" customFormat="1" ht="19.5" customHeight="1">
      <c r="A36" s="3322"/>
      <c r="B36" s="3322" t="s">
        <v>563</v>
      </c>
      <c r="C36" s="882" t="s">
        <v>594</v>
      </c>
      <c r="D36" s="883"/>
      <c r="E36" s="881">
        <v>1</v>
      </c>
      <c r="F36" s="884" t="s">
        <v>595</v>
      </c>
      <c r="G36" s="885"/>
      <c r="H36" s="877"/>
      <c r="I36" s="877"/>
    </row>
    <row r="37" spans="1:9" s="886" customFormat="1" ht="19.5" customHeight="1">
      <c r="A37" s="3322"/>
      <c r="B37" s="3322"/>
      <c r="C37" s="882" t="s">
        <v>596</v>
      </c>
      <c r="D37" s="883"/>
      <c r="E37" s="881">
        <v>1.5</v>
      </c>
      <c r="F37" s="884" t="s">
        <v>597</v>
      </c>
      <c r="G37" s="885"/>
      <c r="H37" s="877"/>
      <c r="I37" s="877"/>
    </row>
    <row r="38" spans="1:9" s="886" customFormat="1" ht="19.5" customHeight="1">
      <c r="A38" s="3322"/>
      <c r="B38" s="3322"/>
      <c r="C38" s="882" t="s">
        <v>598</v>
      </c>
      <c r="D38" s="883"/>
      <c r="E38" s="881">
        <v>1</v>
      </c>
      <c r="F38" s="884" t="s">
        <v>599</v>
      </c>
      <c r="G38" s="885"/>
      <c r="H38" s="877"/>
      <c r="I38" s="877"/>
    </row>
    <row r="39" spans="1:9" s="886" customFormat="1" ht="19.5" customHeight="1">
      <c r="A39" s="3322"/>
      <c r="B39" s="332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22" t="s">
        <v>614</v>
      </c>
      <c r="C61" s="817" t="s">
        <v>615</v>
      </c>
      <c r="D61" s="817" t="s">
        <v>616</v>
      </c>
      <c r="E61" s="894">
        <v>0.5</v>
      </c>
      <c r="F61" s="881">
        <v>80</v>
      </c>
    </row>
    <row r="62" spans="1:8" s="877" customFormat="1" ht="24">
      <c r="A62" s="881">
        <v>2</v>
      </c>
      <c r="B62" s="3322"/>
      <c r="C62" s="817" t="s">
        <v>617</v>
      </c>
      <c r="D62" s="817" t="s">
        <v>618</v>
      </c>
      <c r="E62" s="894">
        <v>0.5</v>
      </c>
      <c r="F62" s="881">
        <v>80</v>
      </c>
    </row>
    <row r="63" spans="1:8" s="877" customFormat="1" ht="36">
      <c r="A63" s="881">
        <v>3</v>
      </c>
      <c r="B63" s="3322"/>
      <c r="C63" s="817" t="s">
        <v>619</v>
      </c>
      <c r="D63" s="817" t="s">
        <v>620</v>
      </c>
      <c r="E63" s="894">
        <v>0.5</v>
      </c>
      <c r="F63" s="881">
        <v>80</v>
      </c>
    </row>
    <row r="64" spans="1:8" s="877" customFormat="1" ht="36">
      <c r="A64" s="881">
        <v>4</v>
      </c>
      <c r="B64" s="3322"/>
      <c r="C64" s="817" t="s">
        <v>621</v>
      </c>
      <c r="D64" s="817" t="s">
        <v>622</v>
      </c>
      <c r="E64" s="894">
        <v>0.4</v>
      </c>
      <c r="F64" s="881">
        <v>60</v>
      </c>
    </row>
    <row r="65" spans="1:6" s="877" customFormat="1" ht="36">
      <c r="A65" s="881">
        <v>5</v>
      </c>
      <c r="B65" s="3322"/>
      <c r="C65" s="817" t="s">
        <v>623</v>
      </c>
      <c r="D65" s="817" t="s">
        <v>624</v>
      </c>
      <c r="E65" s="894">
        <v>0.2</v>
      </c>
      <c r="F65" s="881">
        <v>30</v>
      </c>
    </row>
    <row r="66" spans="1:6" s="877" customFormat="1" ht="36">
      <c r="A66" s="881">
        <v>6</v>
      </c>
      <c r="B66" s="3322"/>
      <c r="C66" s="817" t="s">
        <v>625</v>
      </c>
      <c r="D66" s="817" t="s">
        <v>626</v>
      </c>
      <c r="E66" s="894">
        <v>0.3</v>
      </c>
      <c r="F66" s="881">
        <v>50</v>
      </c>
    </row>
    <row r="67" spans="1:6" s="877" customFormat="1" ht="36">
      <c r="A67" s="881">
        <v>7</v>
      </c>
      <c r="B67" s="3322"/>
      <c r="C67" s="817" t="s">
        <v>627</v>
      </c>
      <c r="D67" s="817" t="s">
        <v>628</v>
      </c>
      <c r="E67" s="894">
        <v>0.2</v>
      </c>
      <c r="F67" s="881">
        <v>30</v>
      </c>
    </row>
    <row r="68" spans="1:6" s="877" customFormat="1" ht="36">
      <c r="A68" s="881">
        <v>8</v>
      </c>
      <c r="B68" s="3322"/>
      <c r="C68" s="817" t="s">
        <v>629</v>
      </c>
      <c r="D68" s="817" t="s">
        <v>630</v>
      </c>
      <c r="E68" s="894">
        <v>0.2</v>
      </c>
      <c r="F68" s="881">
        <v>30</v>
      </c>
    </row>
    <row r="69" spans="1:6" s="877" customFormat="1" ht="36">
      <c r="A69" s="881">
        <v>9</v>
      </c>
      <c r="B69" s="3322"/>
      <c r="C69" s="817" t="s">
        <v>631</v>
      </c>
      <c r="D69" s="817" t="s">
        <v>632</v>
      </c>
      <c r="E69" s="894">
        <v>0.2</v>
      </c>
      <c r="F69" s="881">
        <v>30</v>
      </c>
    </row>
    <row r="70" spans="1:6" s="877" customFormat="1" ht="48">
      <c r="A70" s="881">
        <v>10</v>
      </c>
      <c r="B70" s="3322"/>
      <c r="C70" s="817" t="s">
        <v>633</v>
      </c>
      <c r="D70" s="817" t="s">
        <v>634</v>
      </c>
      <c r="E70" s="894">
        <v>0.2</v>
      </c>
      <c r="F70" s="881">
        <v>30</v>
      </c>
    </row>
    <row r="71" spans="1:6" s="877" customFormat="1" ht="48">
      <c r="A71" s="881">
        <v>11</v>
      </c>
      <c r="B71" s="3322"/>
      <c r="C71" s="817" t="s">
        <v>635</v>
      </c>
      <c r="D71" s="817" t="s">
        <v>636</v>
      </c>
      <c r="E71" s="894">
        <v>0.2</v>
      </c>
      <c r="F71" s="881">
        <v>30</v>
      </c>
    </row>
    <row r="72" spans="1:6" s="877" customFormat="1" ht="36">
      <c r="A72" s="881">
        <v>12</v>
      </c>
      <c r="B72" s="3322"/>
      <c r="C72" s="817" t="s">
        <v>637</v>
      </c>
      <c r="D72" s="817" t="s">
        <v>638</v>
      </c>
      <c r="E72" s="894">
        <v>0.5</v>
      </c>
      <c r="F72" s="881">
        <v>80</v>
      </c>
    </row>
    <row r="73" spans="1:6" s="877" customFormat="1" ht="24">
      <c r="A73" s="881">
        <v>13</v>
      </c>
      <c r="B73" s="3322"/>
      <c r="C73" s="817" t="s">
        <v>639</v>
      </c>
      <c r="D73" s="817" t="s">
        <v>640</v>
      </c>
      <c r="E73" s="894">
        <v>0.4</v>
      </c>
      <c r="F73" s="881">
        <v>60</v>
      </c>
    </row>
    <row r="74" spans="1:6" s="877" customFormat="1" ht="24">
      <c r="A74" s="881">
        <v>14</v>
      </c>
      <c r="B74" s="3322"/>
      <c r="C74" s="817" t="s">
        <v>641</v>
      </c>
      <c r="D74" s="817" t="s">
        <v>642</v>
      </c>
      <c r="E74" s="894">
        <v>0.2</v>
      </c>
      <c r="F74" s="881">
        <v>30</v>
      </c>
    </row>
    <row r="75" spans="1:6" s="877" customFormat="1" ht="24">
      <c r="A75" s="881">
        <v>15</v>
      </c>
      <c r="B75" s="3322"/>
      <c r="C75" s="817" t="s">
        <v>643</v>
      </c>
      <c r="D75" s="817" t="s">
        <v>644</v>
      </c>
      <c r="E75" s="894">
        <v>0.2</v>
      </c>
      <c r="F75" s="881">
        <v>30</v>
      </c>
    </row>
    <row r="76" spans="1:6" s="877" customFormat="1" ht="24">
      <c r="A76" s="881">
        <v>16</v>
      </c>
      <c r="B76" s="3322" t="s">
        <v>645</v>
      </c>
      <c r="C76" s="817" t="s">
        <v>646</v>
      </c>
      <c r="D76" s="817" t="s">
        <v>647</v>
      </c>
      <c r="E76" s="894">
        <v>0.5</v>
      </c>
      <c r="F76" s="881">
        <v>80</v>
      </c>
    </row>
    <row r="77" spans="1:6" s="877" customFormat="1" ht="24">
      <c r="A77" s="881">
        <v>17</v>
      </c>
      <c r="B77" s="3322"/>
      <c r="C77" s="817" t="s">
        <v>648</v>
      </c>
      <c r="D77" s="817" t="s">
        <v>649</v>
      </c>
      <c r="E77" s="894">
        <v>0.5</v>
      </c>
      <c r="F77" s="881">
        <v>80</v>
      </c>
    </row>
    <row r="78" spans="1:6" s="877" customFormat="1" ht="24">
      <c r="A78" s="881">
        <v>18</v>
      </c>
      <c r="B78" s="3322"/>
      <c r="C78" s="817" t="s">
        <v>650</v>
      </c>
      <c r="D78" s="817" t="s">
        <v>651</v>
      </c>
      <c r="E78" s="894">
        <v>0.2</v>
      </c>
      <c r="F78" s="881">
        <v>30</v>
      </c>
    </row>
    <row r="79" spans="1:6" s="877" customFormat="1" ht="24">
      <c r="A79" s="881">
        <v>19</v>
      </c>
      <c r="B79" s="3322"/>
      <c r="C79" s="817" t="s">
        <v>652</v>
      </c>
      <c r="D79" s="817" t="s">
        <v>653</v>
      </c>
      <c r="E79" s="894">
        <v>0.5</v>
      </c>
      <c r="F79" s="881">
        <v>80</v>
      </c>
    </row>
    <row r="80" spans="1:6" s="877" customFormat="1" ht="36">
      <c r="A80" s="881">
        <v>20</v>
      </c>
      <c r="B80" s="3322"/>
      <c r="C80" s="817" t="s">
        <v>654</v>
      </c>
      <c r="D80" s="817" t="s">
        <v>655</v>
      </c>
      <c r="E80" s="894">
        <v>0.2</v>
      </c>
      <c r="F80" s="881">
        <v>30</v>
      </c>
    </row>
    <row r="81" spans="1:6" s="877" customFormat="1" ht="36">
      <c r="A81" s="881">
        <v>21</v>
      </c>
      <c r="B81" s="3322"/>
      <c r="C81" s="817" t="s">
        <v>656</v>
      </c>
      <c r="D81" s="817" t="s">
        <v>657</v>
      </c>
      <c r="E81" s="894">
        <v>0.2</v>
      </c>
      <c r="F81" s="881">
        <v>30</v>
      </c>
    </row>
    <row r="82" spans="1:6" s="877" customFormat="1" ht="48">
      <c r="A82" s="881">
        <v>22</v>
      </c>
      <c r="B82" s="3322"/>
      <c r="C82" s="817" t="s">
        <v>658</v>
      </c>
      <c r="D82" s="817" t="s">
        <v>659</v>
      </c>
      <c r="E82" s="894">
        <v>0.2</v>
      </c>
      <c r="F82" s="881">
        <v>30</v>
      </c>
    </row>
    <row r="83" spans="1:6" s="877" customFormat="1" ht="48">
      <c r="A83" s="881">
        <v>23</v>
      </c>
      <c r="B83" s="3322"/>
      <c r="C83" s="817" t="s">
        <v>660</v>
      </c>
      <c r="D83" s="817" t="s">
        <v>661</v>
      </c>
      <c r="E83" s="894">
        <v>0.2</v>
      </c>
      <c r="F83" s="881">
        <v>30</v>
      </c>
    </row>
    <row r="84" spans="1:6" s="877" customFormat="1" ht="36">
      <c r="A84" s="881">
        <v>24</v>
      </c>
      <c r="B84" s="3322"/>
      <c r="C84" s="817" t="s">
        <v>662</v>
      </c>
      <c r="D84" s="817" t="s">
        <v>663</v>
      </c>
      <c r="E84" s="894">
        <v>0.2</v>
      </c>
      <c r="F84" s="881">
        <v>30</v>
      </c>
    </row>
    <row r="85" spans="1:6" s="877" customFormat="1" ht="36">
      <c r="A85" s="881">
        <v>25</v>
      </c>
      <c r="B85" s="3322"/>
      <c r="C85" s="817" t="s">
        <v>664</v>
      </c>
      <c r="D85" s="817" t="s">
        <v>665</v>
      </c>
      <c r="E85" s="894">
        <v>0.5</v>
      </c>
      <c r="F85" s="881">
        <v>80</v>
      </c>
    </row>
    <row r="86" spans="1:6" s="877" customFormat="1" ht="36">
      <c r="A86" s="881">
        <v>26</v>
      </c>
      <c r="B86" s="3322"/>
      <c r="C86" s="817" t="s">
        <v>666</v>
      </c>
      <c r="D86" s="817" t="s">
        <v>667</v>
      </c>
      <c r="E86" s="894">
        <v>0.2</v>
      </c>
      <c r="F86" s="881">
        <v>30</v>
      </c>
    </row>
    <row r="87" spans="1:6" s="877" customFormat="1" ht="36">
      <c r="A87" s="881">
        <v>27</v>
      </c>
      <c r="B87" s="3322"/>
      <c r="C87" s="817" t="s">
        <v>668</v>
      </c>
      <c r="D87" s="817" t="s">
        <v>669</v>
      </c>
      <c r="E87" s="894">
        <v>0.2</v>
      </c>
      <c r="F87" s="881">
        <v>30</v>
      </c>
    </row>
    <row r="88" spans="1:6" s="877" customFormat="1" ht="36">
      <c r="A88" s="881">
        <v>28</v>
      </c>
      <c r="B88" s="3322"/>
      <c r="C88" s="817" t="s">
        <v>670</v>
      </c>
      <c r="D88" s="817" t="s">
        <v>671</v>
      </c>
      <c r="E88" s="894">
        <v>0.2</v>
      </c>
      <c r="F88" s="881">
        <v>30</v>
      </c>
    </row>
    <row r="89" spans="1:6" s="877" customFormat="1" ht="24">
      <c r="A89" s="881">
        <v>29</v>
      </c>
      <c r="B89" s="3322"/>
      <c r="C89" s="817" t="s">
        <v>672</v>
      </c>
      <c r="D89" s="817" t="s">
        <v>673</v>
      </c>
      <c r="E89" s="894">
        <v>0.2</v>
      </c>
      <c r="F89" s="881">
        <v>30</v>
      </c>
    </row>
    <row r="90" spans="1:6" s="877" customFormat="1" ht="24">
      <c r="A90" s="881">
        <v>30</v>
      </c>
      <c r="B90" s="3322"/>
      <c r="C90" s="817" t="s">
        <v>674</v>
      </c>
      <c r="D90" s="817" t="s">
        <v>675</v>
      </c>
      <c r="E90" s="894">
        <v>0.2</v>
      </c>
      <c r="F90" s="881">
        <v>30</v>
      </c>
    </row>
    <row r="91" spans="1:6" s="877" customFormat="1" ht="36">
      <c r="A91" s="881">
        <v>31</v>
      </c>
      <c r="B91" s="3322"/>
      <c r="C91" s="817" t="s">
        <v>676</v>
      </c>
      <c r="D91" s="817" t="s">
        <v>677</v>
      </c>
      <c r="E91" s="894">
        <v>0.2</v>
      </c>
      <c r="F91" s="881">
        <v>30</v>
      </c>
    </row>
    <row r="92" spans="1:6" s="877" customFormat="1" ht="24">
      <c r="A92" s="881">
        <v>32</v>
      </c>
      <c r="B92" s="3322" t="s">
        <v>678</v>
      </c>
      <c r="C92" s="881" t="s">
        <v>679</v>
      </c>
      <c r="D92" s="817" t="s">
        <v>680</v>
      </c>
      <c r="E92" s="894">
        <v>0.2</v>
      </c>
      <c r="F92" s="881">
        <v>30</v>
      </c>
    </row>
    <row r="93" spans="1:6" s="877" customFormat="1" ht="36">
      <c r="A93" s="881">
        <v>33</v>
      </c>
      <c r="B93" s="3322"/>
      <c r="C93" s="881" t="s">
        <v>681</v>
      </c>
      <c r="D93" s="817" t="s">
        <v>682</v>
      </c>
      <c r="E93" s="894">
        <v>0.2</v>
      </c>
      <c r="F93" s="881">
        <v>30</v>
      </c>
    </row>
    <row r="94" spans="1:6" s="877" customFormat="1" ht="48">
      <c r="A94" s="881">
        <v>34</v>
      </c>
      <c r="B94" s="3322"/>
      <c r="C94" s="881" t="s">
        <v>683</v>
      </c>
      <c r="D94" s="817" t="s">
        <v>684</v>
      </c>
      <c r="E94" s="894">
        <v>0.2</v>
      </c>
      <c r="F94" s="881">
        <v>30</v>
      </c>
    </row>
    <row r="95" spans="1:6" s="877" customFormat="1" ht="36">
      <c r="A95" s="881">
        <v>35</v>
      </c>
      <c r="B95" s="3322"/>
      <c r="C95" s="881" t="s">
        <v>685</v>
      </c>
      <c r="D95" s="817" t="s">
        <v>686</v>
      </c>
      <c r="E95" s="894">
        <v>0.2</v>
      </c>
      <c r="F95" s="881">
        <v>30</v>
      </c>
    </row>
    <row r="96" spans="1:6" s="877" customFormat="1" ht="48">
      <c r="A96" s="881">
        <v>36</v>
      </c>
      <c r="B96" s="3322"/>
      <c r="C96" s="817" t="s">
        <v>687</v>
      </c>
      <c r="D96" s="817" t="s">
        <v>688</v>
      </c>
      <c r="E96" s="894">
        <v>0.2</v>
      </c>
      <c r="F96" s="881">
        <v>30</v>
      </c>
    </row>
    <row r="97" spans="1:6" s="877" customFormat="1" ht="36">
      <c r="A97" s="881">
        <v>37</v>
      </c>
      <c r="B97" s="3322"/>
      <c r="C97" s="881" t="s">
        <v>689</v>
      </c>
      <c r="D97" s="817" t="s">
        <v>690</v>
      </c>
      <c r="E97" s="894">
        <v>0.2</v>
      </c>
      <c r="F97" s="881">
        <v>30</v>
      </c>
    </row>
    <row r="98" spans="1:6" s="877" customFormat="1" ht="36">
      <c r="A98" s="881">
        <v>38</v>
      </c>
      <c r="B98" s="3322"/>
      <c r="C98" s="881" t="s">
        <v>691</v>
      </c>
      <c r="D98" s="817" t="s">
        <v>692</v>
      </c>
      <c r="E98" s="894">
        <v>0.2</v>
      </c>
      <c r="F98" s="881">
        <v>30</v>
      </c>
    </row>
    <row r="99" spans="1:6" s="877" customFormat="1" ht="36">
      <c r="A99" s="881">
        <v>39</v>
      </c>
      <c r="B99" s="3322" t="s">
        <v>693</v>
      </c>
      <c r="C99" s="881" t="s">
        <v>694</v>
      </c>
      <c r="D99" s="817" t="s">
        <v>695</v>
      </c>
      <c r="E99" s="894">
        <v>0.3</v>
      </c>
      <c r="F99" s="881">
        <v>50</v>
      </c>
    </row>
    <row r="100" spans="1:6" s="877" customFormat="1" ht="24">
      <c r="A100" s="881">
        <v>40</v>
      </c>
      <c r="B100" s="3322"/>
      <c r="C100" s="881" t="s">
        <v>696</v>
      </c>
      <c r="D100" s="817" t="s">
        <v>697</v>
      </c>
      <c r="E100" s="894">
        <v>0.2</v>
      </c>
      <c r="F100" s="881">
        <v>30</v>
      </c>
    </row>
    <row r="101" spans="1:6" s="877" customFormat="1" ht="36">
      <c r="A101" s="881">
        <v>41</v>
      </c>
      <c r="B101" s="332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2" t="s">
        <v>708</v>
      </c>
      <c r="C105" s="881" t="s">
        <v>709</v>
      </c>
      <c r="D105" s="817" t="s">
        <v>710</v>
      </c>
      <c r="E105" s="894">
        <v>0.2</v>
      </c>
      <c r="F105" s="881">
        <v>30</v>
      </c>
    </row>
    <row r="106" spans="1:6" s="877" customFormat="1" ht="36">
      <c r="A106" s="881">
        <v>46</v>
      </c>
      <c r="B106" s="3322"/>
      <c r="C106" s="881" t="s">
        <v>711</v>
      </c>
      <c r="D106" s="817" t="s">
        <v>712</v>
      </c>
      <c r="E106" s="894">
        <v>0.2</v>
      </c>
      <c r="F106" s="881">
        <v>30</v>
      </c>
    </row>
    <row r="107" spans="1:6" s="877" customFormat="1" ht="36">
      <c r="A107" s="881">
        <v>47</v>
      </c>
      <c r="B107" s="3322" t="s">
        <v>713</v>
      </c>
      <c r="C107" s="881" t="s">
        <v>714</v>
      </c>
      <c r="D107" s="817" t="s">
        <v>715</v>
      </c>
      <c r="E107" s="894">
        <v>0.3</v>
      </c>
      <c r="F107" s="881">
        <v>50</v>
      </c>
    </row>
    <row r="108" spans="1:6" s="877" customFormat="1" ht="36">
      <c r="A108" s="881">
        <v>48</v>
      </c>
      <c r="B108" s="332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2" t="s">
        <v>724</v>
      </c>
      <c r="C111" s="881" t="s">
        <v>725</v>
      </c>
      <c r="D111" s="817" t="s">
        <v>726</v>
      </c>
      <c r="E111" s="894">
        <v>0.2</v>
      </c>
      <c r="F111" s="881">
        <v>30</v>
      </c>
    </row>
    <row r="112" spans="1:6" s="877" customFormat="1" ht="24">
      <c r="A112" s="881">
        <v>52</v>
      </c>
      <c r="B112" s="3322"/>
      <c r="C112" s="881" t="s">
        <v>727</v>
      </c>
      <c r="D112" s="817" t="s">
        <v>728</v>
      </c>
      <c r="E112" s="894">
        <v>0.2</v>
      </c>
      <c r="F112" s="881">
        <v>30</v>
      </c>
    </row>
    <row r="113" spans="1:6" s="877" customFormat="1" ht="24">
      <c r="A113" s="881">
        <v>53</v>
      </c>
      <c r="B113" s="332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2" t="s">
        <v>737</v>
      </c>
      <c r="C116" s="881" t="s">
        <v>738</v>
      </c>
      <c r="D116" s="817" t="s">
        <v>739</v>
      </c>
      <c r="E116" s="894">
        <v>0.2</v>
      </c>
      <c r="F116" s="881">
        <v>30</v>
      </c>
    </row>
    <row r="117" spans="1:6" ht="36">
      <c r="A117" s="881">
        <v>57</v>
      </c>
      <c r="B117" s="332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3006</v>
      </c>
    </row>
    <row r="2" spans="1:5" ht="15.75">
      <c r="A2" s="2911" t="s">
        <v>2998</v>
      </c>
      <c r="B2" s="2912" t="e">
        <f ca="1">SUMIF(B6:B13,"&lt;&gt;#ref!",B6:B13)</f>
        <v>#DIV/0!</v>
      </c>
      <c r="C2" s="2911" t="s">
        <v>2999</v>
      </c>
      <c r="D2" s="2911" t="s">
        <v>3000</v>
      </c>
      <c r="E2" s="2912" t="e">
        <f ca="1">SUM(E6:E13)</f>
        <v>#REF!</v>
      </c>
    </row>
    <row r="3" spans="1:5" ht="15.75">
      <c r="A3" s="2911" t="s">
        <v>3001</v>
      </c>
      <c r="B3" s="2912" t="e">
        <f ca="1">ROUND(B2*10000/E2,0)</f>
        <v>#DIV/0!</v>
      </c>
      <c r="C3" s="2911" t="s">
        <v>3007</v>
      </c>
      <c r="D3" s="2913"/>
      <c r="E3" s="2913"/>
    </row>
    <row r="4" spans="1:5" ht="15.75">
      <c r="A4" s="2914"/>
      <c r="B4" s="2913"/>
      <c r="C4" s="2913"/>
      <c r="D4" s="2913"/>
      <c r="E4" s="2913"/>
    </row>
    <row r="5" spans="1:5" ht="28.5">
      <c r="A5" s="2915" t="s">
        <v>3002</v>
      </c>
      <c r="B5" s="2911" t="s">
        <v>3003</v>
      </c>
      <c r="C5" s="2912"/>
      <c r="D5" s="2913"/>
      <c r="E5" s="2911" t="s">
        <v>3004</v>
      </c>
    </row>
    <row r="6" spans="1:5" ht="15.75">
      <c r="A6" s="2916" t="s">
        <v>3005</v>
      </c>
      <c r="B6" s="2912" t="e">
        <f ca="1">SUMIF(INDIRECT("'"&amp;A6&amp;"'"&amp;"!A:A"),"总价",INDIRECT("'"&amp;A6&amp;"'"&amp;"!B:B"))</f>
        <v>#DIV/0!</v>
      </c>
      <c r="C6" s="2911" t="s">
        <v>2999</v>
      </c>
      <c r="D6" s="2913"/>
      <c r="E6" s="2576">
        <f ca="1">SUMIF(INDIRECT("'"&amp;A6&amp;"'"&amp;"!C:C"),"建筑面积",INDIRECT("'"&amp;A6&amp;"'"&amp;"!D:D"))</f>
        <v>0</v>
      </c>
    </row>
    <row r="7" spans="1:5" ht="15.75">
      <c r="A7" s="2916"/>
      <c r="B7" s="2912" t="e">
        <f ca="1">SUMIF(INDIRECT("'"&amp;A7&amp;"'"&amp;"!A:A"),"总价",INDIRECT("'"&amp;A7&amp;"'"&amp;"!B:B"))</f>
        <v>#REF!</v>
      </c>
      <c r="C7" s="2911" t="s">
        <v>2999</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2999</v>
      </c>
      <c r="D8" s="2913"/>
      <c r="E8" s="2576" t="e">
        <f t="shared" ca="1" si="0"/>
        <v>#REF!</v>
      </c>
    </row>
    <row r="9" spans="1:5" ht="15.75">
      <c r="A9" s="2916"/>
      <c r="B9" s="2912" t="e">
        <f t="shared" ca="1" si="1"/>
        <v>#REF!</v>
      </c>
      <c r="C9" s="2911" t="s">
        <v>2999</v>
      </c>
      <c r="D9" s="2913"/>
      <c r="E9" s="2576" t="e">
        <f t="shared" ca="1" si="0"/>
        <v>#REF!</v>
      </c>
    </row>
    <row r="10" spans="1:5" ht="15.75">
      <c r="A10" s="2916"/>
      <c r="B10" s="2912" t="e">
        <f t="shared" ca="1" si="1"/>
        <v>#REF!</v>
      </c>
      <c r="C10" s="2911" t="s">
        <v>2999</v>
      </c>
      <c r="D10" s="2913"/>
      <c r="E10" s="2576" t="e">
        <f t="shared" ca="1" si="0"/>
        <v>#REF!</v>
      </c>
    </row>
    <row r="11" spans="1:5" ht="15.75">
      <c r="A11" s="2916"/>
      <c r="B11" s="2912" t="e">
        <f t="shared" ca="1" si="1"/>
        <v>#REF!</v>
      </c>
      <c r="C11" s="2911" t="s">
        <v>2999</v>
      </c>
      <c r="D11" s="2913"/>
      <c r="E11" s="2576" t="e">
        <f t="shared" ca="1" si="0"/>
        <v>#REF!</v>
      </c>
    </row>
    <row r="12" spans="1:5" ht="15.75">
      <c r="A12" s="2916"/>
      <c r="B12" s="2912" t="e">
        <f t="shared" ca="1" si="1"/>
        <v>#REF!</v>
      </c>
      <c r="C12" s="2911" t="s">
        <v>2999</v>
      </c>
      <c r="D12" s="2913"/>
      <c r="E12" s="2576" t="e">
        <f t="shared" ca="1" si="0"/>
        <v>#REF!</v>
      </c>
    </row>
    <row r="13" spans="1:5" ht="15.75">
      <c r="A13" s="2916"/>
      <c r="B13" s="2912" t="e">
        <f t="shared" ca="1" si="1"/>
        <v>#REF!</v>
      </c>
      <c r="C13" s="2911" t="s">
        <v>2999</v>
      </c>
      <c r="D13" s="2913"/>
      <c r="E13" s="257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28" t="s">
        <v>1150</v>
      </c>
      <c r="C1" s="3328"/>
      <c r="D1" s="3328"/>
      <c r="E1" s="3328"/>
      <c r="F1" s="3328"/>
      <c r="G1" s="3324" t="s">
        <v>1151</v>
      </c>
      <c r="H1" s="3324"/>
      <c r="I1" s="3324"/>
      <c r="J1" s="3324"/>
      <c r="K1" s="3324"/>
      <c r="L1" s="3324"/>
      <c r="N1" s="3324" t="s">
        <v>1152</v>
      </c>
      <c r="O1" s="3324"/>
      <c r="P1" s="3324"/>
      <c r="Q1" s="3324"/>
      <c r="R1" s="1448"/>
      <c r="S1" s="3324" t="s">
        <v>1153</v>
      </c>
      <c r="T1" s="3324"/>
      <c r="U1" s="3324"/>
      <c r="V1" s="3324"/>
      <c r="X1" s="3323" t="s">
        <v>1154</v>
      </c>
      <c r="Y1" s="3324"/>
      <c r="Z1" s="3324"/>
      <c r="AA1" s="3324"/>
      <c r="AB1" s="3324"/>
      <c r="AD1" s="3323" t="s">
        <v>1155</v>
      </c>
      <c r="AE1" s="3324"/>
      <c r="AF1" s="3324"/>
      <c r="AG1" s="3324"/>
      <c r="AH1" s="3324"/>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0" customFormat="1" ht="14.25">
      <c r="A3" s="2939" t="s">
        <v>3044</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5" customFormat="1" ht="14.25">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3043</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7">
        <v>2018</v>
      </c>
      <c r="H5" s="1732">
        <v>1</v>
      </c>
      <c r="I5" s="2925">
        <v>0</v>
      </c>
      <c r="J5" s="2925">
        <v>0</v>
      </c>
      <c r="K5" s="2925">
        <v>0</v>
      </c>
      <c r="L5" s="2925">
        <v>0</v>
      </c>
      <c r="N5" s="1469">
        <f t="shared" ref="N5:N10" si="7">I5/100</f>
        <v>0</v>
      </c>
      <c r="O5" s="1469">
        <f t="shared" ref="O5" si="8">J5/100</f>
        <v>0</v>
      </c>
      <c r="P5" s="1469">
        <f t="shared" ref="P5" si="9">K5/100</f>
        <v>0</v>
      </c>
      <c r="Q5" s="1469">
        <f t="shared" ref="Q5" si="10">L5/100</f>
        <v>0</v>
      </c>
      <c r="R5" s="1734"/>
      <c r="S5" s="1735"/>
      <c r="T5" s="1734"/>
      <c r="U5" s="1734"/>
      <c r="V5" s="1734"/>
      <c r="W5" s="2929" t="s">
        <v>3045</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3040</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7">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3041</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3"/>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22"/>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23"/>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329">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326"/>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326"/>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327"/>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325">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326"/>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326"/>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327"/>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325">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326"/>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326"/>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327"/>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330">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331"/>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331"/>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332"/>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325">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326"/>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326"/>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327"/>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325">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326">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326">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327">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325">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326">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326">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327">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325">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326">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326">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327">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325">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326">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326">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327">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325">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326">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326">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327">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325">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326">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326">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327">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325">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326">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326">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327">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325">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326">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326">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327">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325">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326">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326">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327">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325">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326">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326">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327">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30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13"/>
      <c r="C2" s="3013"/>
      <c r="D2" s="3013"/>
      <c r="E2" s="3013"/>
    </row>
    <row r="3" spans="1:5" ht="18">
      <c r="A3" s="3014" t="str">
        <f>IF(项目基本情况!B9="房地产市场价值","估价结果一览表（市场价值不需“结果表-1”）","估价结果一览表")</f>
        <v>估价结果一览表（市场价值不需“结果表-1”）</v>
      </c>
      <c r="B3" s="3014"/>
      <c r="C3" s="3014"/>
      <c r="D3" s="3014"/>
      <c r="E3" s="3014"/>
    </row>
    <row r="4" spans="1:5" ht="19.5" thickBot="1">
      <c r="A4" s="1963"/>
      <c r="B4" s="3012" t="s">
        <v>1631</v>
      </c>
      <c r="C4" s="3012"/>
      <c r="D4" s="3012"/>
      <c r="E4" s="1963"/>
    </row>
    <row r="5" spans="1:5" ht="16.5" thickTop="1">
      <c r="A5" s="1961"/>
      <c r="B5" s="3010" t="s">
        <v>1623</v>
      </c>
      <c r="C5" s="1964" t="s">
        <v>1624</v>
      </c>
      <c r="D5" s="1042">
        <f ca="1">'结果表-办公'!H101</f>
        <v>827</v>
      </c>
      <c r="E5" s="1961"/>
    </row>
    <row r="6" spans="1:5" ht="15.75">
      <c r="A6" s="1961"/>
      <c r="B6" s="3010"/>
      <c r="C6" s="1964" t="s">
        <v>1625</v>
      </c>
      <c r="D6" s="1042" t="str">
        <f ca="1">NUMBERSTRING(INT(D5*10000),2)&amp;"元整"</f>
        <v>捌佰贰拾柒万元整</v>
      </c>
      <c r="E6" s="1961"/>
    </row>
    <row r="7" spans="1:5" ht="15.75">
      <c r="A7" s="1961"/>
      <c r="B7" s="3015"/>
      <c r="C7" s="1965" t="s">
        <v>1626</v>
      </c>
      <c r="D7" s="1043">
        <f ca="1">'结果表-办公'!H102</f>
        <v>2267</v>
      </c>
      <c r="E7" s="1961"/>
    </row>
    <row r="8" spans="1:5" ht="15.75">
      <c r="A8" s="1961"/>
      <c r="B8" s="3016" t="str">
        <f>'结果表-办公'!E103</f>
        <v>2.估价师知悉的法定优先受偿款</v>
      </c>
      <c r="C8" s="1966" t="s">
        <v>1627</v>
      </c>
      <c r="D8" s="1043">
        <f>'结果表-办公'!H103</f>
        <v>0</v>
      </c>
      <c r="E8" s="1961"/>
    </row>
    <row r="9" spans="1:5" ht="15.75">
      <c r="A9" s="1961"/>
      <c r="B9" s="3018"/>
      <c r="C9" s="1964" t="s">
        <v>1625</v>
      </c>
      <c r="D9" s="1042" t="str">
        <f>NUMBERSTRING(INT(D8*10000),2)&amp;"元整"</f>
        <v>零元整</v>
      </c>
      <c r="E9" s="1961"/>
    </row>
    <row r="10" spans="1:5" ht="15">
      <c r="A10" s="1961"/>
      <c r="B10" s="1967" t="s">
        <v>1630</v>
      </c>
      <c r="C10" s="1968" t="s">
        <v>1628</v>
      </c>
      <c r="D10" s="1044">
        <f>'结果表-办公'!H104</f>
        <v>0</v>
      </c>
      <c r="E10" s="1961"/>
    </row>
    <row r="11" spans="1:5" ht="15">
      <c r="A11" s="1961"/>
      <c r="B11" s="1967" t="s">
        <v>1632</v>
      </c>
      <c r="C11" s="1968" t="s">
        <v>1633</v>
      </c>
      <c r="D11" s="1044">
        <f>'结果表-办公'!H105</f>
        <v>0</v>
      </c>
      <c r="E11" s="1961"/>
    </row>
    <row r="12" spans="1:5" ht="15">
      <c r="A12" s="1961"/>
      <c r="B12" s="1967" t="s">
        <v>1634</v>
      </c>
      <c r="C12" s="1968" t="s">
        <v>1633</v>
      </c>
      <c r="D12" s="1044">
        <f>'结果表-办公'!H106</f>
        <v>0</v>
      </c>
      <c r="E12" s="1961"/>
    </row>
    <row r="13" spans="1:5" ht="15.75">
      <c r="A13" s="1961"/>
      <c r="B13" s="3009" t="str">
        <f>'结果表-办公'!E107</f>
        <v>3.房地产抵押价值</v>
      </c>
      <c r="C13" s="1969" t="s">
        <v>1624</v>
      </c>
      <c r="D13" s="1045">
        <f ca="1">'结果表-办公'!H107</f>
        <v>827</v>
      </c>
      <c r="E13" s="1961"/>
    </row>
    <row r="14" spans="1:5" ht="15.75">
      <c r="A14" s="1961"/>
      <c r="B14" s="3010"/>
      <c r="C14" s="1964" t="s">
        <v>1625</v>
      </c>
      <c r="D14" s="1042" t="str">
        <f ca="1">NUMBERSTRING(INT(D13*10000),2)&amp;"元整"</f>
        <v>捌佰贰拾柒万元整</v>
      </c>
      <c r="E14" s="1961"/>
    </row>
    <row r="15" spans="1:5" ht="15">
      <c r="A15" s="1961"/>
      <c r="B15" s="3015"/>
      <c r="C15" s="1965" t="s">
        <v>1635</v>
      </c>
      <c r="D15" s="1054">
        <f ca="1">'结果表-办公'!H108</f>
        <v>2267</v>
      </c>
      <c r="E15" s="1961"/>
    </row>
    <row r="16" spans="1:5" ht="15">
      <c r="A16" s="1961"/>
      <c r="B16" s="3016" t="str">
        <f>'结果表-办公'!E109</f>
        <v>——</v>
      </c>
      <c r="C16" s="1969" t="s">
        <v>1636</v>
      </c>
      <c r="D16" s="1970" t="str">
        <f>'结果表-办公'!H109</f>
        <v>——</v>
      </c>
      <c r="E16" s="1961"/>
    </row>
    <row r="17" spans="1:5" ht="15.75">
      <c r="A17" s="1961"/>
      <c r="B17" s="3017"/>
      <c r="C17" s="1964" t="s">
        <v>1637</v>
      </c>
      <c r="D17" s="1042" t="e">
        <f>NUMBERSTRING(INT(D16*10000),2)&amp;"元整"</f>
        <v>#VALUE!</v>
      </c>
      <c r="E17" s="1961"/>
    </row>
    <row r="18" spans="1:5" ht="15">
      <c r="A18" s="1961"/>
      <c r="B18" s="3018"/>
      <c r="C18" s="1965" t="s">
        <v>1626</v>
      </c>
      <c r="D18" s="1054" t="str">
        <f>'结果表-办公'!H110</f>
        <v>——</v>
      </c>
      <c r="E18" s="1961"/>
    </row>
    <row r="19" spans="1:5" ht="15.75">
      <c r="A19" s="1961"/>
      <c r="B19" s="3009" t="str">
        <f>'结果表-办公'!E111</f>
        <v>——</v>
      </c>
      <c r="C19" s="1969" t="s">
        <v>1624</v>
      </c>
      <c r="D19" s="1043" t="str">
        <f>'结果表-办公'!H111</f>
        <v>——</v>
      </c>
      <c r="E19" s="1961"/>
    </row>
    <row r="20" spans="1:5" ht="15.75">
      <c r="A20" s="1961"/>
      <c r="B20" s="3010"/>
      <c r="C20" s="1964" t="s">
        <v>1637</v>
      </c>
      <c r="D20" s="1042" t="e">
        <f>NUMBERSTRING(INT(D19*10000),2)&amp;"元整"</f>
        <v>#VALUE!</v>
      </c>
      <c r="E20" s="1961"/>
    </row>
    <row r="21" spans="1:5" ht="15.75" thickBot="1">
      <c r="A21" s="1961"/>
      <c r="B21" s="3011"/>
      <c r="C21" s="1971" t="s">
        <v>1635</v>
      </c>
      <c r="D21" s="1055" t="str">
        <f>'结果表-办公'!H112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30485</v>
      </c>
      <c r="C2" s="2" t="s">
        <v>133</v>
      </c>
      <c r="D2" s="243"/>
      <c r="E2" s="243"/>
      <c r="F2" s="243"/>
      <c r="G2" s="243"/>
    </row>
    <row r="3" spans="1:7" s="244" customFormat="1" ht="18" customHeight="1" thickBot="1">
      <c r="A3" s="247" t="s">
        <v>85</v>
      </c>
      <c r="B3" s="248">
        <f ca="1">ROUND(B2*10000/'数据-汇总表'!E3,0)</f>
        <v>83582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200</v>
      </c>
      <c r="F9" s="265"/>
      <c r="G9" s="270"/>
    </row>
    <row r="10" spans="1:7" s="258" customFormat="1" ht="13.5" customHeight="1">
      <c r="A10" s="952" t="s">
        <v>801</v>
      </c>
      <c r="B10" s="268" t="s">
        <v>94</v>
      </c>
      <c r="C10" s="269">
        <f>ROUND(D10*E10/10000,0)</f>
        <v>44</v>
      </c>
      <c r="D10" s="1034">
        <f>'数据-汇总表'!E6</f>
        <v>3647.3</v>
      </c>
      <c r="E10" s="269">
        <f>'数据-取费表'!B28</f>
        <v>120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73</v>
      </c>
      <c r="D19" s="1038">
        <f>'数据-汇总表'!E3</f>
        <v>3647.3</v>
      </c>
      <c r="E19" s="255">
        <f>'数据-取费表'!B31</f>
        <v>200</v>
      </c>
      <c r="F19" s="275"/>
      <c r="G19" s="1" t="s">
        <v>1074</v>
      </c>
    </row>
    <row r="20" spans="1:7" s="258" customFormat="1" ht="13.5" customHeight="1">
      <c r="A20" s="950" t="s">
        <v>1057</v>
      </c>
      <c r="B20" s="254" t="s">
        <v>104</v>
      </c>
      <c r="C20" s="276">
        <f>ROUND((C5+C19)*F20,0)</f>
        <v>414</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1506</v>
      </c>
      <c r="D22" s="279">
        <f ca="1">C26</f>
        <v>6.9999999999999999E-4</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1486</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5</v>
      </c>
      <c r="D24" s="282"/>
      <c r="E24" s="282"/>
      <c r="F24" s="283"/>
      <c r="G24" s="284" t="s">
        <v>109</v>
      </c>
    </row>
    <row r="25" spans="1:7" s="258" customFormat="1" ht="24">
      <c r="A25" s="953" t="s">
        <v>793</v>
      </c>
      <c r="B25" s="259" t="s">
        <v>1058</v>
      </c>
      <c r="C25" s="1357">
        <f ca="1">ROUND(IF('数据-取费表'!B22&lt;=1,C20*F22*'数据-取费表'!B23/2,C20*(POWER((1+F22),'数据-取费表'!B23/2)-1)),0)</f>
        <v>15</v>
      </c>
      <c r="D25" s="282"/>
      <c r="E25" s="285"/>
      <c r="F25" s="283"/>
      <c r="G25" s="286" t="s">
        <v>110</v>
      </c>
    </row>
    <row r="26" spans="1:7" s="258" customFormat="1">
      <c r="A26" s="953" t="s">
        <v>795</v>
      </c>
      <c r="B26" s="259" t="s">
        <v>1060</v>
      </c>
      <c r="C26" s="282">
        <f ca="1">ROUND(IF('数据-取费表'!B22&lt;=1,F21*F22*'数据-取费表'!B23/2,F21*(POWER((1+F22),'数据-取费表'!B23/2)-1)),4)</f>
        <v>6.9999999999999999E-4</v>
      </c>
      <c r="D26" s="282"/>
      <c r="E26" s="285"/>
      <c r="F26" s="283"/>
      <c r="G26" s="287"/>
    </row>
    <row r="27" spans="1:7" s="258" customFormat="1" ht="24.75">
      <c r="A27" s="950" t="s">
        <v>787</v>
      </c>
      <c r="B27" s="288" t="s">
        <v>112</v>
      </c>
      <c r="C27" s="289">
        <f>C28</f>
        <v>4219</v>
      </c>
      <c r="D27" s="279">
        <f>C29</f>
        <v>4.0000000000000001E-3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4219</v>
      </c>
      <c r="D28" s="279"/>
      <c r="E28" s="280"/>
      <c r="F28" s="290"/>
      <c r="G28" s="291"/>
    </row>
    <row r="29" spans="1:7" s="258" customFormat="1" ht="13.5" customHeight="1">
      <c r="A29" s="953" t="s">
        <v>792</v>
      </c>
      <c r="B29" s="292" t="s">
        <v>1063</v>
      </c>
      <c r="C29" s="282">
        <f>ROUND(C21*F27*'数据-取费表'!B21/'数据-取费表'!B20,4)</f>
        <v>4.0000000000000001E-3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29092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1199</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1078</v>
      </c>
      <c r="D34" s="261"/>
      <c r="E34" s="264"/>
      <c r="F34" s="301">
        <f>IF('数据-取费表'!B24=0,1,'数据-取费表'!N16)</f>
        <v>1</v>
      </c>
      <c r="G34" s="263" t="s">
        <v>116</v>
      </c>
    </row>
    <row r="35" spans="1:7" ht="13.5" customHeight="1">
      <c r="A35" s="953" t="s">
        <v>796</v>
      </c>
      <c r="B35" s="259" t="s">
        <v>60</v>
      </c>
      <c r="C35" s="264">
        <f>ROUND(C34*F35,0)</f>
        <v>32</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73</v>
      </c>
      <c r="D37" s="261">
        <f>'数据-汇总表'!E3</f>
        <v>3647.3</v>
      </c>
      <c r="E37" s="293">
        <f>'数据-取费表'!B35</f>
        <v>200</v>
      </c>
      <c r="F37" s="303"/>
      <c r="G37" s="305" t="s">
        <v>119</v>
      </c>
    </row>
    <row r="38" spans="1:7" ht="13.5" customHeight="1">
      <c r="A38" s="953" t="s">
        <v>799</v>
      </c>
      <c r="B38" s="259" t="s">
        <v>63</v>
      </c>
      <c r="C38" s="264">
        <f>ROUND(C34*F38,0)</f>
        <v>16</v>
      </c>
      <c r="D38" s="264"/>
      <c r="E38" s="264"/>
      <c r="F38" s="303">
        <f>'数据-取费表'!B36</f>
        <v>1.52E-2</v>
      </c>
      <c r="G38" s="263" t="s">
        <v>117</v>
      </c>
    </row>
    <row r="39" spans="1:7" s="258" customFormat="1" ht="13.5" customHeight="1">
      <c r="A39" s="950" t="s">
        <v>783</v>
      </c>
      <c r="B39" s="254" t="s">
        <v>104</v>
      </c>
      <c r="C39" s="276">
        <f>ROUND(C33*F20,0)</f>
        <v>24</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43</v>
      </c>
      <c r="D41" s="279">
        <f ca="1">C44</f>
        <v>6.9999999999999999E-4</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42</v>
      </c>
      <c r="D42" s="282"/>
      <c r="E42" s="282"/>
      <c r="F42" s="283"/>
      <c r="G42" s="3198" t="s">
        <v>121</v>
      </c>
    </row>
    <row r="43" spans="1:7" ht="13.5" customHeight="1">
      <c r="A43" s="953" t="s">
        <v>792</v>
      </c>
      <c r="B43" s="259" t="s">
        <v>1064</v>
      </c>
      <c r="C43" s="282">
        <f ca="1">ROUND(IF('数据-取费表'!B22&lt;=1,C39*F22*'数据-取费表'!B21/2,C39*(POWER((1+F22),'数据-取费表'!B21/2)-1)),0)</f>
        <v>1</v>
      </c>
      <c r="D43" s="282"/>
      <c r="E43" s="282"/>
      <c r="F43" s="283"/>
      <c r="G43" s="3199"/>
    </row>
    <row r="44" spans="1:7" ht="13.5" customHeight="1">
      <c r="A44" s="953" t="s">
        <v>793</v>
      </c>
      <c r="B44" s="259" t="s">
        <v>1066</v>
      </c>
      <c r="C44" s="282">
        <f ca="1">ROUND(IF('数据-取费表'!B22&lt;=1,C40*F22*'数据-取费表'!B21/2,C40*(POWER((1+F22),'数据-取费表'!B21/2)-1)),4)</f>
        <v>6.9999999999999999E-4</v>
      </c>
      <c r="D44" s="282"/>
      <c r="E44" s="282"/>
      <c r="F44" s="283"/>
      <c r="G44" s="3200"/>
    </row>
    <row r="45" spans="1:7" s="258" customFormat="1" ht="13.5" customHeight="1">
      <c r="A45" s="950" t="s">
        <v>786</v>
      </c>
      <c r="B45" s="288" t="s">
        <v>112</v>
      </c>
      <c r="C45" s="289">
        <f>C46</f>
        <v>245</v>
      </c>
      <c r="D45" s="279">
        <f>C47</f>
        <v>4.0000000000000001E-3</v>
      </c>
      <c r="E45" s="280" t="s">
        <v>129</v>
      </c>
      <c r="F45" s="290"/>
      <c r="G45" s="291" t="s">
        <v>1072</v>
      </c>
    </row>
    <row r="46" spans="1:7" s="258" customFormat="1" ht="13.5" customHeight="1">
      <c r="A46" s="953" t="s">
        <v>794</v>
      </c>
      <c r="B46" s="292" t="s">
        <v>1065</v>
      </c>
      <c r="C46" s="293">
        <f>ROUND((C33+C39)*F27,0)</f>
        <v>245</v>
      </c>
      <c r="D46" s="307"/>
      <c r="E46" s="280"/>
      <c r="F46" s="290"/>
      <c r="G46" s="291"/>
    </row>
    <row r="47" spans="1:7" s="258" customFormat="1" ht="13.5" customHeight="1">
      <c r="A47" s="953" t="s">
        <v>792</v>
      </c>
      <c r="B47" s="292" t="s">
        <v>1067</v>
      </c>
      <c r="C47" s="282">
        <f>ROUND(C40*F27,4)</f>
        <v>4.0000000000000001E-3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1639</v>
      </c>
      <c r="D49" s="276"/>
      <c r="E49" s="276"/>
      <c r="F49" s="308"/>
      <c r="G49" s="278" t="s">
        <v>1073</v>
      </c>
    </row>
    <row r="50" spans="1:7" s="302" customFormat="1" ht="24">
      <c r="A50" s="950" t="s">
        <v>789</v>
      </c>
      <c r="B50" s="254" t="s">
        <v>124</v>
      </c>
      <c r="C50" s="276"/>
      <c r="D50" s="276"/>
      <c r="E50" s="276"/>
      <c r="F50" s="308">
        <f>IF('数据-取费表'!B24=0,'数据-取费表'!N16,1)</f>
        <v>0.85</v>
      </c>
      <c r="G50" s="291" t="s">
        <v>125</v>
      </c>
    </row>
    <row r="51" spans="1:7" ht="16.5" customHeight="1">
      <c r="A51" s="950" t="s">
        <v>790</v>
      </c>
      <c r="B51" s="254" t="s">
        <v>132</v>
      </c>
      <c r="C51" s="276">
        <f ca="1">ROUND(C49*F50,0)</f>
        <v>1393</v>
      </c>
      <c r="D51" s="276"/>
      <c r="E51" s="276"/>
      <c r="F51" s="308"/>
      <c r="G51" s="278" t="s">
        <v>64</v>
      </c>
    </row>
    <row r="52" spans="1:7" s="252" customFormat="1" ht="16.5" thickBot="1">
      <c r="A52" s="309" t="s">
        <v>65</v>
      </c>
      <c r="B52" s="310"/>
      <c r="C52" s="311">
        <f ca="1">C31+C51</f>
        <v>30485</v>
      </c>
      <c r="D52" s="310"/>
      <c r="E52" s="310"/>
      <c r="F52" s="310"/>
      <c r="G52" s="312"/>
    </row>
    <row r="55" spans="1:7" ht="15">
      <c r="B55" s="314" t="s">
        <v>66</v>
      </c>
      <c r="C55" s="315"/>
    </row>
    <row r="56" spans="1:7">
      <c r="B56" s="317" t="s">
        <v>67</v>
      </c>
      <c r="C56" s="318">
        <f ca="1">ROUND(C51/C52,3)</f>
        <v>4.5999999999999999E-2</v>
      </c>
    </row>
    <row r="57" spans="1:7">
      <c r="B57" s="317" t="s">
        <v>68</v>
      </c>
      <c r="C57" s="319">
        <f ca="1">1-C56</f>
        <v>0.95399999999999996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33" t="s">
        <v>156</v>
      </c>
      <c r="B1" s="3333"/>
      <c r="C1" s="3333"/>
      <c r="D1" s="3333"/>
      <c r="E1" s="3333"/>
      <c r="F1" s="333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4" t="s">
        <v>169</v>
      </c>
      <c r="B2" s="3334"/>
      <c r="C2" s="3334"/>
      <c r="D2" s="3334"/>
      <c r="E2" s="3334"/>
      <c r="F2" s="333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3" t="s">
        <v>871</v>
      </c>
      <c r="B1" s="3333"/>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43100</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3124</v>
      </c>
      <c r="D1" s="1822" t="s">
        <v>70</v>
      </c>
      <c r="E1" s="1823" t="s">
        <v>1387</v>
      </c>
      <c r="F1" s="1285">
        <f ca="1">J53</f>
        <v>28.61</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7388</v>
      </c>
      <c r="C2" s="1847" t="s">
        <v>1517</v>
      </c>
      <c r="D2" s="1847"/>
      <c r="E2" s="1848"/>
      <c r="F2" s="1849"/>
      <c r="G2" s="1850"/>
      <c r="H2" s="1842"/>
      <c r="I2" s="1842"/>
      <c r="J2" s="1842"/>
      <c r="K2" s="1843"/>
      <c r="L2" s="1842"/>
      <c r="M2" s="1842"/>
    </row>
    <row r="3" spans="1:37" ht="18" customHeight="1" thickBot="1">
      <c r="A3" s="1851" t="s">
        <v>1518</v>
      </c>
      <c r="B3" s="1852">
        <f ca="1">IF(ISERROR(B2*10000/F43),0,ROUND(B2*10000/F43,0))</f>
        <v>24204</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493</v>
      </c>
      <c r="D5" s="1824" t="s">
        <v>1402</v>
      </c>
      <c r="E5" s="1295"/>
      <c r="F5" s="1296"/>
      <c r="G5" s="1853"/>
      <c r="H5" s="344">
        <v>1</v>
      </c>
      <c r="I5" s="345" t="s">
        <v>1401</v>
      </c>
      <c r="J5" s="1294">
        <f ca="1">J6+J10+J12</f>
        <v>0</v>
      </c>
      <c r="K5" s="1824" t="s">
        <v>1402</v>
      </c>
      <c r="L5" s="1295"/>
      <c r="M5" s="1296"/>
    </row>
    <row r="6" spans="1:37" ht="18" customHeight="1">
      <c r="A6" s="1293" t="s">
        <v>1035</v>
      </c>
      <c r="B6" s="3257" t="s">
        <v>1403</v>
      </c>
      <c r="C6" s="1298">
        <f ca="1">ROUND(F6*F8*F7*(1-F9)/10000,0)</f>
        <v>492</v>
      </c>
      <c r="D6" s="164" t="s">
        <v>3036</v>
      </c>
      <c r="E6" s="347" t="s">
        <v>1405</v>
      </c>
      <c r="F6" s="348">
        <f ca="1">INDIRECT("'数据-取费表'!u"&amp;$G$1)</f>
        <v>5.2</v>
      </c>
      <c r="G6" s="1853"/>
      <c r="H6" s="1293" t="s">
        <v>1035</v>
      </c>
      <c r="I6" s="3257" t="s">
        <v>1403</v>
      </c>
      <c r="J6" s="346">
        <f ca="1">ROUND(M6*M8*M7*(1-M9)/10000,0)</f>
        <v>0</v>
      </c>
      <c r="K6" s="164" t="s">
        <v>3035</v>
      </c>
      <c r="L6" s="347" t="s">
        <v>1405</v>
      </c>
      <c r="M6" s="348">
        <f ca="1">INDIRECT("'数据-取费表'!z"&amp;$G$1)</f>
        <v>0</v>
      </c>
    </row>
    <row r="7" spans="1:37" ht="18" customHeight="1">
      <c r="A7" s="1297"/>
      <c r="B7" s="3258"/>
      <c r="C7" s="1299"/>
      <c r="D7" s="352"/>
      <c r="E7" s="2962" t="s">
        <v>1406</v>
      </c>
      <c r="F7" s="348">
        <f ca="1">IF(INDIRECT("'数据-取费表'!ah"&amp;$G$1)="",INDIRECT("'数据-取费表'!k"&amp;$G$1),INDIRECT("'数据-取费表'!ah"&amp;$G$1))</f>
        <v>3052.4</v>
      </c>
      <c r="G7" s="1853"/>
      <c r="H7" s="349"/>
      <c r="I7" s="3258"/>
      <c r="J7" s="351"/>
      <c r="K7" s="352"/>
      <c r="L7" s="347" t="s">
        <v>1406</v>
      </c>
      <c r="M7" s="348">
        <f ca="1">F7</f>
        <v>3052.4</v>
      </c>
    </row>
    <row r="8" spans="1:37" ht="18" customHeight="1">
      <c r="A8" s="349"/>
      <c r="B8" s="3258"/>
      <c r="C8" s="351"/>
      <c r="D8" s="352"/>
      <c r="E8" s="347" t="s">
        <v>1407</v>
      </c>
      <c r="F8" s="348">
        <f ca="1">INDIRECT("'数据-取费表'!ai"&amp;$G$1)</f>
        <v>365</v>
      </c>
      <c r="G8" s="1853"/>
      <c r="H8" s="349"/>
      <c r="I8" s="3258"/>
      <c r="J8" s="351"/>
      <c r="K8" s="352"/>
      <c r="L8" s="347" t="s">
        <v>1407</v>
      </c>
      <c r="M8" s="348">
        <f ca="1">INDIRECT("'数据-取费表'!ai"&amp;$G$1)</f>
        <v>365</v>
      </c>
    </row>
    <row r="9" spans="1:37" ht="18" customHeight="1">
      <c r="A9" s="349"/>
      <c r="B9" s="3259"/>
      <c r="C9" s="351"/>
      <c r="D9" s="352"/>
      <c r="E9" s="347" t="s">
        <v>1408</v>
      </c>
      <c r="F9" s="357">
        <f ca="1">INDIRECT("'数据-取费表'!w"&amp;$G$1)</f>
        <v>0.15</v>
      </c>
      <c r="G9" s="1853"/>
      <c r="H9" s="349"/>
      <c r="I9" s="3259"/>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1</v>
      </c>
      <c r="D10" s="1826" t="s">
        <v>3032</v>
      </c>
      <c r="E10" s="358" t="s">
        <v>1411</v>
      </c>
      <c r="F10" s="1368" t="s">
        <v>3126</v>
      </c>
      <c r="G10" s="1853"/>
      <c r="H10" s="1293" t="s">
        <v>1039</v>
      </c>
      <c r="I10" s="1825" t="s">
        <v>1409</v>
      </c>
      <c r="J10" s="346">
        <f ca="1">ROUND(IF(M10="押一",M6*M8*M7/12*M11,IF(M10="押二",M6*M8*M7/12*2*M11,IF(M10="押三",M6*M8*M7/12*3*M11,J11*M11)))/10000,0)</f>
        <v>0</v>
      </c>
      <c r="K10" s="1826" t="s">
        <v>3032</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1183</v>
      </c>
      <c r="D13" s="1333" t="s">
        <v>1416</v>
      </c>
      <c r="E13" s="1333" t="s">
        <v>1417</v>
      </c>
      <c r="F13" s="1334">
        <f ca="1">INDIRECT("'数据-取费表'!y"&amp;$G$1)</f>
        <v>0.85</v>
      </c>
      <c r="G13" s="1853"/>
      <c r="H13" s="1331">
        <v>2</v>
      </c>
      <c r="I13" s="1332" t="s">
        <v>1415</v>
      </c>
      <c r="J13" s="1292">
        <f ca="1">ROUND(J14*J15,0)</f>
        <v>0</v>
      </c>
      <c r="K13" s="1339" t="s">
        <v>1416</v>
      </c>
      <c r="L13" s="1854"/>
      <c r="M13" s="1855"/>
    </row>
    <row r="14" spans="1:37" ht="18" customHeight="1">
      <c r="A14" s="1203" t="s">
        <v>1034</v>
      </c>
      <c r="B14" s="347" t="s">
        <v>1418</v>
      </c>
      <c r="C14" s="363">
        <f ca="1">INDIRECT("'数据-取费表'!m"&amp;$G$1)+INDIRECT("'数据-取费表'!t"&amp;$G$1)</f>
        <v>916</v>
      </c>
      <c r="D14" s="2948" t="s">
        <v>1419</v>
      </c>
      <c r="E14" s="2943"/>
      <c r="F14" s="364"/>
      <c r="G14" s="1853"/>
      <c r="H14" s="1203" t="s">
        <v>1035</v>
      </c>
      <c r="I14" s="347" t="s">
        <v>1420</v>
      </c>
      <c r="J14" s="24">
        <f ca="1">C29</f>
        <v>1392</v>
      </c>
      <c r="K14" s="2961"/>
      <c r="L14" s="981"/>
      <c r="M14" s="982"/>
    </row>
    <row r="15" spans="1:37" s="1860" customFormat="1" ht="18" customHeight="1" thickBot="1">
      <c r="A15" s="1203" t="s">
        <v>1036</v>
      </c>
      <c r="B15" s="347" t="s">
        <v>1421</v>
      </c>
      <c r="C15" s="24">
        <f ca="1">ROUND(C14*F15,0)</f>
        <v>27</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40</v>
      </c>
      <c r="K16" s="1339" t="s">
        <v>1426</v>
      </c>
      <c r="L16" s="2951"/>
      <c r="M16" s="1296"/>
    </row>
    <row r="17" spans="1:37" s="1860" customFormat="1" ht="18" customHeight="1">
      <c r="A17" s="1203" t="s">
        <v>1390</v>
      </c>
      <c r="B17" s="347" t="s">
        <v>1427</v>
      </c>
      <c r="C17" s="24">
        <f ca="1">ROUND(F17*(F43+INDIRECT("'数据-取费表'!S"&amp;$G$1))/10000,0)</f>
        <v>61</v>
      </c>
      <c r="D17" s="347" t="s">
        <v>1428</v>
      </c>
      <c r="E17" s="347" t="s">
        <v>1429</v>
      </c>
      <c r="F17" s="26">
        <f>'数据-取费表'!B35</f>
        <v>200</v>
      </c>
      <c r="G17" s="1856"/>
      <c r="H17" s="1203" t="s">
        <v>1035</v>
      </c>
      <c r="I17" s="347" t="s">
        <v>1430</v>
      </c>
      <c r="J17" s="24">
        <f ca="1">ROUND(IF(项目基本情况!B11="自然人",J5*M17,J18+J19+J20),1)</f>
        <v>12</v>
      </c>
      <c r="K17" s="2948" t="s">
        <v>1431</v>
      </c>
      <c r="L17" s="2946"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14</v>
      </c>
      <c r="D18" s="347" t="s">
        <v>1422</v>
      </c>
      <c r="E18" s="347" t="s">
        <v>1423</v>
      </c>
      <c r="F18" s="367">
        <f>'数据-取费表'!B36</f>
        <v>1.52E-2</v>
      </c>
      <c r="G18" s="1856"/>
      <c r="H18" s="1203" t="s">
        <v>1034</v>
      </c>
      <c r="I18" s="347" t="s">
        <v>1434</v>
      </c>
      <c r="J18" s="24">
        <f ca="1">ROUND(J5*M18/(1+'数据-取费表'!C42),2)</f>
        <v>0</v>
      </c>
      <c r="K18" s="2946"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1018</v>
      </c>
      <c r="D19" s="140" t="s">
        <v>1437</v>
      </c>
      <c r="E19" s="2959"/>
      <c r="F19" s="26"/>
      <c r="G19" s="1853"/>
      <c r="H19" s="1203" t="s">
        <v>1036</v>
      </c>
      <c r="I19" s="347" t="s">
        <v>1438</v>
      </c>
      <c r="J19" s="24">
        <f ca="1">IF(K19="按租金收入计税",ROUND(J5*M19,2),ROUND(C29*M19*0.7,2))</f>
        <v>11.69</v>
      </c>
      <c r="K19" s="1830" t="s">
        <v>1439</v>
      </c>
      <c r="L19" s="347" t="s">
        <v>1423</v>
      </c>
      <c r="M19" s="367">
        <f>IF(K19="按租金收入计税",'数据-取费表'!B51,'数据-取费表'!B50)</f>
        <v>1.2E-2</v>
      </c>
    </row>
    <row r="20" spans="1:37" s="1860" customFormat="1" ht="18" customHeight="1">
      <c r="A20" s="1203" t="s">
        <v>1039</v>
      </c>
      <c r="B20" s="347" t="s">
        <v>1440</v>
      </c>
      <c r="C20" s="24">
        <f ca="1">ROUND(C19*F20,0)</f>
        <v>20</v>
      </c>
      <c r="D20" s="369" t="s">
        <v>1441</v>
      </c>
      <c r="E20" s="347" t="s">
        <v>1423</v>
      </c>
      <c r="F20" s="367">
        <f>'数据-取费表'!B37</f>
        <v>0.02</v>
      </c>
      <c r="G20" s="1856"/>
      <c r="H20" s="1203" t="s">
        <v>1389</v>
      </c>
      <c r="I20" s="164" t="s">
        <v>1442</v>
      </c>
      <c r="J20" s="25">
        <f ca="1">ROUND(M20*M21/10000,2)</f>
        <v>0.26</v>
      </c>
      <c r="K20" s="370" t="s">
        <v>1443</v>
      </c>
      <c r="L20" s="347" t="s">
        <v>1444</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872.39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59"/>
      <c r="F22" s="26"/>
      <c r="G22" s="1853"/>
      <c r="H22" s="1203" t="s">
        <v>1039</v>
      </c>
      <c r="I22" s="347" t="s">
        <v>1450</v>
      </c>
      <c r="J22" s="24">
        <f ca="1">ROUND(J14*M22,1)</f>
        <v>27.8</v>
      </c>
      <c r="K22" s="2946" t="s">
        <v>1451</v>
      </c>
      <c r="L22" s="347" t="s">
        <v>1423</v>
      </c>
      <c r="M22" s="374">
        <f ca="1">INDIRECT("'数据-取费表'!Ak"&amp;$G$1)</f>
        <v>0.02</v>
      </c>
    </row>
    <row r="23" spans="1:37" s="1860" customFormat="1" ht="18" customHeight="1">
      <c r="A23" s="1203" t="s">
        <v>1034</v>
      </c>
      <c r="B23" s="347" t="s">
        <v>1452</v>
      </c>
      <c r="C23" s="24">
        <f ca="1">IF('数据-取费表'!B22&lt;=1,ROUND(C19*F24*F23/2,0)+ROUND(C20*F24*F23/2,0),ROUND(C19*(POWER((1+F24),F23/2)-1),0)+ROUND(C20*(POWER((1+F24),F23/2)-1),0))</f>
        <v>37</v>
      </c>
      <c r="D23" s="375" t="str">
        <f>IF(F23&lt;=1,"(建造成本+管理费用)×利率×(建设周期÷2)","(建造成本+管理费用)×((1+利率)^(建设周期÷2)-1)")</f>
        <v>(建造成本+管理费用)×((1+利率)^(建设周期÷2)-1)</v>
      </c>
      <c r="E23" s="347" t="s">
        <v>1453</v>
      </c>
      <c r="F23" s="371">
        <f>'数据-取费表'!B20</f>
        <v>1.5</v>
      </c>
      <c r="G23" s="1856"/>
      <c r="H23" s="1203" t="s">
        <v>1075</v>
      </c>
      <c r="I23" s="347" t="s">
        <v>1454</v>
      </c>
      <c r="J23" s="24">
        <f ca="1">ROUND(J13*M23,1)</f>
        <v>0</v>
      </c>
      <c r="K23" s="2946" t="s">
        <v>1455</v>
      </c>
      <c r="L23" s="347" t="s">
        <v>1423</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1458</v>
      </c>
      <c r="C24" s="24">
        <f ca="1">ROUND(IF('数据-取费表'!B22&lt;=1,F21*F24*F23/2,F21*(POWER((1+F24),F23/2)-1)),4)</f>
        <v>6.9999999999999999E-4</v>
      </c>
      <c r="D24" s="375" t="str">
        <f>IF(F23&lt;=1,"销售费用×利率×(建设周期÷2)","销售费用×((1+利率)^(建设周期÷2)-1)")</f>
        <v>销售费用×((1+利率)^(建设周期÷2)-1)</v>
      </c>
      <c r="E24" s="347" t="s">
        <v>1459</v>
      </c>
      <c r="F24" s="377">
        <f ca="1">'数据-取费表'!B40</f>
        <v>4.7500000000000001E-2</v>
      </c>
      <c r="G24" s="1856"/>
      <c r="H24" s="1341" t="s">
        <v>1392</v>
      </c>
      <c r="I24" s="1342" t="s">
        <v>1440</v>
      </c>
      <c r="J24" s="1343">
        <f ca="1">ROUND(J5*M24,1)</f>
        <v>0</v>
      </c>
      <c r="K24" s="1344" t="s">
        <v>1460</v>
      </c>
      <c r="L24" s="1342" t="s">
        <v>1423</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2959"/>
      <c r="F25" s="26"/>
      <c r="G25" s="1853"/>
      <c r="H25" s="1331" t="s">
        <v>1031</v>
      </c>
      <c r="I25" s="1346" t="s">
        <v>1464</v>
      </c>
      <c r="J25" s="355">
        <f ca="1">J5-J16</f>
        <v>-40</v>
      </c>
      <c r="K25" s="1347" t="s">
        <v>1465</v>
      </c>
      <c r="L25" s="1348"/>
      <c r="M25" s="1349"/>
    </row>
    <row r="26" spans="1:37">
      <c r="A26" s="1203" t="s">
        <v>1034</v>
      </c>
      <c r="B26" s="347" t="s">
        <v>1466</v>
      </c>
      <c r="C26" s="24">
        <f ca="1">ROUND((C19+C20)*F26,0)</f>
        <v>208</v>
      </c>
      <c r="D26" s="369" t="s">
        <v>1467</v>
      </c>
      <c r="E26" s="358" t="s">
        <v>1468</v>
      </c>
      <c r="F26" s="357">
        <f ca="1">INDIRECT("'数据-取费表'!q"&amp;$G$1)</f>
        <v>0.2</v>
      </c>
      <c r="G26" s="1853"/>
      <c r="H26" s="344" t="s">
        <v>1032</v>
      </c>
      <c r="I26" s="345" t="s">
        <v>1469</v>
      </c>
      <c r="J26" s="346">
        <f ca="1">IF(J5&lt;&gt;0,ROUND(J25*(1-((1+M28)/(1+M26))^M27)/(M26-M28),0),0)</f>
        <v>0</v>
      </c>
      <c r="K26" s="370" t="s">
        <v>1470</v>
      </c>
      <c r="L26" s="347" t="s">
        <v>1471</v>
      </c>
      <c r="M26" s="357">
        <f ca="1">INDIRECT("'数据-取费表'!I"&amp;$G$1)</f>
        <v>5.5E-2</v>
      </c>
    </row>
    <row r="27" spans="1:37" ht="18" customHeight="1">
      <c r="A27" s="1203" t="s">
        <v>1036</v>
      </c>
      <c r="B27" s="347" t="s">
        <v>1472</v>
      </c>
      <c r="C27" s="24">
        <f ca="1">ROUND(F21*F26,4)</f>
        <v>4.0000000000000001E-3</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1392</v>
      </c>
      <c r="D29" s="1344"/>
      <c r="E29" s="1342"/>
      <c r="F29" s="1345"/>
      <c r="G29" s="1856"/>
      <c r="H29" s="380" t="s">
        <v>1033</v>
      </c>
      <c r="I29" s="381" t="s">
        <v>1480</v>
      </c>
      <c r="J29" s="382">
        <f ca="1">ROUND(J26/(1+F40)^F41,0)</f>
        <v>0</v>
      </c>
      <c r="K29" s="383" t="s">
        <v>1481</v>
      </c>
      <c r="L29" s="384"/>
      <c r="M29" s="385">
        <f ca="1">INDIRECT("'数据-取费表'!k"&amp;$G$1)</f>
        <v>3052.4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78</v>
      </c>
      <c r="D30" s="1339" t="s">
        <v>1426</v>
      </c>
      <c r="E30" s="2951"/>
      <c r="F30" s="1296"/>
      <c r="G30" s="1853"/>
      <c r="H30" s="745"/>
      <c r="I30" s="746"/>
      <c r="J30" s="747"/>
      <c r="K30" s="748"/>
      <c r="L30" s="749"/>
      <c r="M30" s="750"/>
    </row>
    <row r="31" spans="1:37" ht="18" customHeight="1">
      <c r="A31" s="1203" t="s">
        <v>1035</v>
      </c>
      <c r="B31" s="347" t="s">
        <v>1430</v>
      </c>
      <c r="C31" s="24">
        <f ca="1">ROUND(IF(项目基本情况!B11="自然人",C5*F31,C32+C33+C34),1)</f>
        <v>38.200000000000003</v>
      </c>
      <c r="D31" s="2948" t="s">
        <v>1431</v>
      </c>
      <c r="E31" s="2946"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IF(项目基本情况!B11="自然人","——",ROUND(C5*F32/(1+'数据-取费表'!C42),2))</f>
        <v>26.29</v>
      </c>
      <c r="D32" s="2946" t="s">
        <v>1435</v>
      </c>
      <c r="E32" s="347" t="s">
        <v>1423</v>
      </c>
      <c r="F32" s="377">
        <f>'数据-取费表'!B41</f>
        <v>5.6000000000000001E-2</v>
      </c>
      <c r="G32" s="1853"/>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11.69</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0.26</v>
      </c>
      <c r="D34" s="370" t="s">
        <v>1443</v>
      </c>
      <c r="E34" s="347" t="s">
        <v>1444</v>
      </c>
      <c r="F34" s="371">
        <f>'数据-取费表'!B52</f>
        <v>3</v>
      </c>
      <c r="G34" s="1853"/>
      <c r="H34" s="745"/>
      <c r="I34" s="1862"/>
      <c r="J34" s="1863"/>
      <c r="K34" s="1865"/>
      <c r="L34" s="1866"/>
      <c r="M34" s="1866"/>
    </row>
    <row r="35" spans="1:18" ht="18" customHeight="1">
      <c r="A35" s="1355"/>
      <c r="B35" s="1353"/>
      <c r="C35" s="29"/>
      <c r="D35" s="373"/>
      <c r="E35" s="347" t="s">
        <v>1448</v>
      </c>
      <c r="F35" s="348">
        <f ca="1">INDIRECT("'数据-取费表'!r"&amp;$G$1)</f>
        <v>872.39</v>
      </c>
      <c r="G35" s="1853"/>
      <c r="H35" s="745"/>
      <c r="I35" s="1862"/>
      <c r="J35" s="1863"/>
      <c r="K35" s="1864"/>
      <c r="L35" s="1861"/>
      <c r="M35" s="1861"/>
    </row>
    <row r="36" spans="1:18" ht="18" customHeight="1">
      <c r="A36" s="1354" t="s">
        <v>1039</v>
      </c>
      <c r="B36" s="347" t="s">
        <v>1450</v>
      </c>
      <c r="C36" s="24">
        <f ca="1">ROUND(C29*F36,1)</f>
        <v>27.8</v>
      </c>
      <c r="D36" s="2946" t="s">
        <v>1483</v>
      </c>
      <c r="E36" s="347" t="s">
        <v>1423</v>
      </c>
      <c r="F36" s="374">
        <f ca="1">INDIRECT("'数据-取费表'!Ak"&amp;$G$1)</f>
        <v>0.02</v>
      </c>
      <c r="G36" s="1853"/>
      <c r="H36" s="1861"/>
      <c r="I36" s="1862"/>
      <c r="J36" s="1863"/>
      <c r="K36" s="751"/>
      <c r="L36" s="1861"/>
      <c r="M36" s="1861"/>
    </row>
    <row r="37" spans="1:18" ht="18" customHeight="1">
      <c r="A37" s="1203" t="s">
        <v>1075</v>
      </c>
      <c r="B37" s="347" t="s">
        <v>1454</v>
      </c>
      <c r="C37" s="24">
        <f ca="1">ROUND(C13*F37,1)</f>
        <v>2.4</v>
      </c>
      <c r="D37" s="2946" t="s">
        <v>1455</v>
      </c>
      <c r="E37" s="347" t="s">
        <v>1423</v>
      </c>
      <c r="F37" s="376">
        <f ca="1">INDIRECT("'数据-取费表'!Al"&amp;$G$1)</f>
        <v>2E-3</v>
      </c>
      <c r="G37" s="1853"/>
      <c r="H37" s="1861"/>
      <c r="I37" s="1862"/>
      <c r="J37" s="1863"/>
      <c r="K37" s="751"/>
      <c r="L37" s="1861"/>
      <c r="M37" s="1861"/>
    </row>
    <row r="38" spans="1:18" ht="18" customHeight="1" thickBot="1">
      <c r="A38" s="1341" t="s">
        <v>1392</v>
      </c>
      <c r="B38" s="1342" t="s">
        <v>1440</v>
      </c>
      <c r="C38" s="1343">
        <f ca="1">ROUND(C5*F38,1)</f>
        <v>9.9</v>
      </c>
      <c r="D38" s="1344" t="s">
        <v>1460</v>
      </c>
      <c r="E38" s="1342" t="s">
        <v>1423</v>
      </c>
      <c r="F38" s="1338">
        <f ca="1">INDIRECT("'数据-取费表'!Am"&amp;$G$1)</f>
        <v>0.02</v>
      </c>
      <c r="G38" s="1853"/>
      <c r="H38" s="1861"/>
      <c r="I38" s="1862"/>
      <c r="J38" s="1863"/>
      <c r="K38" s="1867"/>
      <c r="L38" s="1861"/>
      <c r="M38" s="1861"/>
    </row>
    <row r="39" spans="1:18" ht="24.6" customHeight="1" thickTop="1">
      <c r="A39" s="1331" t="s">
        <v>1031</v>
      </c>
      <c r="B39" s="1346" t="s">
        <v>1464</v>
      </c>
      <c r="C39" s="355">
        <f ca="1">C5-C30</f>
        <v>415</v>
      </c>
      <c r="D39" s="1347" t="s">
        <v>1465</v>
      </c>
      <c r="E39" s="1348"/>
      <c r="F39" s="1349"/>
      <c r="G39" s="1853"/>
      <c r="H39" s="1861"/>
      <c r="I39" s="1862"/>
      <c r="J39" s="1863"/>
      <c r="K39" s="1867"/>
      <c r="L39" s="1861"/>
      <c r="M39" s="1861"/>
    </row>
    <row r="40" spans="1:18" ht="18" customHeight="1">
      <c r="A40" s="344" t="s">
        <v>1032</v>
      </c>
      <c r="B40" s="345" t="s">
        <v>1486</v>
      </c>
      <c r="C40" s="346">
        <f ca="1">ROUND(C39*(1-((1+F42)/(1+F40))^F41)/(F40-F42),0)</f>
        <v>7341</v>
      </c>
      <c r="D40" s="370" t="s">
        <v>1470</v>
      </c>
      <c r="E40" s="347" t="s">
        <v>1471</v>
      </c>
      <c r="F40" s="357">
        <f ca="1">INDIRECT("'数据-取费表'!I"&amp;$G$1)</f>
        <v>5.5E-2</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28.61</v>
      </c>
      <c r="G41" s="1853"/>
      <c r="H41" s="732"/>
      <c r="I41" s="1862"/>
      <c r="J41" s="1863"/>
      <c r="K41" s="751"/>
      <c r="L41" s="732"/>
      <c r="M41" s="732"/>
    </row>
    <row r="42" spans="1:18" ht="18" customHeight="1">
      <c r="A42" s="353"/>
      <c r="B42" s="354"/>
      <c r="C42" s="355"/>
      <c r="D42" s="373"/>
      <c r="E42" s="347" t="s">
        <v>1478</v>
      </c>
      <c r="F42" s="357">
        <f ca="1">INDIRECT("'数据-取费表'!v"&amp;$G$1)</f>
        <v>0.02</v>
      </c>
      <c r="G42" s="1853"/>
      <c r="H42" s="732"/>
      <c r="I42" s="1862"/>
      <c r="J42" s="1863"/>
      <c r="K42" s="751"/>
      <c r="L42" s="732"/>
      <c r="M42" s="732"/>
    </row>
    <row r="43" spans="1:18" ht="18" customHeight="1" thickBot="1">
      <c r="A43" s="380" t="s">
        <v>1033</v>
      </c>
      <c r="B43" s="381" t="s">
        <v>1488</v>
      </c>
      <c r="C43" s="382">
        <f ca="1">ROUND(C40*10000/F43,0)</f>
        <v>24050</v>
      </c>
      <c r="D43" s="383" t="s">
        <v>1489</v>
      </c>
      <c r="E43" s="384" t="s">
        <v>1490</v>
      </c>
      <c r="F43" s="385">
        <f ca="1">INDIRECT("'数据-取费表'!k"&amp;$G$1)</f>
        <v>3052.4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-7940</v>
      </c>
      <c r="D46" s="1874" t="str">
        <f>C2</f>
        <v>万元</v>
      </c>
      <c r="E46" s="1868"/>
      <c r="F46" s="1868"/>
      <c r="I46" s="1875" t="s">
        <v>1522</v>
      </c>
      <c r="J46" s="1876"/>
      <c r="K46" s="1877"/>
      <c r="L46" s="1878">
        <f ca="1">IF(M47="住宅",0,IF(L48&gt;J51,L60,J60))</f>
        <v>47</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3121</v>
      </c>
      <c r="K47" s="1884" t="s">
        <v>1528</v>
      </c>
      <c r="L47" s="1885">
        <f ca="1">INDIRECT("'数据-取费表'!d"&amp;$G$1)</f>
        <v>0</v>
      </c>
      <c r="M47" s="1840" t="str">
        <f>IF(ISNUMBER(FIND("住宅",C1)),"住宅","非住宅")</f>
        <v>非住宅</v>
      </c>
      <c r="O47" s="1886" t="s">
        <v>1040</v>
      </c>
      <c r="P47" s="1887" t="s">
        <v>1529</v>
      </c>
      <c r="Q47" s="1888">
        <f ca="1">C40+J29</f>
        <v>7341</v>
      </c>
      <c r="R47" s="1888" t="s">
        <v>1530</v>
      </c>
    </row>
    <row r="48" spans="1:18" s="1844" customFormat="1" ht="28.5" thickBot="1">
      <c r="A48" s="1362" t="s">
        <v>1135</v>
      </c>
      <c r="B48" s="345" t="s">
        <v>1401</v>
      </c>
      <c r="C48" s="2958">
        <f ca="1">C49+C53+C55</f>
        <v>0</v>
      </c>
      <c r="D48" s="1364"/>
      <c r="E48" s="1365"/>
      <c r="F48" s="1183"/>
      <c r="G48" s="792"/>
      <c r="H48" s="793"/>
      <c r="I48" s="1889" t="s">
        <v>1531</v>
      </c>
      <c r="J48" s="1890" t="s">
        <v>3122</v>
      </c>
      <c r="K48" s="1891" t="s">
        <v>1532</v>
      </c>
      <c r="L48" s="1892">
        <f ca="1">INDIRECT("'数据-取费表'!f"&amp;$G$1)</f>
        <v>28.61</v>
      </c>
      <c r="O48" s="1886" t="s">
        <v>1041</v>
      </c>
      <c r="P48" s="1887" t="s">
        <v>1533</v>
      </c>
      <c r="Q48" s="1888">
        <f ca="1">J60</f>
        <v>47</v>
      </c>
      <c r="R48" s="1888" t="s">
        <v>1534</v>
      </c>
    </row>
    <row r="49" spans="1:18" s="1844" customFormat="1" ht="13.5" thickBot="1">
      <c r="A49" s="1196" t="s">
        <v>1136</v>
      </c>
      <c r="B49" s="1831" t="s">
        <v>1491</v>
      </c>
      <c r="C49" s="1366">
        <f ca="1">ROUND(F49*F51*F50*(1-F52)/10000,0)</f>
        <v>0</v>
      </c>
      <c r="D49" s="1278" t="s">
        <v>3035</v>
      </c>
      <c r="E49" s="1832" t="s">
        <v>1492</v>
      </c>
      <c r="F49" s="1283"/>
      <c r="G49" s="1893"/>
      <c r="H49" s="793"/>
      <c r="I49" s="1889" t="s">
        <v>1535</v>
      </c>
      <c r="J49" s="1894">
        <v>2009</v>
      </c>
      <c r="K49" s="1891" t="s">
        <v>1536</v>
      </c>
      <c r="L49" s="1895"/>
      <c r="O49" s="1896" t="s">
        <v>1042</v>
      </c>
      <c r="P49" s="1887" t="s">
        <v>1537</v>
      </c>
      <c r="Q49" s="1888">
        <f ca="1">C29</f>
        <v>1392</v>
      </c>
      <c r="R49" s="1888" t="s">
        <v>1530</v>
      </c>
    </row>
    <row r="50" spans="1:18" s="1844" customFormat="1" ht="13.5" thickBot="1">
      <c r="A50" s="1197"/>
      <c r="B50" s="1200"/>
      <c r="C50" s="1370"/>
      <c r="D50" s="1174"/>
      <c r="E50" s="1279" t="s">
        <v>1406</v>
      </c>
      <c r="F50" s="1280">
        <f ca="1">F7</f>
        <v>3052.4</v>
      </c>
      <c r="H50" s="793"/>
      <c r="I50" s="1889" t="s">
        <v>1538</v>
      </c>
      <c r="J50" s="1897">
        <f>SUMPRODUCT((I63:I65=J47)*(J62:L62=J48)*(J63:L65))</f>
        <v>60</v>
      </c>
      <c r="K50" s="1891" t="s">
        <v>1539</v>
      </c>
      <c r="L50" s="1895"/>
      <c r="M50" s="1898"/>
      <c r="O50" s="1896" t="s">
        <v>1043</v>
      </c>
      <c r="P50" s="1887" t="s">
        <v>1540</v>
      </c>
      <c r="Q50" s="1899">
        <f ca="1">J58</f>
        <v>0.4</v>
      </c>
      <c r="R50" s="1888"/>
    </row>
    <row r="51" spans="1:18" s="1844" customFormat="1" ht="13.5" thickBot="1">
      <c r="A51" s="1198"/>
      <c r="B51" s="1200"/>
      <c r="C51" s="1201"/>
      <c r="D51" s="1174"/>
      <c r="E51" s="1202" t="s">
        <v>1407</v>
      </c>
      <c r="F51" s="348">
        <f ca="1">F8</f>
        <v>365</v>
      </c>
      <c r="I51" s="1900" t="s">
        <v>1541</v>
      </c>
      <c r="J51" s="1901">
        <f>IF(J49="",J50,J49+J50-YEAR('数据-取费表'!B2))</f>
        <v>52</v>
      </c>
      <c r="K51" s="1902" t="s">
        <v>1542</v>
      </c>
      <c r="L51" s="1903">
        <f ca="1">ROUND(-PV(INDIRECT("'数据-取费表'!h"&amp;$G$1),L48,(C39-C13*C76),0),0)</f>
        <v>5004</v>
      </c>
      <c r="M51" s="1904"/>
      <c r="O51" s="1896" t="s">
        <v>1044</v>
      </c>
      <c r="P51" s="1887" t="s">
        <v>1543</v>
      </c>
      <c r="Q51" s="1899">
        <f>J52</f>
        <v>0.09</v>
      </c>
      <c r="R51" s="1888"/>
    </row>
    <row r="52" spans="1:18" s="1844" customFormat="1" ht="13.5" thickBot="1">
      <c r="A52" s="1198"/>
      <c r="B52" s="1200"/>
      <c r="C52" s="1201"/>
      <c r="D52" s="1174"/>
      <c r="E52" s="1202" t="s">
        <v>1408</v>
      </c>
      <c r="F52" s="1277"/>
      <c r="I52" s="1905" t="s">
        <v>1544</v>
      </c>
      <c r="J52" s="1906">
        <v>0.09</v>
      </c>
      <c r="K52" s="1905" t="s">
        <v>1545</v>
      </c>
      <c r="L52" s="1906"/>
      <c r="O52" s="1896" t="s">
        <v>1045</v>
      </c>
      <c r="P52" s="1887" t="s">
        <v>1546</v>
      </c>
      <c r="Q52" s="1888">
        <f ca="1">J53</f>
        <v>28.61</v>
      </c>
      <c r="R52" s="1888" t="s">
        <v>1547</v>
      </c>
    </row>
    <row r="53" spans="1:18" s="1844" customFormat="1" ht="24.75" thickBot="1">
      <c r="A53" s="1407" t="s">
        <v>1137</v>
      </c>
      <c r="B53" s="1833" t="s">
        <v>1409</v>
      </c>
      <c r="C53" s="361">
        <f ca="1">ROUND(IF(F53="押一",F49*F51*F50/12*F11,IF(F53="押二",F49*F51*F50/12*2*F11,IF(F53="押三",F49*F51*F50/12*3*F11,C54*F11)))/10000,0)</f>
        <v>0</v>
      </c>
      <c r="D53" s="1826" t="s">
        <v>3032</v>
      </c>
      <c r="E53" s="358" t="s">
        <v>1411</v>
      </c>
      <c r="F53" s="1368"/>
      <c r="I53" s="1907" t="s">
        <v>1548</v>
      </c>
      <c r="J53" s="1908">
        <f ca="1">IF(M47="住宅",J51,IF(D1="——",MIN(J51,L48),IF(D1="在建（套用方法）",MIN(J51,L48-'数据-取费表'!B24),IF(D1="土地（套用方法）",MIN(J51,L48-'数据-取费表'!B20)))))</f>
        <v>28.61</v>
      </c>
      <c r="K53" s="3255" t="s">
        <v>1549</v>
      </c>
      <c r="L53" s="3256"/>
      <c r="O53" s="1886" t="s">
        <v>1046</v>
      </c>
      <c r="P53" s="1887" t="s">
        <v>1550</v>
      </c>
      <c r="Q53" s="1888">
        <f ca="1">Q47+Q48</f>
        <v>7388</v>
      </c>
      <c r="R53" s="1888" t="s">
        <v>1047</v>
      </c>
    </row>
    <row r="54" spans="1:18" s="1844" customFormat="1" ht="13.5" thickBot="1">
      <c r="A54" s="1408"/>
      <c r="B54" s="1827" t="s">
        <v>1388</v>
      </c>
      <c r="C54" s="1180"/>
      <c r="D54" s="1826"/>
      <c r="E54" s="295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2954"/>
      <c r="F55" s="1909"/>
      <c r="I55" s="1912" t="s">
        <v>1552</v>
      </c>
      <c r="J55" s="1913">
        <f ca="1">ROUND(IF(J47="钢混",J57/J50,1-(1-2%)*(J50-J57)/J50),3)</f>
        <v>0.39</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1183</v>
      </c>
      <c r="D56" s="1916"/>
      <c r="E56" s="1917"/>
      <c r="F56" s="1909"/>
      <c r="I56" s="1918" t="s">
        <v>1555</v>
      </c>
      <c r="J56" s="1919" t="s">
        <v>3123</v>
      </c>
      <c r="K56" s="1889" t="s">
        <v>1556</v>
      </c>
      <c r="L56" s="1892" t="str">
        <f ca="1">IF(L48&lt;J51,"——",L48-J53)</f>
        <v>——</v>
      </c>
      <c r="O56" s="1886" t="s">
        <v>1040</v>
      </c>
      <c r="P56" s="1887" t="s">
        <v>1529</v>
      </c>
      <c r="Q56" s="1888">
        <f ca="1">C40+J29</f>
        <v>7341</v>
      </c>
      <c r="R56" s="1888" t="s">
        <v>1530</v>
      </c>
    </row>
    <row r="57" spans="1:18" s="1844" customFormat="1" ht="24.75" thickBot="1">
      <c r="A57" s="1920"/>
      <c r="B57" s="1171" t="s">
        <v>1479</v>
      </c>
      <c r="C57" s="282">
        <f ca="1">C29</f>
        <v>1392</v>
      </c>
      <c r="D57" s="1921"/>
      <c r="E57" s="1922"/>
      <c r="F57" s="1923"/>
      <c r="I57" s="1924" t="s">
        <v>1557</v>
      </c>
      <c r="J57" s="1925">
        <f ca="1">IF(OR(M47="住宅",J51&lt;L48,J56="是"),"——",J51-L48)</f>
        <v>23.39</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42</v>
      </c>
      <c r="D58" s="1181" t="s">
        <v>1426</v>
      </c>
      <c r="E58" s="1182"/>
      <c r="F58" s="1183"/>
      <c r="I58" s="1924" t="s">
        <v>1561</v>
      </c>
      <c r="J58" s="1926">
        <f ca="1">IF(J55&lt;0.4,0.4,J55)</f>
        <v>0.4</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12</v>
      </c>
      <c r="D59" s="1184" t="s">
        <v>1431</v>
      </c>
      <c r="E59" s="1185" t="s">
        <v>1432</v>
      </c>
      <c r="F59" s="368" t="str">
        <f ca="1">IF(项目基本情况!B11="企业","",IF(INDIRECT("'数据-取费表'!c"&amp;$G$1)="住宅",5%,IF(F49*F50*F51/12/(1+'数据-取费表'!C42)&gt;20000,12%,7%)))</f>
        <v/>
      </c>
      <c r="I59" s="1924" t="s">
        <v>1564</v>
      </c>
      <c r="J59" s="1925">
        <f ca="1">IF(OR(M47="住宅",J51&lt;L48,J56="是"),"——",ROUND(C29*J58,0))</f>
        <v>557</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IF(项目基本情况!B11="自然人","——",ROUND(C48*F60/(1+'数据-取费表'!C42),2))</f>
        <v>0</v>
      </c>
      <c r="D60" s="1185" t="s">
        <v>1435</v>
      </c>
      <c r="E60" s="1171" t="s">
        <v>1423</v>
      </c>
      <c r="F60" s="377">
        <f t="shared" ref="F60:F66" si="0">F32</f>
        <v>5.6000000000000001E-2</v>
      </c>
      <c r="I60" s="1927" t="s">
        <v>1566</v>
      </c>
      <c r="J60" s="1928">
        <f ca="1">IF(OR(M47="住宅",J51&lt;L48,J56="是"),"0",ROUND(J59/(1+J52)^J53,0))</f>
        <v>47</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1438</v>
      </c>
      <c r="C61" s="24">
        <f ca="1">IF(项目基本情况!B11="自然人","——",IF(D61="按租金收入计税",ROUND(C48*F61,2),IF(D61="按房产原值计税",ROUND(C57*F61*0.7,2),INDIRECT("'数据-取费表'!Aj"&amp;$G$1))))</f>
        <v>11.69</v>
      </c>
      <c r="D61" s="1830" t="s">
        <v>1439</v>
      </c>
      <c r="E61" s="1171" t="s">
        <v>1423</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1442</v>
      </c>
      <c r="C62" s="25">
        <f ca="1">IF(项目基本情况!B11="自然人","——",ROUND(F62*F63/10000,2))</f>
        <v>0.26</v>
      </c>
      <c r="D62" s="1186" t="s">
        <v>1443</v>
      </c>
      <c r="E62" s="1171" t="s">
        <v>1444</v>
      </c>
      <c r="F62" s="371">
        <f t="shared" si="0"/>
        <v>3</v>
      </c>
      <c r="I62" s="1931" t="s">
        <v>1571</v>
      </c>
      <c r="J62" s="1932" t="s">
        <v>1572</v>
      </c>
      <c r="K62" s="1932" t="s">
        <v>1573</v>
      </c>
      <c r="L62" s="1932" t="s">
        <v>1574</v>
      </c>
      <c r="M62" s="1933" t="s">
        <v>1575</v>
      </c>
      <c r="O62" s="1886" t="s">
        <v>1046</v>
      </c>
      <c r="P62" s="1887" t="s">
        <v>1550</v>
      </c>
      <c r="Q62" s="1888">
        <f ca="1">Q56+Q57</f>
        <v>7341</v>
      </c>
      <c r="R62" s="1888" t="s">
        <v>1047</v>
      </c>
    </row>
    <row r="63" spans="1:18" s="1844" customFormat="1" ht="13.5" thickBot="1">
      <c r="A63" s="372"/>
      <c r="B63" s="1177"/>
      <c r="C63" s="29"/>
      <c r="D63" s="1187"/>
      <c r="E63" s="1171" t="s">
        <v>1448</v>
      </c>
      <c r="F63" s="348">
        <f t="shared" ca="1" si="0"/>
        <v>872.39</v>
      </c>
      <c r="I63" s="1931" t="s">
        <v>1577</v>
      </c>
      <c r="J63" s="1932">
        <v>70</v>
      </c>
      <c r="K63" s="1932">
        <v>50</v>
      </c>
      <c r="L63" s="1932">
        <v>80</v>
      </c>
      <c r="M63" s="1934">
        <v>0.02</v>
      </c>
      <c r="O63" s="1871" t="s">
        <v>1578</v>
      </c>
      <c r="P63" s="1841"/>
      <c r="Q63" s="1841"/>
      <c r="R63" s="1841"/>
    </row>
    <row r="64" spans="1:18" s="1844" customFormat="1" ht="13.5" thickBot="1">
      <c r="A64" s="1203" t="s">
        <v>1039</v>
      </c>
      <c r="B64" s="1171" t="s">
        <v>1450</v>
      </c>
      <c r="C64" s="24">
        <f ca="1">ROUND(C57*F64,1)</f>
        <v>27.8</v>
      </c>
      <c r="D64" s="1185" t="s">
        <v>1483</v>
      </c>
      <c r="E64" s="1171" t="s">
        <v>1423</v>
      </c>
      <c r="F64" s="374">
        <f t="shared" ca="1" si="0"/>
        <v>0.02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2.4</v>
      </c>
      <c r="D65" s="1185" t="s">
        <v>1455</v>
      </c>
      <c r="E65" s="1171" t="s">
        <v>1423</v>
      </c>
      <c r="F65" s="376">
        <f t="shared" ca="1" si="0"/>
        <v>2E-3</v>
      </c>
      <c r="I65" s="1931" t="s">
        <v>1580</v>
      </c>
      <c r="J65" s="1932">
        <v>40</v>
      </c>
      <c r="K65" s="1932">
        <v>30</v>
      </c>
      <c r="L65" s="1932">
        <v>50</v>
      </c>
      <c r="M65" s="1934">
        <v>0.02</v>
      </c>
      <c r="O65" s="1886" t="s">
        <v>1040</v>
      </c>
      <c r="P65" s="1887" t="s">
        <v>1529</v>
      </c>
      <c r="Q65" s="1888">
        <f ca="1">C40+J29</f>
        <v>7341</v>
      </c>
      <c r="R65" s="1888" t="s">
        <v>1530</v>
      </c>
    </row>
    <row r="66" spans="1:18" s="1844" customFormat="1" ht="16.5" thickBot="1">
      <c r="A66" s="1203" t="s">
        <v>1505</v>
      </c>
      <c r="B66" s="1171" t="s">
        <v>1440</v>
      </c>
      <c r="C66" s="24">
        <f ca="1">ROUND(C48*F66,1)</f>
        <v>0</v>
      </c>
      <c r="D66" s="1185" t="s">
        <v>1460</v>
      </c>
      <c r="E66" s="1171" t="s">
        <v>1423</v>
      </c>
      <c r="F66" s="357">
        <f t="shared" ca="1" si="0"/>
        <v>0.02</v>
      </c>
      <c r="O66" s="1886" t="s">
        <v>1041</v>
      </c>
      <c r="P66" s="1887" t="s">
        <v>1559</v>
      </c>
      <c r="Q66" s="1888">
        <f ca="1">L60</f>
        <v>0</v>
      </c>
      <c r="R66" s="1888" t="s">
        <v>1582</v>
      </c>
    </row>
    <row r="67" spans="1:18" s="1844" customFormat="1" ht="16.5" thickBot="1">
      <c r="A67" s="1178" t="s">
        <v>1031</v>
      </c>
      <c r="B67" s="1188" t="s">
        <v>1464</v>
      </c>
      <c r="C67" s="361">
        <f ca="1">C48-C58</f>
        <v>-42</v>
      </c>
      <c r="D67" s="1184" t="s">
        <v>1465</v>
      </c>
      <c r="E67" s="1189"/>
      <c r="F67" s="1190"/>
      <c r="O67" s="1896" t="s">
        <v>1042</v>
      </c>
      <c r="P67" s="1887" t="s">
        <v>1563</v>
      </c>
      <c r="Q67" s="1935">
        <f ca="1">L51</f>
        <v>5004</v>
      </c>
      <c r="R67" s="1888" t="s">
        <v>1583</v>
      </c>
    </row>
    <row r="68" spans="1:18" s="1844" customFormat="1" ht="16.5" thickBot="1">
      <c r="A68" s="1168" t="s">
        <v>1032</v>
      </c>
      <c r="B68" s="1169" t="s">
        <v>1486</v>
      </c>
      <c r="C68" s="346">
        <f ca="1">ROUND(C67*(1-((1+F70)/(1+F68))^F69)/(F68-F70),0)</f>
        <v>-599</v>
      </c>
      <c r="D68" s="1186" t="s">
        <v>1470</v>
      </c>
      <c r="E68" s="1171" t="s">
        <v>1471</v>
      </c>
      <c r="F68" s="357">
        <f ca="1">F40</f>
        <v>5.5E-2</v>
      </c>
      <c r="O68" s="1896" t="s">
        <v>1043</v>
      </c>
      <c r="P68" s="1936" t="s">
        <v>1584</v>
      </c>
      <c r="Q68" s="1888">
        <f ca="1">ROUND(Q69-Q70*Q71,0)</f>
        <v>314</v>
      </c>
      <c r="R68" s="1888" t="s">
        <v>1051</v>
      </c>
    </row>
    <row r="69" spans="1:18" s="1844" customFormat="1" ht="13.5" thickBot="1">
      <c r="A69" s="1172"/>
      <c r="B69" s="1173"/>
      <c r="C69" s="351"/>
      <c r="D69" s="1191" t="s">
        <v>1474</v>
      </c>
      <c r="E69" s="1171" t="s">
        <v>1475</v>
      </c>
      <c r="F69" s="379">
        <f ca="1">F41</f>
        <v>28.61</v>
      </c>
      <c r="O69" s="1896" t="s">
        <v>1048</v>
      </c>
      <c r="P69" s="1936" t="s">
        <v>1585</v>
      </c>
      <c r="Q69" s="1888">
        <f ca="1">C39</f>
        <v>415</v>
      </c>
      <c r="R69" s="1888" t="s">
        <v>1530</v>
      </c>
    </row>
    <row r="70" spans="1:18" s="1844" customFormat="1" ht="13.5" thickBot="1">
      <c r="A70" s="1175"/>
      <c r="B70" s="1176"/>
      <c r="C70" s="355"/>
      <c r="D70" s="1187"/>
      <c r="E70" s="1171" t="s">
        <v>1478</v>
      </c>
      <c r="F70" s="1277"/>
      <c r="O70" s="1896" t="s">
        <v>1049</v>
      </c>
      <c r="P70" s="1936" t="s">
        <v>1586</v>
      </c>
      <c r="Q70" s="1888">
        <f ca="1">C13</f>
        <v>1183</v>
      </c>
      <c r="R70" s="1888" t="s">
        <v>1530</v>
      </c>
    </row>
    <row r="71" spans="1:18" s="1844" customFormat="1" ht="13.5" thickBot="1">
      <c r="A71" s="1192" t="s">
        <v>1033</v>
      </c>
      <c r="B71" s="1193" t="s">
        <v>1488</v>
      </c>
      <c r="C71" s="382">
        <f ca="1">ROUND(C68*10000/F71,0)</f>
        <v>-1962</v>
      </c>
      <c r="D71" s="1194" t="s">
        <v>1489</v>
      </c>
      <c r="E71" s="1195" t="s">
        <v>1490</v>
      </c>
      <c r="F71" s="385">
        <f ca="1">F43</f>
        <v>3052.4</v>
      </c>
      <c r="O71" s="1896" t="s">
        <v>1050</v>
      </c>
      <c r="P71" s="1936" t="s">
        <v>1587</v>
      </c>
      <c r="Q71" s="1899">
        <f ca="1">C76</f>
        <v>8.5000000000000006E-2</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101</v>
      </c>
      <c r="D75" s="1844"/>
      <c r="E75" s="1844"/>
      <c r="F75" s="1844"/>
      <c r="K75" s="1870"/>
      <c r="L75" s="1844"/>
      <c r="O75" s="1886" t="s">
        <v>1046</v>
      </c>
      <c r="P75" s="1887" t="s">
        <v>1550</v>
      </c>
      <c r="Q75" s="1888">
        <f ca="1">Q65+Q66</f>
        <v>7341</v>
      </c>
      <c r="R75" s="1888" t="s">
        <v>1047</v>
      </c>
    </row>
    <row r="76" spans="1:18">
      <c r="B76" s="388" t="s">
        <v>1508</v>
      </c>
      <c r="C76" s="389">
        <f ca="1">INDIRECT("'数据-取费表'!j"&amp;$G$1)</f>
        <v>8.5000000000000006E-2</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0.75700000000000001</v>
      </c>
    </row>
    <row r="80" spans="1:18">
      <c r="B80" s="386" t="s">
        <v>1512</v>
      </c>
      <c r="C80" s="318">
        <f ca="1">ROUND(C75/C39,3)</f>
        <v>0.24299999999999999</v>
      </c>
    </row>
    <row r="81" spans="2:3">
      <c r="B81" s="314" t="s">
        <v>1513</v>
      </c>
      <c r="C81" s="282"/>
    </row>
    <row r="82" spans="2:3">
      <c r="B82" s="317" t="s">
        <v>1514</v>
      </c>
      <c r="C82" s="319">
        <f ca="1">1-C83</f>
        <v>0.83899999999999997</v>
      </c>
    </row>
    <row r="83" spans="2:3">
      <c r="B83" s="317" t="s">
        <v>1515</v>
      </c>
      <c r="C83" s="318">
        <f ca="1">ROUND(C13/C40,3)</f>
        <v>0.161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9" priority="4">
      <formula>$L$48&gt;$J$51</formula>
    </cfRule>
  </conditionalFormatting>
  <conditionalFormatting sqref="I55 I60">
    <cfRule type="expression" dxfId="48" priority="5">
      <formula>$J$51&gt;$L$48</formula>
    </cfRule>
  </conditionalFormatting>
  <conditionalFormatting sqref="C11">
    <cfRule type="expression" dxfId="47" priority="3">
      <formula>$F$10="自定义"</formula>
    </cfRule>
  </conditionalFormatting>
  <conditionalFormatting sqref="J11">
    <cfRule type="expression" dxfId="46" priority="2">
      <formula>$M$10="自定义"</formula>
    </cfRule>
  </conditionalFormatting>
  <conditionalFormatting sqref="C54">
    <cfRule type="expression" dxfId="4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O34" sqref="O3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3008</v>
      </c>
      <c r="C1" s="3338" t="s">
        <v>3009</v>
      </c>
      <c r="D1" s="3339"/>
      <c r="E1" s="3339"/>
      <c r="F1" s="3339"/>
      <c r="G1" s="3339"/>
      <c r="H1" s="3339"/>
      <c r="I1" s="3339"/>
      <c r="J1" s="3339"/>
      <c r="K1" s="3339"/>
      <c r="L1" s="3339"/>
      <c r="M1" s="3339"/>
      <c r="N1" s="3339"/>
      <c r="O1" s="3339"/>
      <c r="P1" s="3339"/>
      <c r="Q1" s="3339"/>
      <c r="R1" s="3339"/>
      <c r="S1" s="3340"/>
      <c r="T1" s="1206" t="s">
        <v>3010</v>
      </c>
    </row>
    <row r="2" spans="1:45" s="707" customFormat="1">
      <c r="A2" s="1207"/>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3012</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3013</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3014</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3015</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3016</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3017</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3018</v>
      </c>
      <c r="B17" s="2918" t="s">
        <v>3019</v>
      </c>
      <c r="C17" s="1233" t="s">
        <v>3221</v>
      </c>
      <c r="D17" s="3000" t="s">
        <v>3222</v>
      </c>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v>140</v>
      </c>
      <c r="D18" s="1246">
        <v>100</v>
      </c>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9" t="s">
        <v>3020</v>
      </c>
      <c r="E19" s="1794"/>
      <c r="F19" s="1794"/>
      <c r="G19" s="1794"/>
      <c r="H19" s="1282"/>
      <c r="I19" s="168"/>
      <c r="J19" s="168"/>
      <c r="K19" s="168"/>
      <c r="L19" s="168"/>
      <c r="M19" s="168"/>
      <c r="N19" s="168"/>
      <c r="O19" s="168"/>
      <c r="P19" s="168"/>
      <c r="Q19" s="168"/>
      <c r="R19" s="788"/>
      <c r="S19" s="138"/>
    </row>
    <row r="20" spans="1:45" ht="16.5" thickBot="1">
      <c r="A20" s="715" t="s">
        <v>3021</v>
      </c>
      <c r="B20" s="338" t="e">
        <f ca="1">IF(D20="——",S22,S22-F20)</f>
        <v>#REF!</v>
      </c>
      <c r="C20" s="168"/>
      <c r="D20" s="2920" t="s">
        <v>3022</v>
      </c>
      <c r="E20" s="1795"/>
      <c r="F20" s="1206" t="e">
        <f ca="1">SUMIF(INDIRECT("'"&amp;H20&amp;"'"&amp;"!A:A"),"承租人权益价值",INDIRECT("'"&amp;H20&amp;"'"&amp;"!c:c"))</f>
        <v>#REF!</v>
      </c>
      <c r="G20" s="1206" t="s">
        <v>3023</v>
      </c>
      <c r="H20" s="2921"/>
      <c r="I20" s="168"/>
      <c r="J20" s="168"/>
      <c r="K20" s="168"/>
      <c r="L20" s="168"/>
      <c r="M20" s="168"/>
      <c r="N20" s="168"/>
      <c r="O20" s="168"/>
      <c r="P20" s="168"/>
      <c r="Q20" s="168"/>
      <c r="R20" s="788"/>
      <c r="S20" s="138"/>
    </row>
    <row r="21" spans="1:45" ht="15.75">
      <c r="A21" s="715" t="s">
        <v>3024</v>
      </c>
      <c r="B21" s="338">
        <f>R22</f>
        <v>9999</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3052.4</v>
      </c>
      <c r="C22" s="3113" t="s">
        <v>33</v>
      </c>
      <c r="D22" s="3114"/>
      <c r="E22" s="3114"/>
      <c r="F22" s="3114"/>
      <c r="G22" s="3114"/>
      <c r="H22" s="3114"/>
      <c r="I22" s="3114"/>
      <c r="J22" s="3114"/>
      <c r="K22" s="3114"/>
      <c r="L22" s="3114"/>
      <c r="M22" s="3114"/>
      <c r="N22" s="3114"/>
      <c r="O22" s="3114"/>
      <c r="P22" s="3114"/>
      <c r="Q22" s="3337"/>
      <c r="R22" s="716">
        <f>ROUND(S22*10000/B22,0)</f>
        <v>9999</v>
      </c>
      <c r="S22" s="24">
        <f>SUM(S24:S10000)</f>
        <v>3052</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99" t="s">
        <v>3220</v>
      </c>
      <c r="B24" s="718">
        <f>'数据-基础表'!K17</f>
        <v>3052.4</v>
      </c>
      <c r="C24" s="719">
        <v>1</v>
      </c>
      <c r="D24" s="720"/>
      <c r="E24" s="719">
        <v>1</v>
      </c>
      <c r="F24" s="720"/>
      <c r="G24" s="719">
        <v>1</v>
      </c>
      <c r="H24" s="720"/>
      <c r="I24" s="719">
        <v>1</v>
      </c>
      <c r="J24" s="720"/>
      <c r="K24" s="719">
        <v>1</v>
      </c>
      <c r="L24" s="720"/>
      <c r="M24" s="719">
        <v>1</v>
      </c>
      <c r="N24" s="720"/>
      <c r="O24" s="719">
        <v>1</v>
      </c>
      <c r="P24" s="720" t="s">
        <v>3216</v>
      </c>
      <c r="Q24" s="719">
        <v>1</v>
      </c>
      <c r="R24" s="721">
        <v>10000</v>
      </c>
      <c r="S24" s="719">
        <f t="shared" ref="S24:S54" si="11">ROUND(R24*B24/10000,0)</f>
        <v>3052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0</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I48" sqref="I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3" t="s">
        <v>2643</v>
      </c>
      <c r="C1" s="1636" t="s">
        <v>2531</v>
      </c>
      <c r="D1" s="1623" t="s">
        <v>3124</v>
      </c>
      <c r="E1" s="2658"/>
      <c r="F1" s="2585" t="s">
        <v>3226</v>
      </c>
      <c r="G1" s="1633" t="s">
        <v>2644</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2328</v>
      </c>
      <c r="B2" s="1420">
        <f>IF(C2="——",ROUND(C49*D3/10000,0),ROUND(C49*D3/10000,0)-D2)</f>
        <v>2</v>
      </c>
      <c r="C2" s="2587" t="s">
        <v>70</v>
      </c>
      <c r="D2" s="1367" t="e">
        <f ca="1">SUMIF(INDIRECT("'"&amp;F2&amp;"'"&amp;"!A:A"),"承租人权益价值",INDIRECT("'"&amp;F2&amp;"'"&amp;"!c:c"))</f>
        <v>#REF!</v>
      </c>
      <c r="E2" s="2588" t="s">
        <v>2329</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8" customFormat="1" ht="28.5" customHeight="1" thickBot="1">
      <c r="A3" s="247" t="s">
        <v>2330</v>
      </c>
      <c r="B3" s="609">
        <f>IF(C2="——",C49,ROUND(B2*10000/D3,0))</f>
        <v>5.2</v>
      </c>
      <c r="C3" s="400" t="s">
        <v>2535</v>
      </c>
      <c r="D3" s="399">
        <f>IF(D1="",'数据-汇总表'!E3,SUMIF('数据-汇总表'!$C19:$C33,D1,'数据-汇总表'!$E19:$E33))</f>
        <v>3052.4</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1" t="s">
        <v>2536</v>
      </c>
      <c r="B4" s="402"/>
      <c r="C4" s="3224" t="s">
        <v>2537</v>
      </c>
      <c r="D4" s="3225"/>
      <c r="E4" s="3226" t="s">
        <v>2538</v>
      </c>
      <c r="F4" s="3227"/>
      <c r="G4" s="3224" t="s">
        <v>2539</v>
      </c>
      <c r="H4" s="3225"/>
      <c r="I4" s="3224" t="s">
        <v>2540</v>
      </c>
      <c r="J4" s="3225"/>
      <c r="K4" s="610" t="s">
        <v>2541</v>
      </c>
      <c r="L4" s="1132"/>
      <c r="M4" s="1133"/>
      <c r="N4" s="1133"/>
      <c r="O4" s="1133"/>
      <c r="P4" s="3286" t="s">
        <v>2542</v>
      </c>
      <c r="Q4" s="3287"/>
      <c r="R4" s="3282" t="s">
        <v>2538</v>
      </c>
      <c r="S4" s="3283"/>
      <c r="T4" s="3282" t="s">
        <v>2539</v>
      </c>
      <c r="U4" s="3283"/>
      <c r="V4" s="3237" t="s">
        <v>2540</v>
      </c>
      <c r="W4" s="3237"/>
      <c r="X4" s="2979"/>
      <c r="Y4" s="3282" t="s">
        <v>2542</v>
      </c>
      <c r="Z4" s="3283"/>
      <c r="AA4" s="3281" t="s">
        <v>2538</v>
      </c>
      <c r="AB4" s="3237" t="s">
        <v>2539</v>
      </c>
      <c r="AC4" s="3281" t="s">
        <v>2540</v>
      </c>
    </row>
    <row r="5" spans="1:29" ht="15">
      <c r="A5" s="404"/>
      <c r="B5" s="405"/>
      <c r="C5" s="3213" t="s">
        <v>3235</v>
      </c>
      <c r="D5" s="3214"/>
      <c r="E5" s="3211" t="s">
        <v>3228</v>
      </c>
      <c r="F5" s="3212"/>
      <c r="G5" s="3213" t="s">
        <v>3233</v>
      </c>
      <c r="H5" s="3214"/>
      <c r="I5" s="3213" t="s">
        <v>3234</v>
      </c>
      <c r="J5" s="3214"/>
      <c r="K5" s="610"/>
      <c r="L5" s="1132"/>
      <c r="M5" s="1133"/>
      <c r="N5" s="1133"/>
      <c r="O5" s="1133"/>
      <c r="P5" s="3288"/>
      <c r="Q5" s="3231"/>
      <c r="R5" s="3209"/>
      <c r="S5" s="3210"/>
      <c r="T5" s="3209"/>
      <c r="U5" s="3210"/>
      <c r="V5" s="3237"/>
      <c r="W5" s="3237"/>
      <c r="X5" s="2979"/>
      <c r="Y5" s="3209"/>
      <c r="Z5" s="3210"/>
      <c r="AA5" s="3203"/>
      <c r="AB5" s="3237"/>
      <c r="AC5" s="3203"/>
    </row>
    <row r="6" spans="1:29" ht="15.75" thickBot="1">
      <c r="A6" s="406"/>
      <c r="B6" s="407"/>
      <c r="C6" s="3215" t="s">
        <v>3130</v>
      </c>
      <c r="D6" s="3216"/>
      <c r="E6" s="3218"/>
      <c r="F6" s="3219"/>
      <c r="G6" s="3215"/>
      <c r="H6" s="3216"/>
      <c r="I6" s="3238"/>
      <c r="J6" s="3216"/>
      <c r="K6" s="610" t="s">
        <v>2548</v>
      </c>
      <c r="L6" s="1132"/>
      <c r="M6" s="1133"/>
      <c r="N6" s="1133"/>
      <c r="O6" s="1133"/>
      <c r="P6" s="3289"/>
      <c r="Q6" s="3233"/>
      <c r="R6" s="3209"/>
      <c r="S6" s="3210"/>
      <c r="T6" s="3234"/>
      <c r="U6" s="3235"/>
      <c r="V6" s="3237"/>
      <c r="W6" s="3237"/>
      <c r="X6" s="2979"/>
      <c r="Y6" s="3234"/>
      <c r="Z6" s="3235"/>
      <c r="AA6" s="3204"/>
      <c r="AB6" s="3237"/>
      <c r="AC6" s="3204"/>
    </row>
    <row r="7" spans="1:29" s="117" customFormat="1" ht="15.75" thickBot="1">
      <c r="A7" s="408" t="s">
        <v>2549</v>
      </c>
      <c r="B7" s="409"/>
      <c r="C7" s="410">
        <f>'数据-取费表'!B2</f>
        <v>43100</v>
      </c>
      <c r="D7" s="411">
        <v>100</v>
      </c>
      <c r="E7" s="412">
        <v>43070</v>
      </c>
      <c r="F7" s="413">
        <f>SUMIF(58:58,YEAR(E7)&amp;"-"&amp;MONTH(E7),59:59)</f>
        <v>100</v>
      </c>
      <c r="G7" s="412">
        <v>43070</v>
      </c>
      <c r="H7" s="411">
        <f>SUMIF(58:58,YEAR(G7)&amp;"-"&amp;MONTH(G7),59:59)</f>
        <v>100</v>
      </c>
      <c r="I7" s="412">
        <v>43070</v>
      </c>
      <c r="J7" s="411">
        <f>SUMIF(58:58,YEAR(I7)&amp;"-"&amp;MONTH(I7),59:59)</f>
        <v>100</v>
      </c>
      <c r="K7" s="611"/>
      <c r="L7" s="1134"/>
      <c r="M7" s="1135"/>
      <c r="N7" s="1135"/>
      <c r="O7" s="1135"/>
      <c r="P7" s="3205" t="s">
        <v>2550</v>
      </c>
      <c r="Q7" s="3240"/>
      <c r="R7" s="770" t="s">
        <v>17</v>
      </c>
      <c r="S7" s="771">
        <f t="shared" ref="S7:S15" si="0">F7</f>
        <v>100</v>
      </c>
      <c r="T7" s="770" t="s">
        <v>17</v>
      </c>
      <c r="U7" s="771">
        <f t="shared" ref="U7:U15" si="1">H7</f>
        <v>100</v>
      </c>
      <c r="V7" s="770" t="s">
        <v>17</v>
      </c>
      <c r="W7" s="771">
        <f t="shared" ref="W7:W15" si="2">J7</f>
        <v>100</v>
      </c>
      <c r="X7" s="772"/>
      <c r="Y7" s="3205" t="s">
        <v>2550</v>
      </c>
      <c r="Z7" s="3206"/>
      <c r="AA7" s="773">
        <f>D7/F7</f>
        <v>1</v>
      </c>
      <c r="AB7" s="773">
        <f>D7/H7</f>
        <v>1</v>
      </c>
      <c r="AC7" s="773">
        <f>D7/J7</f>
        <v>1</v>
      </c>
    </row>
    <row r="8" spans="1:29" s="117" customFormat="1" ht="15.75" thickBot="1">
      <c r="A8" s="408" t="s">
        <v>2551</v>
      </c>
      <c r="B8" s="409"/>
      <c r="C8" s="414" t="s">
        <v>2588</v>
      </c>
      <c r="D8" s="411">
        <v>100</v>
      </c>
      <c r="E8" s="414" t="s">
        <v>2588</v>
      </c>
      <c r="F8" s="413">
        <f>SUMIF(61:61,E8,62:62)-SUMIF(61:61,C8,62:62)+100</f>
        <v>100</v>
      </c>
      <c r="G8" s="414" t="s">
        <v>2588</v>
      </c>
      <c r="H8" s="411">
        <f>SUMIF(61:61,G8,62:62)-SUMIF(61:61,C8,62:62)+100</f>
        <v>100</v>
      </c>
      <c r="I8" s="414" t="s">
        <v>2588</v>
      </c>
      <c r="J8" s="411">
        <f>SUMIF(61:61,I8,62:62)-SUMIF(61:61,C8,62:62)+100</f>
        <v>100</v>
      </c>
      <c r="K8" s="611"/>
      <c r="L8" s="1134"/>
      <c r="M8" s="1135"/>
      <c r="N8" s="1135"/>
      <c r="O8" s="1135"/>
      <c r="P8" s="3205" t="s">
        <v>2553</v>
      </c>
      <c r="Q8" s="3206"/>
      <c r="R8" s="770" t="s">
        <v>17</v>
      </c>
      <c r="S8" s="771">
        <f t="shared" si="0"/>
        <v>100</v>
      </c>
      <c r="T8" s="770" t="s">
        <v>17</v>
      </c>
      <c r="U8" s="771">
        <f t="shared" si="1"/>
        <v>100</v>
      </c>
      <c r="V8" s="770" t="s">
        <v>17</v>
      </c>
      <c r="W8" s="771">
        <f t="shared" si="2"/>
        <v>100</v>
      </c>
      <c r="X8" s="772"/>
      <c r="Y8" s="3205" t="s">
        <v>2553</v>
      </c>
      <c r="Z8" s="3206"/>
      <c r="AA8" s="773">
        <f t="shared" ref="AA8:AA46" si="3">D8/F8</f>
        <v>1</v>
      </c>
      <c r="AB8" s="773">
        <f t="shared" ref="AB8:AB46" si="4">D8/H8</f>
        <v>1</v>
      </c>
      <c r="AC8" s="773">
        <f t="shared" ref="AC8:AC46" si="5">D8/J8</f>
        <v>1</v>
      </c>
    </row>
    <row r="9" spans="1:29" s="117" customFormat="1">
      <c r="A9" s="415" t="s">
        <v>2554</v>
      </c>
      <c r="B9" s="71" t="s">
        <v>2555</v>
      </c>
      <c r="C9" s="2987" t="s">
        <v>3190</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220" t="s">
        <v>2556</v>
      </c>
      <c r="Q9" s="2976" t="str">
        <f t="shared" ref="Q9:Q15" si="6">B9</f>
        <v>用途</v>
      </c>
      <c r="R9" s="770" t="s">
        <v>17</v>
      </c>
      <c r="S9" s="771">
        <f t="shared" si="0"/>
        <v>100</v>
      </c>
      <c r="T9" s="770" t="s">
        <v>17</v>
      </c>
      <c r="U9" s="771">
        <f t="shared" si="1"/>
        <v>100</v>
      </c>
      <c r="V9" s="770" t="s">
        <v>17</v>
      </c>
      <c r="W9" s="771">
        <f t="shared" si="2"/>
        <v>100</v>
      </c>
      <c r="X9" s="772"/>
      <c r="Y9" s="3074" t="s">
        <v>2557</v>
      </c>
      <c r="Z9" s="2977" t="str">
        <f t="shared" ref="Z9:Z15" si="7">Q9</f>
        <v>用途</v>
      </c>
      <c r="AA9" s="773">
        <f t="shared" si="3"/>
        <v>1</v>
      </c>
      <c r="AB9" s="773">
        <f t="shared" si="4"/>
        <v>1</v>
      </c>
      <c r="AC9" s="773">
        <f t="shared" si="5"/>
        <v>1</v>
      </c>
    </row>
    <row r="10" spans="1:29" s="427" customFormat="1" ht="27">
      <c r="A10" s="421"/>
      <c r="B10" s="2978" t="s">
        <v>2558</v>
      </c>
      <c r="C10" s="423" t="s">
        <v>3132</v>
      </c>
      <c r="D10" s="136">
        <v>100</v>
      </c>
      <c r="E10" s="423" t="s">
        <v>3132</v>
      </c>
      <c r="F10" s="425">
        <f>SUMIF(65:65,E10,66:66)-SUMIF(65:65,C10,66:66)+100</f>
        <v>100</v>
      </c>
      <c r="G10" s="423" t="s">
        <v>3132</v>
      </c>
      <c r="H10" s="136">
        <f>SUMIF(65:65,G10,66:66)-SUMIF(65:65,C10,66:66)+100</f>
        <v>100</v>
      </c>
      <c r="I10" s="423" t="s">
        <v>3132</v>
      </c>
      <c r="J10" s="136">
        <f>SUMIF(65:65,I10,66:66)-SUMIF(65:65,C10,66:66)+100</f>
        <v>100</v>
      </c>
      <c r="K10" s="612"/>
      <c r="L10" s="1137"/>
      <c r="M10" s="1138"/>
      <c r="N10" s="1138"/>
      <c r="O10" s="1138"/>
      <c r="P10" s="3220"/>
      <c r="Q10" s="2976" t="str">
        <f t="shared" si="6"/>
        <v>土地使用年限（年）</v>
      </c>
      <c r="R10" s="770" t="s">
        <v>17</v>
      </c>
      <c r="S10" s="771">
        <f t="shared" si="0"/>
        <v>100</v>
      </c>
      <c r="T10" s="770" t="s">
        <v>17</v>
      </c>
      <c r="U10" s="771">
        <f t="shared" si="1"/>
        <v>100</v>
      </c>
      <c r="V10" s="770" t="s">
        <v>17</v>
      </c>
      <c r="W10" s="771">
        <f t="shared" si="2"/>
        <v>100</v>
      </c>
      <c r="X10" s="772"/>
      <c r="Y10" s="3074"/>
      <c r="Z10" s="2977" t="str">
        <f t="shared" si="7"/>
        <v>土地使用年限（年）</v>
      </c>
      <c r="AA10" s="773">
        <f t="shared" si="3"/>
        <v>1</v>
      </c>
      <c r="AB10" s="773">
        <f t="shared" si="4"/>
        <v>1</v>
      </c>
      <c r="AC10" s="773">
        <f t="shared" si="5"/>
        <v>1</v>
      </c>
    </row>
    <row r="11" spans="1:29" ht="15.75" thickBot="1">
      <c r="A11" s="428"/>
      <c r="B11" s="2978" t="s">
        <v>2559</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220"/>
      <c r="Q11" s="2976" t="str">
        <f t="shared" si="6"/>
        <v>容积率</v>
      </c>
      <c r="R11" s="770" t="s">
        <v>17</v>
      </c>
      <c r="S11" s="771">
        <f t="shared" si="0"/>
        <v>100</v>
      </c>
      <c r="T11" s="770" t="s">
        <v>17</v>
      </c>
      <c r="U11" s="771">
        <f t="shared" si="1"/>
        <v>100</v>
      </c>
      <c r="V11" s="770" t="s">
        <v>17</v>
      </c>
      <c r="W11" s="771">
        <f t="shared" si="2"/>
        <v>100</v>
      </c>
      <c r="X11" s="772"/>
      <c r="Y11" s="3074"/>
      <c r="Z11" s="2977" t="str">
        <f t="shared" si="7"/>
        <v>容积率</v>
      </c>
      <c r="AA11" s="773">
        <f t="shared" si="3"/>
        <v>1</v>
      </c>
      <c r="AB11" s="773">
        <f t="shared" si="4"/>
        <v>1</v>
      </c>
      <c r="AC11" s="773">
        <f t="shared" si="5"/>
        <v>1</v>
      </c>
    </row>
    <row r="12" spans="1:29" s="117" customFormat="1" ht="15.75" hidden="1" thickBot="1">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20"/>
      <c r="Q12" s="2976">
        <f t="shared" si="6"/>
        <v>111</v>
      </c>
      <c r="R12" s="770" t="s">
        <v>17</v>
      </c>
      <c r="S12" s="771">
        <f t="shared" si="0"/>
        <v>100</v>
      </c>
      <c r="T12" s="770" t="s">
        <v>17</v>
      </c>
      <c r="U12" s="771">
        <f t="shared" si="1"/>
        <v>100</v>
      </c>
      <c r="V12" s="770" t="s">
        <v>17</v>
      </c>
      <c r="W12" s="771">
        <f t="shared" si="2"/>
        <v>100</v>
      </c>
      <c r="X12" s="772"/>
      <c r="Y12" s="3074"/>
      <c r="Z12" s="2977">
        <f t="shared" si="7"/>
        <v>111</v>
      </c>
      <c r="AA12" s="773">
        <f>D12/F12</f>
        <v>1</v>
      </c>
      <c r="AB12" s="773">
        <f>D12/H12</f>
        <v>1</v>
      </c>
      <c r="AC12" s="773">
        <f>D12/J12</f>
        <v>1</v>
      </c>
    </row>
    <row r="13" spans="1:29" ht="15.75" hidden="1" thickBot="1">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20"/>
      <c r="Q13" s="2976">
        <f t="shared" si="6"/>
        <v>111</v>
      </c>
      <c r="R13" s="770" t="s">
        <v>17</v>
      </c>
      <c r="S13" s="771">
        <f t="shared" si="0"/>
        <v>100</v>
      </c>
      <c r="T13" s="770" t="s">
        <v>17</v>
      </c>
      <c r="U13" s="771">
        <f t="shared" si="1"/>
        <v>100</v>
      </c>
      <c r="V13" s="770" t="s">
        <v>17</v>
      </c>
      <c r="W13" s="771">
        <f t="shared" si="2"/>
        <v>100</v>
      </c>
      <c r="X13" s="772"/>
      <c r="Y13" s="3074"/>
      <c r="Z13" s="2977">
        <f t="shared" si="7"/>
        <v>111</v>
      </c>
      <c r="AA13" s="773">
        <f t="shared" si="3"/>
        <v>1</v>
      </c>
      <c r="AB13" s="773">
        <f t="shared" si="4"/>
        <v>1</v>
      </c>
      <c r="AC13" s="773">
        <f t="shared" si="5"/>
        <v>1</v>
      </c>
    </row>
    <row r="14" spans="1:29" ht="15.75" hidden="1"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20"/>
      <c r="Q14" s="2976">
        <f t="shared" si="6"/>
        <v>111</v>
      </c>
      <c r="R14" s="770" t="s">
        <v>17</v>
      </c>
      <c r="S14" s="771">
        <f t="shared" si="0"/>
        <v>100</v>
      </c>
      <c r="T14" s="770" t="s">
        <v>17</v>
      </c>
      <c r="U14" s="771">
        <f t="shared" si="1"/>
        <v>100</v>
      </c>
      <c r="V14" s="770" t="s">
        <v>17</v>
      </c>
      <c r="W14" s="771">
        <f t="shared" si="2"/>
        <v>100</v>
      </c>
      <c r="X14" s="772"/>
      <c r="Y14" s="3074"/>
      <c r="Z14" s="2977">
        <f t="shared" si="7"/>
        <v>111</v>
      </c>
      <c r="AA14" s="773">
        <f t="shared" si="3"/>
        <v>1</v>
      </c>
      <c r="AB14" s="773">
        <f t="shared" si="4"/>
        <v>1</v>
      </c>
      <c r="AC14" s="773">
        <f t="shared" si="5"/>
        <v>1</v>
      </c>
    </row>
    <row r="15" spans="1:29" ht="92.25" customHeight="1">
      <c r="A15" s="440" t="s">
        <v>2560</v>
      </c>
      <c r="B15" s="69" t="s">
        <v>2654</v>
      </c>
      <c r="C15" s="2604" t="str">
        <f>估价对象房地状况!C4</f>
        <v>估价对象位于朝青商圈，周边商业氛围一般，有红星美凯龙等购物场所，人流量一般，商业繁华度一般。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41" t="s">
        <v>2561</v>
      </c>
      <c r="Q15" s="2982" t="str">
        <f t="shared" si="6"/>
        <v>商业繁华度</v>
      </c>
      <c r="R15" s="774" t="s">
        <v>17</v>
      </c>
      <c r="S15" s="775">
        <f t="shared" si="0"/>
        <v>100</v>
      </c>
      <c r="T15" s="774" t="s">
        <v>17</v>
      </c>
      <c r="U15" s="775">
        <f t="shared" si="1"/>
        <v>100</v>
      </c>
      <c r="V15" s="774" t="s">
        <v>17</v>
      </c>
      <c r="W15" s="775">
        <f t="shared" si="2"/>
        <v>100</v>
      </c>
      <c r="X15" s="2979"/>
      <c r="Y15" s="3243" t="s">
        <v>2561</v>
      </c>
      <c r="Z15" s="2980" t="str">
        <f t="shared" si="7"/>
        <v>商业繁华度</v>
      </c>
      <c r="AA15" s="2983">
        <f t="shared" si="3"/>
        <v>1</v>
      </c>
      <c r="AB15" s="2983">
        <f t="shared" si="4"/>
        <v>1</v>
      </c>
      <c r="AC15" s="2983">
        <f t="shared" si="5"/>
        <v>1</v>
      </c>
    </row>
    <row r="16" spans="1:29" ht="15">
      <c r="A16" s="428"/>
      <c r="B16" s="446"/>
      <c r="C16" s="447" t="s">
        <v>3202</v>
      </c>
      <c r="D16" s="448"/>
      <c r="E16" s="447" t="s">
        <v>3202</v>
      </c>
      <c r="F16" s="449"/>
      <c r="G16" s="447" t="s">
        <v>3202</v>
      </c>
      <c r="H16" s="450"/>
      <c r="I16" s="447" t="s">
        <v>3202</v>
      </c>
      <c r="J16" s="448"/>
      <c r="K16" s="615"/>
      <c r="L16" s="1142"/>
      <c r="M16" s="1133"/>
      <c r="N16" s="1133"/>
      <c r="O16" s="1133"/>
      <c r="P16" s="3242"/>
      <c r="Q16" s="2982"/>
      <c r="R16" s="774"/>
      <c r="S16" s="775"/>
      <c r="T16" s="774"/>
      <c r="U16" s="775"/>
      <c r="V16" s="774"/>
      <c r="W16" s="775"/>
      <c r="X16" s="2979"/>
      <c r="Y16" s="3244"/>
      <c r="Z16" s="2980"/>
      <c r="AA16" s="2983">
        <v>1</v>
      </c>
      <c r="AB16" s="2983">
        <v>1</v>
      </c>
      <c r="AC16" s="2983">
        <v>1</v>
      </c>
    </row>
    <row r="17" spans="1:29" ht="142.5">
      <c r="A17" s="428"/>
      <c r="B17" s="451" t="s">
        <v>2098</v>
      </c>
      <c r="C17" s="2608" t="str">
        <f>估价对象房地状况!C6</f>
        <v>估价对象周边道路较为密集，公共交通通达情况较好，1公里内有350路、411路及地铁1号线等公共交通，停车便捷程度较好，综合评价交通便捷度较好。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42"/>
      <c r="Q17" s="2982" t="str">
        <f>B17</f>
        <v>交通便捷度</v>
      </c>
      <c r="R17" s="774" t="s">
        <v>17</v>
      </c>
      <c r="S17" s="775">
        <f>F17</f>
        <v>100</v>
      </c>
      <c r="T17" s="774" t="s">
        <v>17</v>
      </c>
      <c r="U17" s="775">
        <f>H17</f>
        <v>100</v>
      </c>
      <c r="V17" s="774" t="s">
        <v>17</v>
      </c>
      <c r="W17" s="775">
        <f>J17</f>
        <v>100</v>
      </c>
      <c r="X17" s="2979"/>
      <c r="Y17" s="3244"/>
      <c r="Z17" s="2980" t="str">
        <f>Q17</f>
        <v>交通便捷度</v>
      </c>
      <c r="AA17" s="2983">
        <f t="shared" si="3"/>
        <v>1</v>
      </c>
      <c r="AB17" s="2983">
        <f t="shared" si="4"/>
        <v>1</v>
      </c>
      <c r="AC17" s="2983">
        <f t="shared" si="5"/>
        <v>1</v>
      </c>
    </row>
    <row r="18" spans="1:29" ht="15">
      <c r="A18" s="428"/>
      <c r="B18" s="456"/>
      <c r="C18" s="2609" t="s">
        <v>3140</v>
      </c>
      <c r="D18" s="450"/>
      <c r="E18" s="2609" t="s">
        <v>3140</v>
      </c>
      <c r="F18" s="453"/>
      <c r="G18" s="2609" t="s">
        <v>3140</v>
      </c>
      <c r="H18" s="448"/>
      <c r="I18" s="2609" t="s">
        <v>3140</v>
      </c>
      <c r="J18" s="448"/>
      <c r="K18" s="615"/>
      <c r="L18" s="1142"/>
      <c r="M18" s="1133"/>
      <c r="N18" s="1133"/>
      <c r="O18" s="1133"/>
      <c r="P18" s="3242"/>
      <c r="Q18" s="2982"/>
      <c r="R18" s="774"/>
      <c r="S18" s="775"/>
      <c r="T18" s="774"/>
      <c r="U18" s="775"/>
      <c r="V18" s="774"/>
      <c r="W18" s="775"/>
      <c r="X18" s="2979"/>
      <c r="Y18" s="3244"/>
      <c r="Z18" s="2980"/>
      <c r="AA18" s="2983">
        <v>1</v>
      </c>
      <c r="AB18" s="2983">
        <v>1</v>
      </c>
      <c r="AC18" s="2983">
        <v>1</v>
      </c>
    </row>
    <row r="19" spans="1:29" ht="185.25">
      <c r="A19" s="428"/>
      <c r="B19" s="451" t="s">
        <v>2655</v>
      </c>
      <c r="C19" s="2608" t="str">
        <f>估价对象房地状况!C7</f>
        <v>估价对象所在区域1公里范围内，有银行（中国工商银行、中国银行），购物（卜蜂莲花、物美超市），医院（民航总医院），学校（朝阳区兴隆小学、星河实验学校）等，公共配套设施齐备情况较好。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42"/>
      <c r="Q19" s="2982" t="str">
        <f>B19</f>
        <v>公共配套设施</v>
      </c>
      <c r="R19" s="774" t="s">
        <v>17</v>
      </c>
      <c r="S19" s="775">
        <f>F19</f>
        <v>100</v>
      </c>
      <c r="T19" s="774" t="s">
        <v>17</v>
      </c>
      <c r="U19" s="775">
        <f>H19</f>
        <v>100</v>
      </c>
      <c r="V19" s="774" t="s">
        <v>17</v>
      </c>
      <c r="W19" s="775">
        <f>J19</f>
        <v>100</v>
      </c>
      <c r="X19" s="2979"/>
      <c r="Y19" s="3244"/>
      <c r="Z19" s="2980" t="str">
        <f>Q19</f>
        <v>公共配套设施</v>
      </c>
      <c r="AA19" s="2983">
        <f t="shared" si="3"/>
        <v>1</v>
      </c>
      <c r="AB19" s="2983">
        <f t="shared" si="4"/>
        <v>1</v>
      </c>
      <c r="AC19" s="2983">
        <f t="shared" si="5"/>
        <v>1</v>
      </c>
    </row>
    <row r="20" spans="1:29" ht="15">
      <c r="A20" s="428"/>
      <c r="B20" s="456"/>
      <c r="C20" s="447" t="s">
        <v>3140</v>
      </c>
      <c r="D20" s="448"/>
      <c r="E20" s="447" t="s">
        <v>3140</v>
      </c>
      <c r="F20" s="449"/>
      <c r="G20" s="447" t="s">
        <v>3140</v>
      </c>
      <c r="H20" s="448"/>
      <c r="I20" s="447" t="s">
        <v>3140</v>
      </c>
      <c r="J20" s="448"/>
      <c r="K20" s="615"/>
      <c r="L20" s="1142"/>
      <c r="M20" s="1133"/>
      <c r="N20" s="1133"/>
      <c r="O20" s="1133"/>
      <c r="P20" s="3242"/>
      <c r="Q20" s="2982"/>
      <c r="R20" s="774"/>
      <c r="S20" s="775"/>
      <c r="T20" s="774"/>
      <c r="U20" s="775"/>
      <c r="V20" s="774"/>
      <c r="W20" s="775"/>
      <c r="X20" s="2979"/>
      <c r="Y20" s="3244"/>
      <c r="Z20" s="2980"/>
      <c r="AA20" s="2983">
        <v>1</v>
      </c>
      <c r="AB20" s="2983">
        <v>1</v>
      </c>
      <c r="AC20" s="2983">
        <v>1</v>
      </c>
    </row>
    <row r="21" spans="1:29" ht="42.75">
      <c r="A21" s="428"/>
      <c r="B21" s="1386" t="s">
        <v>2656</v>
      </c>
      <c r="C21" s="2608"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42"/>
      <c r="Q21" s="2982" t="str">
        <f>B21</f>
        <v>基础设施水平</v>
      </c>
      <c r="R21" s="774" t="s">
        <v>17</v>
      </c>
      <c r="S21" s="775">
        <f>F21</f>
        <v>100</v>
      </c>
      <c r="T21" s="774" t="s">
        <v>17</v>
      </c>
      <c r="U21" s="775">
        <f>H21</f>
        <v>100</v>
      </c>
      <c r="V21" s="774" t="s">
        <v>17</v>
      </c>
      <c r="W21" s="775">
        <f>J21</f>
        <v>100</v>
      </c>
      <c r="X21" s="2979"/>
      <c r="Y21" s="3244"/>
      <c r="Z21" s="2980" t="str">
        <f>Q21</f>
        <v>基础设施水平</v>
      </c>
      <c r="AA21" s="2983">
        <f t="shared" ref="AA21" si="8">D21/F21</f>
        <v>1</v>
      </c>
      <c r="AB21" s="2983">
        <f t="shared" ref="AB21" si="9">D21/H21</f>
        <v>1</v>
      </c>
      <c r="AC21" s="2983">
        <f t="shared" ref="AC21" si="10">D21/J21</f>
        <v>1</v>
      </c>
    </row>
    <row r="22" spans="1:29" ht="15">
      <c r="A22" s="428"/>
      <c r="B22" s="1386"/>
      <c r="C22" s="2609" t="s">
        <v>3141</v>
      </c>
      <c r="D22" s="448"/>
      <c r="E22" s="2609" t="s">
        <v>3141</v>
      </c>
      <c r="F22" s="449"/>
      <c r="G22" s="2609" t="s">
        <v>3141</v>
      </c>
      <c r="H22" s="448"/>
      <c r="I22" s="2609" t="s">
        <v>3141</v>
      </c>
      <c r="J22" s="448"/>
      <c r="K22" s="1385"/>
      <c r="L22" s="1142"/>
      <c r="M22" s="1133"/>
      <c r="N22" s="1133"/>
      <c r="O22" s="1133"/>
      <c r="P22" s="3242"/>
      <c r="Q22" s="2982"/>
      <c r="R22" s="774"/>
      <c r="S22" s="775"/>
      <c r="T22" s="774"/>
      <c r="U22" s="775"/>
      <c r="V22" s="774"/>
      <c r="W22" s="775"/>
      <c r="X22" s="2979"/>
      <c r="Y22" s="3244"/>
      <c r="Z22" s="2980"/>
      <c r="AA22" s="2983">
        <v>1</v>
      </c>
      <c r="AB22" s="2983">
        <v>1</v>
      </c>
      <c r="AC22" s="2983">
        <v>1</v>
      </c>
    </row>
    <row r="23" spans="1:29" ht="71.25">
      <c r="A23" s="428"/>
      <c r="B23" s="451" t="s">
        <v>2103</v>
      </c>
      <c r="C23" s="2665" t="str">
        <f>估价对象房地状况!C9</f>
        <v>区域自然环境：兴隆公园；人文环境：中国传媒大学；综合评价环境状况较好。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42"/>
      <c r="Q23" s="2982" t="str">
        <f>B23</f>
        <v>自然及人文环境</v>
      </c>
      <c r="R23" s="774" t="s">
        <v>17</v>
      </c>
      <c r="S23" s="775">
        <f>F23</f>
        <v>100</v>
      </c>
      <c r="T23" s="774" t="s">
        <v>17</v>
      </c>
      <c r="U23" s="775">
        <f>H23</f>
        <v>100</v>
      </c>
      <c r="V23" s="774" t="s">
        <v>17</v>
      </c>
      <c r="W23" s="775">
        <f>J23</f>
        <v>100</v>
      </c>
      <c r="X23" s="2979"/>
      <c r="Y23" s="3244"/>
      <c r="Z23" s="2980" t="str">
        <f>Q23</f>
        <v>自然及人文环境</v>
      </c>
      <c r="AA23" s="2983">
        <f t="shared" si="3"/>
        <v>1</v>
      </c>
      <c r="AB23" s="2983">
        <f t="shared" si="4"/>
        <v>1</v>
      </c>
      <c r="AC23" s="2983">
        <f t="shared" si="5"/>
        <v>1</v>
      </c>
    </row>
    <row r="24" spans="1:29" ht="15">
      <c r="A24" s="428"/>
      <c r="B24" s="456"/>
      <c r="C24" s="447" t="s">
        <v>3140</v>
      </c>
      <c r="D24" s="448"/>
      <c r="E24" s="447" t="s">
        <v>3140</v>
      </c>
      <c r="F24" s="449"/>
      <c r="G24" s="447" t="s">
        <v>3140</v>
      </c>
      <c r="H24" s="448"/>
      <c r="I24" s="447" t="s">
        <v>3140</v>
      </c>
      <c r="J24" s="448"/>
      <c r="K24" s="615"/>
      <c r="L24" s="1142"/>
      <c r="M24" s="1133"/>
      <c r="N24" s="1133"/>
      <c r="O24" s="1133"/>
      <c r="P24" s="3242"/>
      <c r="Q24" s="2982"/>
      <c r="R24" s="774"/>
      <c r="S24" s="775"/>
      <c r="T24" s="774"/>
      <c r="U24" s="775"/>
      <c r="V24" s="774"/>
      <c r="W24" s="775"/>
      <c r="X24" s="2979"/>
      <c r="Y24" s="3244"/>
      <c r="Z24" s="2980"/>
      <c r="AA24" s="2983">
        <v>1</v>
      </c>
      <c r="AB24" s="2983">
        <v>1</v>
      </c>
      <c r="AC24" s="2983">
        <v>1</v>
      </c>
    </row>
    <row r="25" spans="1:29" ht="15">
      <c r="A25" s="428"/>
      <c r="B25" s="2978" t="s">
        <v>2657</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42"/>
      <c r="Q25" s="2982" t="str">
        <f t="shared" ref="Q25:Q46" si="11">B25</f>
        <v>临街状况</v>
      </c>
      <c r="R25" s="774" t="s">
        <v>17</v>
      </c>
      <c r="S25" s="775">
        <f>F25</f>
        <v>100</v>
      </c>
      <c r="T25" s="774" t="s">
        <v>17</v>
      </c>
      <c r="U25" s="775">
        <f>H25</f>
        <v>100</v>
      </c>
      <c r="V25" s="774" t="s">
        <v>17</v>
      </c>
      <c r="W25" s="775">
        <f>J25</f>
        <v>100</v>
      </c>
      <c r="X25" s="2979"/>
      <c r="Y25" s="3244"/>
      <c r="Z25" s="2980" t="str">
        <f>Q25</f>
        <v>临街状况</v>
      </c>
      <c r="AA25" s="2983">
        <f t="shared" si="3"/>
        <v>1</v>
      </c>
      <c r="AB25" s="2983">
        <f t="shared" si="4"/>
        <v>1</v>
      </c>
      <c r="AC25" s="2983">
        <f t="shared" si="5"/>
        <v>1</v>
      </c>
    </row>
    <row r="26" spans="1:29" ht="15">
      <c r="A26" s="428"/>
      <c r="B26" s="1388" t="s">
        <v>2658</v>
      </c>
      <c r="C26" s="2998" t="s">
        <v>3237</v>
      </c>
      <c r="D26" s="435">
        <v>100</v>
      </c>
      <c r="E26" s="2998" t="s">
        <v>3237</v>
      </c>
      <c r="F26" s="461">
        <f>SUMIF(88:88,E26,89:89)-SUMIF(88:88,C26,89:89)+100</f>
        <v>100</v>
      </c>
      <c r="G26" s="2998" t="s">
        <v>3236</v>
      </c>
      <c r="H26" s="435">
        <f>SUMIF(88:88,G26,89:89)-SUMIF(88:88,C26,89:89)+100</f>
        <v>103</v>
      </c>
      <c r="I26" s="2998" t="s">
        <v>3237</v>
      </c>
      <c r="J26" s="435">
        <f>SUMIF(88:88,I26,89:89)-SUMIF(88:88,C26,89:89)+100</f>
        <v>100</v>
      </c>
      <c r="K26" s="613"/>
      <c r="L26" s="1142"/>
      <c r="M26" s="1133"/>
      <c r="N26" s="1133"/>
      <c r="O26" s="1133"/>
      <c r="P26" s="3242"/>
      <c r="Q26" s="2982" t="str">
        <f t="shared" si="11"/>
        <v>平面位置/可视性</v>
      </c>
      <c r="R26" s="774" t="s">
        <v>17</v>
      </c>
      <c r="S26" s="775">
        <f>F26</f>
        <v>100</v>
      </c>
      <c r="T26" s="774" t="s">
        <v>17</v>
      </c>
      <c r="U26" s="775">
        <f>H26</f>
        <v>103</v>
      </c>
      <c r="V26" s="774" t="s">
        <v>17</v>
      </c>
      <c r="W26" s="775">
        <f>J26</f>
        <v>100</v>
      </c>
      <c r="X26" s="2979"/>
      <c r="Y26" s="3244"/>
      <c r="Z26" s="2980" t="str">
        <f>Q26</f>
        <v>平面位置/可视性</v>
      </c>
      <c r="AA26" s="2983">
        <f t="shared" si="3"/>
        <v>1</v>
      </c>
      <c r="AB26" s="2983">
        <f t="shared" si="4"/>
        <v>0.970873786407767</v>
      </c>
      <c r="AC26" s="2983">
        <f t="shared" si="5"/>
        <v>1</v>
      </c>
    </row>
    <row r="27" spans="1:29" s="117" customFormat="1" ht="15">
      <c r="A27" s="431"/>
      <c r="B27" s="451" t="s">
        <v>2659</v>
      </c>
      <c r="C27" s="2666"/>
      <c r="D27" s="462">
        <v>100</v>
      </c>
      <c r="E27" s="2666"/>
      <c r="F27" s="464">
        <f>SUMIF(90:90,E27,91:91)-SUMIF(90:90,C27,91:91)+100</f>
        <v>100</v>
      </c>
      <c r="G27" s="2666"/>
      <c r="H27" s="462">
        <f>SUMIF(90:90,G27,91:91)-SUMIF(90:90,C27,91:91)+100</f>
        <v>100</v>
      </c>
      <c r="I27" s="2666"/>
      <c r="J27" s="462">
        <f>SUMIF(90:90,I27,91:91)-SUMIF(90:90,C27,91:91)+100</f>
        <v>100</v>
      </c>
      <c r="K27" s="612"/>
      <c r="L27" s="1134"/>
      <c r="M27" s="1135"/>
      <c r="N27" s="1135"/>
      <c r="O27" s="1135"/>
      <c r="P27" s="3242"/>
      <c r="Q27" s="2976" t="str">
        <f t="shared" si="11"/>
        <v>人流量</v>
      </c>
      <c r="R27" s="770" t="s">
        <v>17</v>
      </c>
      <c r="S27" s="771">
        <f>F27</f>
        <v>100</v>
      </c>
      <c r="T27" s="770" t="s">
        <v>17</v>
      </c>
      <c r="U27" s="771">
        <f>H27</f>
        <v>100</v>
      </c>
      <c r="V27" s="770" t="s">
        <v>17</v>
      </c>
      <c r="W27" s="771">
        <f>J27</f>
        <v>100</v>
      </c>
      <c r="X27" s="772"/>
      <c r="Y27" s="3244"/>
      <c r="Z27" s="2977" t="str">
        <f>Q27</f>
        <v>人流量</v>
      </c>
      <c r="AA27" s="2983">
        <f>D27/F27</f>
        <v>1</v>
      </c>
      <c r="AB27" s="2983">
        <f>D27/H27</f>
        <v>1</v>
      </c>
      <c r="AC27" s="2983">
        <f>D27/J27</f>
        <v>1</v>
      </c>
    </row>
    <row r="28" spans="1:29" ht="15.75" thickBot="1">
      <c r="A28" s="428"/>
      <c r="B28" s="2978" t="s">
        <v>2660</v>
      </c>
      <c r="C28" s="616" t="s">
        <v>3218</v>
      </c>
      <c r="D28" s="435">
        <v>100</v>
      </c>
      <c r="E28" s="616" t="s">
        <v>3229</v>
      </c>
      <c r="F28" s="461">
        <f>SUMIF(92:92,E28,93:93)-SUMIF(92:92,C28,93:93)+100</f>
        <v>85</v>
      </c>
      <c r="G28" s="616" t="s">
        <v>3229</v>
      </c>
      <c r="H28" s="435">
        <f>SUMIF(92:92,G28,93:93)-SUMIF(92:92,C28,93:93)+100</f>
        <v>85</v>
      </c>
      <c r="I28" s="616" t="s">
        <v>3229</v>
      </c>
      <c r="J28" s="435">
        <f>SUMIF(92:92,I28,93:93)-SUMIF(92:92,C28,93:93)+100</f>
        <v>85</v>
      </c>
      <c r="K28" s="613"/>
      <c r="L28" s="1142"/>
      <c r="M28" s="1133"/>
      <c r="N28" s="1133"/>
      <c r="O28" s="1133"/>
      <c r="P28" s="3242"/>
      <c r="Q28" s="2982" t="str">
        <f t="shared" si="11"/>
        <v>楼层</v>
      </c>
      <c r="R28" s="774" t="s">
        <v>17</v>
      </c>
      <c r="S28" s="775">
        <f t="shared" ref="S28:S46" si="12">F28</f>
        <v>85</v>
      </c>
      <c r="T28" s="774" t="s">
        <v>17</v>
      </c>
      <c r="U28" s="775">
        <f t="shared" ref="U28:U46" si="13">H28</f>
        <v>85</v>
      </c>
      <c r="V28" s="774" t="s">
        <v>17</v>
      </c>
      <c r="W28" s="775">
        <f t="shared" ref="W28:W46" si="14">J28</f>
        <v>85</v>
      </c>
      <c r="X28" s="2979"/>
      <c r="Y28" s="3244"/>
      <c r="Z28" s="2980" t="str">
        <f t="shared" ref="Z28:Z46" si="15">Q28</f>
        <v>楼层</v>
      </c>
      <c r="AA28" s="2983">
        <f t="shared" si="3"/>
        <v>1.1764705882352942</v>
      </c>
      <c r="AB28" s="2983">
        <f t="shared" si="4"/>
        <v>1.1764705882352942</v>
      </c>
      <c r="AC28" s="2983">
        <f t="shared" si="5"/>
        <v>1.1764705882352942</v>
      </c>
    </row>
    <row r="29" spans="1:29" ht="15.75" hidden="1" thickBot="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42"/>
      <c r="Q29" s="2982">
        <f t="shared" si="11"/>
        <v>111</v>
      </c>
      <c r="R29" s="774" t="s">
        <v>17</v>
      </c>
      <c r="S29" s="775">
        <f t="shared" si="12"/>
        <v>100</v>
      </c>
      <c r="T29" s="774" t="s">
        <v>17</v>
      </c>
      <c r="U29" s="775">
        <f t="shared" si="13"/>
        <v>100</v>
      </c>
      <c r="V29" s="774" t="s">
        <v>17</v>
      </c>
      <c r="W29" s="775">
        <f t="shared" si="14"/>
        <v>100</v>
      </c>
      <c r="X29" s="2979"/>
      <c r="Y29" s="3244"/>
      <c r="Z29" s="2980">
        <f t="shared" si="15"/>
        <v>111</v>
      </c>
      <c r="AA29" s="2983">
        <f t="shared" si="3"/>
        <v>1</v>
      </c>
      <c r="AB29" s="2983">
        <f t="shared" si="4"/>
        <v>1</v>
      </c>
      <c r="AC29" s="2983">
        <f t="shared" si="5"/>
        <v>1</v>
      </c>
    </row>
    <row r="30" spans="1:29" ht="15.75" hidden="1" thickBot="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42"/>
      <c r="Q30" s="2982">
        <f t="shared" si="11"/>
        <v>111</v>
      </c>
      <c r="R30" s="774" t="s">
        <v>17</v>
      </c>
      <c r="S30" s="775">
        <f t="shared" si="12"/>
        <v>100</v>
      </c>
      <c r="T30" s="774" t="s">
        <v>17</v>
      </c>
      <c r="U30" s="775">
        <f t="shared" si="13"/>
        <v>100</v>
      </c>
      <c r="V30" s="774" t="s">
        <v>17</v>
      </c>
      <c r="W30" s="775">
        <f t="shared" si="14"/>
        <v>100</v>
      </c>
      <c r="X30" s="2979"/>
      <c r="Y30" s="3244"/>
      <c r="Z30" s="2980">
        <f t="shared" si="15"/>
        <v>111</v>
      </c>
      <c r="AA30" s="2983">
        <f t="shared" si="3"/>
        <v>1</v>
      </c>
      <c r="AB30" s="2983">
        <f t="shared" si="4"/>
        <v>1</v>
      </c>
      <c r="AC30" s="2983">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42"/>
      <c r="Q31" s="2982">
        <f t="shared" si="11"/>
        <v>111</v>
      </c>
      <c r="R31" s="774" t="s">
        <v>17</v>
      </c>
      <c r="S31" s="775">
        <f t="shared" si="12"/>
        <v>100</v>
      </c>
      <c r="T31" s="774" t="s">
        <v>17</v>
      </c>
      <c r="U31" s="775">
        <f t="shared" si="13"/>
        <v>100</v>
      </c>
      <c r="V31" s="774" t="s">
        <v>17</v>
      </c>
      <c r="W31" s="775">
        <f t="shared" si="14"/>
        <v>100</v>
      </c>
      <c r="X31" s="2979"/>
      <c r="Y31" s="3244"/>
      <c r="Z31" s="2980">
        <f t="shared" si="15"/>
        <v>111</v>
      </c>
      <c r="AA31" s="2983">
        <f t="shared" si="3"/>
        <v>1</v>
      </c>
      <c r="AB31" s="2983">
        <f t="shared" si="4"/>
        <v>1</v>
      </c>
      <c r="AC31" s="2983">
        <f t="shared" si="5"/>
        <v>1</v>
      </c>
    </row>
    <row r="32" spans="1:29" ht="15">
      <c r="A32" s="440" t="s">
        <v>2564</v>
      </c>
      <c r="B32" s="71" t="s">
        <v>2661</v>
      </c>
      <c r="C32" s="2618" t="s">
        <v>3200</v>
      </c>
      <c r="D32" s="467">
        <v>100</v>
      </c>
      <c r="E32" s="2618" t="s">
        <v>3200</v>
      </c>
      <c r="F32" s="461">
        <f>SUMIF(100:100,E32,101:101)-SUMIF(100:100,C32,101:101)+100</f>
        <v>100</v>
      </c>
      <c r="G32" s="2618" t="s">
        <v>3231</v>
      </c>
      <c r="H32" s="435">
        <f>SUMIF(100:100,G32,101:101)-SUMIF(100:100,C32,101:101)+100</f>
        <v>102</v>
      </c>
      <c r="I32" s="2618" t="s">
        <v>3198</v>
      </c>
      <c r="J32" s="467">
        <f>SUMIF(100:100,I32,101:101)-SUMIF(100:100,C32,101:101)+100</f>
        <v>98</v>
      </c>
      <c r="K32" s="612">
        <v>2</v>
      </c>
      <c r="L32" s="1142"/>
      <c r="M32" s="1133"/>
      <c r="N32" s="1133"/>
      <c r="O32" s="1133"/>
      <c r="P32" s="3245" t="s">
        <v>2566</v>
      </c>
      <c r="Q32" s="2982" t="str">
        <f t="shared" si="11"/>
        <v>商业类型</v>
      </c>
      <c r="R32" s="774" t="s">
        <v>17</v>
      </c>
      <c r="S32" s="775">
        <f t="shared" si="12"/>
        <v>100</v>
      </c>
      <c r="T32" s="774" t="s">
        <v>17</v>
      </c>
      <c r="U32" s="775">
        <f t="shared" si="13"/>
        <v>102</v>
      </c>
      <c r="V32" s="774" t="s">
        <v>17</v>
      </c>
      <c r="W32" s="775">
        <f t="shared" si="14"/>
        <v>98</v>
      </c>
      <c r="X32" s="2979"/>
      <c r="Y32" s="3248" t="s">
        <v>2566</v>
      </c>
      <c r="Z32" s="2980" t="str">
        <f t="shared" si="15"/>
        <v>商业类型</v>
      </c>
      <c r="AA32" s="2983">
        <f t="shared" si="3"/>
        <v>1</v>
      </c>
      <c r="AB32" s="2983">
        <f t="shared" si="4"/>
        <v>0.98039215686274506</v>
      </c>
      <c r="AC32" s="2983">
        <f t="shared" si="5"/>
        <v>1.0204081632653061</v>
      </c>
    </row>
    <row r="33" spans="1:29" s="471" customFormat="1" ht="15">
      <c r="A33" s="468"/>
      <c r="B33" s="2978" t="s">
        <v>2567</v>
      </c>
      <c r="C33" s="469">
        <f>'数据-基础表'!K17</f>
        <v>3052.4</v>
      </c>
      <c r="D33" s="136">
        <v>100</v>
      </c>
      <c r="E33" s="430">
        <v>115</v>
      </c>
      <c r="F33" s="425">
        <f>LOOKUP(E33,103:103,104:104)-LOOKUP(C33,103:103,104:104)+100</f>
        <v>103</v>
      </c>
      <c r="G33" s="429">
        <v>1500</v>
      </c>
      <c r="H33" s="136">
        <f>LOOKUP(G33,103:103,104:104)-LOOKUP(C33,103:103,104:104)+100</f>
        <v>101</v>
      </c>
      <c r="I33" s="429">
        <v>75</v>
      </c>
      <c r="J33" s="136">
        <f>LOOKUP(I33,103:103,104:104)-LOOKUP(C33,103:103,104:104)+100</f>
        <v>104</v>
      </c>
      <c r="K33" s="613"/>
      <c r="L33" s="1140"/>
      <c r="M33" s="1143"/>
      <c r="N33" s="1143"/>
      <c r="O33" s="1143"/>
      <c r="P33" s="3246"/>
      <c r="Q33" s="776" t="str">
        <f t="shared" si="11"/>
        <v>项目建筑规模</v>
      </c>
      <c r="R33" s="777" t="s">
        <v>17</v>
      </c>
      <c r="S33" s="778">
        <f t="shared" si="12"/>
        <v>103</v>
      </c>
      <c r="T33" s="777" t="s">
        <v>17</v>
      </c>
      <c r="U33" s="778">
        <f t="shared" si="13"/>
        <v>101</v>
      </c>
      <c r="V33" s="777" t="s">
        <v>17</v>
      </c>
      <c r="W33" s="778">
        <f t="shared" si="14"/>
        <v>104</v>
      </c>
      <c r="X33" s="779"/>
      <c r="Y33" s="3248"/>
      <c r="Z33" s="780" t="str">
        <f t="shared" si="15"/>
        <v>项目建筑规模</v>
      </c>
      <c r="AA33" s="2983">
        <f t="shared" si="3"/>
        <v>0.970873786407767</v>
      </c>
      <c r="AB33" s="2983">
        <f t="shared" si="4"/>
        <v>0.99009900990099009</v>
      </c>
      <c r="AC33" s="2983">
        <f t="shared" si="5"/>
        <v>0.96153846153846156</v>
      </c>
    </row>
    <row r="34" spans="1:29" ht="15">
      <c r="A34" s="472"/>
      <c r="B34" s="2978" t="s">
        <v>2568</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2"/>
      <c r="M34" s="1133"/>
      <c r="N34" s="1133"/>
      <c r="O34" s="1133"/>
      <c r="P34" s="3246"/>
      <c r="Q34" s="2982" t="str">
        <f t="shared" si="11"/>
        <v>建筑结构</v>
      </c>
      <c r="R34" s="774" t="s">
        <v>17</v>
      </c>
      <c r="S34" s="775">
        <f t="shared" si="12"/>
        <v>100</v>
      </c>
      <c r="T34" s="774" t="s">
        <v>17</v>
      </c>
      <c r="U34" s="775">
        <f t="shared" si="13"/>
        <v>100</v>
      </c>
      <c r="V34" s="774" t="s">
        <v>17</v>
      </c>
      <c r="W34" s="775">
        <f t="shared" si="14"/>
        <v>100</v>
      </c>
      <c r="X34" s="2979"/>
      <c r="Y34" s="3248"/>
      <c r="Z34" s="2980" t="str">
        <f t="shared" si="15"/>
        <v>建筑结构</v>
      </c>
      <c r="AA34" s="2983">
        <f t="shared" si="3"/>
        <v>1</v>
      </c>
      <c r="AB34" s="2983">
        <f t="shared" si="4"/>
        <v>1</v>
      </c>
      <c r="AC34" s="2983">
        <f t="shared" si="5"/>
        <v>1</v>
      </c>
    </row>
    <row r="35" spans="1:29" ht="15">
      <c r="A35" s="472"/>
      <c r="B35" s="2978" t="s">
        <v>2662</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2"/>
      <c r="M35" s="1133"/>
      <c r="N35" s="1133"/>
      <c r="O35" s="1133"/>
      <c r="P35" s="3246"/>
      <c r="Q35" s="2982" t="str">
        <f t="shared" si="11"/>
        <v>公共部分装修</v>
      </c>
      <c r="R35" s="774" t="s">
        <v>17</v>
      </c>
      <c r="S35" s="775">
        <f t="shared" si="12"/>
        <v>100</v>
      </c>
      <c r="T35" s="774" t="s">
        <v>17</v>
      </c>
      <c r="U35" s="775">
        <f t="shared" si="13"/>
        <v>100</v>
      </c>
      <c r="V35" s="774" t="s">
        <v>17</v>
      </c>
      <c r="W35" s="775">
        <f t="shared" si="14"/>
        <v>100</v>
      </c>
      <c r="X35" s="2979"/>
      <c r="Y35" s="3248"/>
      <c r="Z35" s="2980" t="str">
        <f t="shared" si="15"/>
        <v>公共部分装修</v>
      </c>
      <c r="AA35" s="2983">
        <f t="shared" si="3"/>
        <v>1</v>
      </c>
      <c r="AB35" s="2983">
        <f t="shared" si="4"/>
        <v>1</v>
      </c>
      <c r="AC35" s="2983">
        <f t="shared" si="5"/>
        <v>1</v>
      </c>
    </row>
    <row r="36" spans="1:29" ht="15">
      <c r="A36" s="472"/>
      <c r="B36" s="2978" t="s">
        <v>2663</v>
      </c>
      <c r="C36" s="474">
        <f>'数据-取费表'!Y7</f>
        <v>0.85</v>
      </c>
      <c r="D36" s="435">
        <v>100</v>
      </c>
      <c r="E36" s="474">
        <v>0.85</v>
      </c>
      <c r="F36" s="461">
        <f>LOOKUP(E36,110:110,111:111)-LOOKUP(C36,110:110,111:111)+100</f>
        <v>100</v>
      </c>
      <c r="G36" s="474">
        <v>0.85</v>
      </c>
      <c r="H36" s="461">
        <f>LOOKUP(G36,110:110,111:111)-LOOKUP(C36,110:110,111:111)+100</f>
        <v>100</v>
      </c>
      <c r="I36" s="474">
        <v>0.85</v>
      </c>
      <c r="J36" s="435">
        <f>LOOKUP(I36,110:110,111:111)-LOOKUP(C36,110:110,111:111)+100</f>
        <v>100</v>
      </c>
      <c r="K36" s="612"/>
      <c r="L36" s="1142"/>
      <c r="M36" s="1133"/>
      <c r="N36" s="1133"/>
      <c r="O36" s="1133"/>
      <c r="P36" s="3246"/>
      <c r="Q36" s="2982" t="str">
        <f t="shared" si="11"/>
        <v>成新度</v>
      </c>
      <c r="R36" s="774" t="s">
        <v>17</v>
      </c>
      <c r="S36" s="775">
        <f t="shared" si="12"/>
        <v>100</v>
      </c>
      <c r="T36" s="774" t="s">
        <v>17</v>
      </c>
      <c r="U36" s="775">
        <f t="shared" si="13"/>
        <v>100</v>
      </c>
      <c r="V36" s="774" t="s">
        <v>17</v>
      </c>
      <c r="W36" s="775">
        <f t="shared" si="14"/>
        <v>100</v>
      </c>
      <c r="X36" s="2979"/>
      <c r="Y36" s="3248"/>
      <c r="Z36" s="2980" t="str">
        <f t="shared" si="15"/>
        <v>成新度</v>
      </c>
      <c r="AA36" s="2983">
        <f t="shared" si="3"/>
        <v>1</v>
      </c>
      <c r="AB36" s="2983">
        <f t="shared" si="4"/>
        <v>1</v>
      </c>
      <c r="AC36" s="2983">
        <f t="shared" si="5"/>
        <v>1</v>
      </c>
    </row>
    <row r="37" spans="1:29" s="117" customFormat="1" ht="15">
      <c r="A37" s="473"/>
      <c r="B37" s="2978" t="s">
        <v>2664</v>
      </c>
      <c r="C37" s="2614" t="s">
        <v>3241</v>
      </c>
      <c r="D37" s="136">
        <v>100</v>
      </c>
      <c r="E37" s="2614" t="s">
        <v>3239</v>
      </c>
      <c r="F37" s="461">
        <f>SUMIF(112:112,E37,113:113)-SUMIF(112:112,C37,113:113)+100</f>
        <v>101</v>
      </c>
      <c r="G37" s="2614" t="s">
        <v>3241</v>
      </c>
      <c r="H37" s="435">
        <f>SUMIF(112:112,G37,113:113)-SUMIF(112:112,C37,113:113)+100</f>
        <v>100</v>
      </c>
      <c r="I37" s="2614" t="s">
        <v>3239</v>
      </c>
      <c r="J37" s="435">
        <f>SUMIF(112:112,I37,113:113)-SUMIF(112:112,C37,113:113)+100</f>
        <v>101</v>
      </c>
      <c r="K37" s="612">
        <v>1</v>
      </c>
      <c r="L37" s="1134"/>
      <c r="M37" s="1135"/>
      <c r="N37" s="1135"/>
      <c r="O37" s="1135"/>
      <c r="P37" s="3246"/>
      <c r="Q37" s="2976" t="str">
        <f t="shared" si="11"/>
        <v>市政基础设施</v>
      </c>
      <c r="R37" s="770" t="s">
        <v>17</v>
      </c>
      <c r="S37" s="771">
        <f t="shared" si="12"/>
        <v>101</v>
      </c>
      <c r="T37" s="770" t="s">
        <v>17</v>
      </c>
      <c r="U37" s="771">
        <f t="shared" si="13"/>
        <v>100</v>
      </c>
      <c r="V37" s="770" t="s">
        <v>17</v>
      </c>
      <c r="W37" s="771">
        <f t="shared" si="14"/>
        <v>101</v>
      </c>
      <c r="X37" s="772"/>
      <c r="Y37" s="3248"/>
      <c r="Z37" s="2977" t="str">
        <f t="shared" si="15"/>
        <v>市政基础设施</v>
      </c>
      <c r="AA37" s="773">
        <f t="shared" si="3"/>
        <v>0.99009900990099009</v>
      </c>
      <c r="AB37" s="773">
        <f t="shared" si="4"/>
        <v>1</v>
      </c>
      <c r="AC37" s="773">
        <f t="shared" si="5"/>
        <v>0.99009900990099009</v>
      </c>
    </row>
    <row r="38" spans="1:29" ht="15">
      <c r="A38" s="472"/>
      <c r="B38" s="2978"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2"/>
      <c r="M38" s="1133"/>
      <c r="N38" s="1133"/>
      <c r="O38" s="1133"/>
      <c r="P38" s="3246" t="s">
        <v>2566</v>
      </c>
      <c r="Q38" s="2982" t="str">
        <f t="shared" si="11"/>
        <v>业态</v>
      </c>
      <c r="R38" s="774" t="s">
        <v>17</v>
      </c>
      <c r="S38" s="775">
        <f t="shared" si="12"/>
        <v>100</v>
      </c>
      <c r="T38" s="774" t="s">
        <v>17</v>
      </c>
      <c r="U38" s="775">
        <f t="shared" si="13"/>
        <v>100</v>
      </c>
      <c r="V38" s="774" t="s">
        <v>17</v>
      </c>
      <c r="W38" s="775">
        <f t="shared" si="14"/>
        <v>100</v>
      </c>
      <c r="X38" s="2979"/>
      <c r="Y38" s="3248" t="s">
        <v>2566</v>
      </c>
      <c r="Z38" s="2980" t="str">
        <f t="shared" si="15"/>
        <v>业态</v>
      </c>
      <c r="AA38" s="2983">
        <f t="shared" si="3"/>
        <v>1</v>
      </c>
      <c r="AB38" s="2983">
        <f t="shared" si="4"/>
        <v>1</v>
      </c>
      <c r="AC38" s="2983">
        <f t="shared" si="5"/>
        <v>1</v>
      </c>
    </row>
    <row r="39" spans="1:29" ht="15">
      <c r="A39" s="472"/>
      <c r="B39" s="2978" t="s">
        <v>2666</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2"/>
      <c r="M39" s="1133"/>
      <c r="N39" s="1133"/>
      <c r="O39" s="1133"/>
      <c r="P39" s="3246"/>
      <c r="Q39" s="2982" t="str">
        <f t="shared" si="11"/>
        <v>层高</v>
      </c>
      <c r="R39" s="774" t="s">
        <v>17</v>
      </c>
      <c r="S39" s="775">
        <f t="shared" si="12"/>
        <v>100</v>
      </c>
      <c r="T39" s="774" t="s">
        <v>17</v>
      </c>
      <c r="U39" s="775">
        <f t="shared" si="13"/>
        <v>100</v>
      </c>
      <c r="V39" s="774" t="s">
        <v>17</v>
      </c>
      <c r="W39" s="775">
        <f t="shared" si="14"/>
        <v>100</v>
      </c>
      <c r="X39" s="2979"/>
      <c r="Y39" s="3248"/>
      <c r="Z39" s="2980" t="str">
        <f t="shared" si="15"/>
        <v>层高</v>
      </c>
      <c r="AA39" s="2983">
        <f t="shared" si="3"/>
        <v>1</v>
      </c>
      <c r="AB39" s="2983">
        <f t="shared" si="4"/>
        <v>1</v>
      </c>
      <c r="AC39" s="2983">
        <f t="shared" si="5"/>
        <v>1</v>
      </c>
    </row>
    <row r="40" spans="1:29" ht="15">
      <c r="A40" s="472"/>
      <c r="B40" s="2978"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46"/>
      <c r="Q40" s="2982" t="str">
        <f t="shared" si="11"/>
        <v>单套建筑面积</v>
      </c>
      <c r="R40" s="774" t="s">
        <v>17</v>
      </c>
      <c r="S40" s="775">
        <f t="shared" si="12"/>
        <v>100</v>
      </c>
      <c r="T40" s="774" t="s">
        <v>17</v>
      </c>
      <c r="U40" s="775">
        <f t="shared" si="13"/>
        <v>100</v>
      </c>
      <c r="V40" s="774" t="s">
        <v>17</v>
      </c>
      <c r="W40" s="775">
        <f t="shared" si="14"/>
        <v>100</v>
      </c>
      <c r="X40" s="2979"/>
      <c r="Y40" s="3248"/>
      <c r="Z40" s="2980" t="str">
        <f t="shared" si="15"/>
        <v>单套建筑面积</v>
      </c>
      <c r="AA40" s="2983">
        <f t="shared" si="3"/>
        <v>1</v>
      </c>
      <c r="AB40" s="2983">
        <f t="shared" si="4"/>
        <v>1</v>
      </c>
      <c r="AC40" s="2983">
        <f t="shared" si="5"/>
        <v>1</v>
      </c>
    </row>
    <row r="41" spans="1:29" s="471" customFormat="1" ht="15">
      <c r="A41" s="468"/>
      <c r="B41" s="298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46"/>
      <c r="Q41" s="776" t="str">
        <f t="shared" si="11"/>
        <v>进深比</v>
      </c>
      <c r="R41" s="777" t="s">
        <v>17</v>
      </c>
      <c r="S41" s="778">
        <f t="shared" si="12"/>
        <v>100</v>
      </c>
      <c r="T41" s="777" t="s">
        <v>17</v>
      </c>
      <c r="U41" s="778">
        <f t="shared" si="13"/>
        <v>100</v>
      </c>
      <c r="V41" s="777" t="s">
        <v>17</v>
      </c>
      <c r="W41" s="778">
        <f t="shared" si="14"/>
        <v>100</v>
      </c>
      <c r="X41" s="779"/>
      <c r="Y41" s="3248"/>
      <c r="Z41" s="780" t="str">
        <f t="shared" si="15"/>
        <v>进深比</v>
      </c>
      <c r="AA41" s="2983">
        <f t="shared" si="3"/>
        <v>1</v>
      </c>
      <c r="AB41" s="2983">
        <f t="shared" si="4"/>
        <v>1</v>
      </c>
      <c r="AC41" s="2983">
        <f t="shared" si="5"/>
        <v>1</v>
      </c>
    </row>
    <row r="42" spans="1:29" ht="15">
      <c r="A42" s="472"/>
      <c r="B42" s="2978" t="s">
        <v>2669</v>
      </c>
      <c r="C42" s="2614" t="s">
        <v>3165</v>
      </c>
      <c r="D42" s="435">
        <v>100</v>
      </c>
      <c r="E42" s="2614" t="s">
        <v>3167</v>
      </c>
      <c r="F42" s="461">
        <f>SUMIF(122:122,E42,123:123)-SUMIF(122:122,C42,123:123)+100</f>
        <v>98</v>
      </c>
      <c r="G42" s="2614" t="s">
        <v>3163</v>
      </c>
      <c r="H42" s="435">
        <f>SUMIF(122:122,G42,123:123)-SUMIF(122:122,C42,123:123)+100</f>
        <v>102</v>
      </c>
      <c r="I42" s="2614" t="s">
        <v>3167</v>
      </c>
      <c r="J42" s="435">
        <f>SUMIF(122:122,I42,123:123)-SUMIF(122:122,C42,123:123)+100</f>
        <v>98</v>
      </c>
      <c r="K42" s="612">
        <v>2</v>
      </c>
      <c r="L42" s="1142"/>
      <c r="M42" s="1133"/>
      <c r="N42" s="1133"/>
      <c r="O42" s="1133"/>
      <c r="P42" s="3246"/>
      <c r="Q42" s="2982" t="str">
        <f t="shared" si="11"/>
        <v>内部装修</v>
      </c>
      <c r="R42" s="774" t="s">
        <v>17</v>
      </c>
      <c r="S42" s="775">
        <f t="shared" si="12"/>
        <v>98</v>
      </c>
      <c r="T42" s="774" t="s">
        <v>17</v>
      </c>
      <c r="U42" s="775">
        <f t="shared" si="13"/>
        <v>102</v>
      </c>
      <c r="V42" s="774" t="s">
        <v>17</v>
      </c>
      <c r="W42" s="775">
        <f t="shared" si="14"/>
        <v>98</v>
      </c>
      <c r="X42" s="2979"/>
      <c r="Y42" s="3248"/>
      <c r="Z42" s="2980" t="str">
        <f t="shared" si="15"/>
        <v>内部装修</v>
      </c>
      <c r="AA42" s="2983">
        <f t="shared" si="3"/>
        <v>1.0204081632653061</v>
      </c>
      <c r="AB42" s="2983">
        <f t="shared" si="4"/>
        <v>0.98039215686274506</v>
      </c>
      <c r="AC42" s="2983">
        <f t="shared" si="5"/>
        <v>1.0204081632653061</v>
      </c>
    </row>
    <row r="43" spans="1:29" ht="15.75" thickBot="1">
      <c r="A43" s="472"/>
      <c r="B43" s="2978" t="s">
        <v>2577</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2"/>
      <c r="M43" s="1133"/>
      <c r="N43" s="1133"/>
      <c r="O43" s="1133"/>
      <c r="P43" s="3246"/>
      <c r="Q43" s="2982" t="str">
        <f t="shared" si="11"/>
        <v>内部装修维护情况</v>
      </c>
      <c r="R43" s="774" t="s">
        <v>17</v>
      </c>
      <c r="S43" s="775">
        <f t="shared" si="12"/>
        <v>100</v>
      </c>
      <c r="T43" s="774" t="s">
        <v>17</v>
      </c>
      <c r="U43" s="775">
        <f t="shared" si="13"/>
        <v>100</v>
      </c>
      <c r="V43" s="774" t="s">
        <v>17</v>
      </c>
      <c r="W43" s="775">
        <f t="shared" si="14"/>
        <v>100</v>
      </c>
      <c r="X43" s="2979"/>
      <c r="Y43" s="3248"/>
      <c r="Z43" s="2980" t="str">
        <f t="shared" si="15"/>
        <v>内部装修维护情况</v>
      </c>
      <c r="AA43" s="2983">
        <f t="shared" si="3"/>
        <v>1</v>
      </c>
      <c r="AB43" s="2983">
        <f t="shared" si="4"/>
        <v>1</v>
      </c>
      <c r="AC43" s="2983">
        <f t="shared" si="5"/>
        <v>1</v>
      </c>
    </row>
    <row r="44" spans="1:29" s="117" customFormat="1" ht="15.75" hidden="1" thickBot="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46"/>
      <c r="Q44" s="2976">
        <f t="shared" si="11"/>
        <v>111</v>
      </c>
      <c r="R44" s="770" t="s">
        <v>17</v>
      </c>
      <c r="S44" s="771">
        <f t="shared" si="12"/>
        <v>100</v>
      </c>
      <c r="T44" s="770" t="s">
        <v>17</v>
      </c>
      <c r="U44" s="771">
        <f t="shared" si="13"/>
        <v>100</v>
      </c>
      <c r="V44" s="770" t="s">
        <v>17</v>
      </c>
      <c r="W44" s="771">
        <f t="shared" si="14"/>
        <v>100</v>
      </c>
      <c r="X44" s="772"/>
      <c r="Y44" s="3248"/>
      <c r="Z44" s="2977">
        <f t="shared" si="15"/>
        <v>111</v>
      </c>
      <c r="AA44" s="773">
        <f t="shared" si="3"/>
        <v>1</v>
      </c>
      <c r="AB44" s="773">
        <f t="shared" si="4"/>
        <v>1</v>
      </c>
      <c r="AC44" s="773">
        <f t="shared" si="5"/>
        <v>1</v>
      </c>
    </row>
    <row r="45" spans="1:29" ht="15.75" hidden="1" thickBot="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46"/>
      <c r="Q45" s="2982">
        <f t="shared" si="11"/>
        <v>111</v>
      </c>
      <c r="R45" s="774" t="s">
        <v>17</v>
      </c>
      <c r="S45" s="775">
        <f t="shared" si="12"/>
        <v>100</v>
      </c>
      <c r="T45" s="774" t="s">
        <v>17</v>
      </c>
      <c r="U45" s="775">
        <f t="shared" si="13"/>
        <v>100</v>
      </c>
      <c r="V45" s="774" t="s">
        <v>17</v>
      </c>
      <c r="W45" s="775">
        <f t="shared" si="14"/>
        <v>100</v>
      </c>
      <c r="X45" s="2979"/>
      <c r="Y45" s="3248"/>
      <c r="Z45" s="2980">
        <f t="shared" si="15"/>
        <v>111</v>
      </c>
      <c r="AA45" s="2983">
        <f t="shared" si="3"/>
        <v>1</v>
      </c>
      <c r="AB45" s="2983">
        <f t="shared" si="4"/>
        <v>1</v>
      </c>
      <c r="AC45" s="2983">
        <f t="shared" si="5"/>
        <v>1</v>
      </c>
    </row>
    <row r="46" spans="1:29" ht="15.75" hidden="1"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47"/>
      <c r="Q46" s="2982">
        <f t="shared" si="11"/>
        <v>111</v>
      </c>
      <c r="R46" s="774" t="s">
        <v>17</v>
      </c>
      <c r="S46" s="775">
        <f t="shared" si="12"/>
        <v>100</v>
      </c>
      <c r="T46" s="774" t="s">
        <v>17</v>
      </c>
      <c r="U46" s="775">
        <f t="shared" si="13"/>
        <v>100</v>
      </c>
      <c r="V46" s="774" t="s">
        <v>17</v>
      </c>
      <c r="W46" s="775">
        <f t="shared" si="14"/>
        <v>100</v>
      </c>
      <c r="X46" s="2979"/>
      <c r="Y46" s="3249"/>
      <c r="Z46" s="2980">
        <f t="shared" si="15"/>
        <v>111</v>
      </c>
      <c r="AA46" s="2983">
        <f t="shared" si="3"/>
        <v>1</v>
      </c>
      <c r="AB46" s="2983">
        <f t="shared" si="4"/>
        <v>1</v>
      </c>
      <c r="AC46" s="2983">
        <f t="shared" si="5"/>
        <v>1</v>
      </c>
    </row>
    <row r="47" spans="1:29" ht="15">
      <c r="A47" s="479" t="s">
        <v>2578</v>
      </c>
      <c r="B47" s="480"/>
      <c r="C47" s="1409" t="s">
        <v>1</v>
      </c>
      <c r="D47" s="1410"/>
      <c r="E47" s="1411">
        <f>ROUND(4.5*0.98,2)</f>
        <v>4.41</v>
      </c>
      <c r="F47" s="1412"/>
      <c r="G47" s="1413">
        <f>ROUND(4.5*0.98,2)</f>
        <v>4.41</v>
      </c>
      <c r="H47" s="1414"/>
      <c r="I47" s="1411">
        <f>ROUND(4.89*0.98,2)</f>
        <v>4.79</v>
      </c>
      <c r="J47" s="1414"/>
      <c r="K47" s="783"/>
      <c r="L47" s="1145"/>
      <c r="M47" s="1146"/>
      <c r="N47" s="1133"/>
      <c r="O47" s="1146"/>
      <c r="P47" s="3250" t="str">
        <f>A47</f>
        <v>成交单价（元/平方米）</v>
      </c>
      <c r="Q47" s="3250"/>
      <c r="R47" s="3237">
        <f>E47</f>
        <v>4.41</v>
      </c>
      <c r="S47" s="3237"/>
      <c r="T47" s="3237">
        <f>G47</f>
        <v>4.41</v>
      </c>
      <c r="U47" s="3237"/>
      <c r="V47" s="3237">
        <f>I47</f>
        <v>4.79</v>
      </c>
      <c r="W47" s="3237"/>
      <c r="X47" s="759"/>
      <c r="Y47" s="781"/>
      <c r="Z47" s="759"/>
      <c r="AA47" s="759"/>
      <c r="AB47" s="759"/>
      <c r="AC47" s="759"/>
    </row>
    <row r="48" spans="1:29" ht="15.75" thickBot="1">
      <c r="A48" s="486" t="s">
        <v>2579</v>
      </c>
      <c r="B48" s="487"/>
      <c r="C48" s="1415">
        <f>R49</f>
        <v>5.2</v>
      </c>
      <c r="D48" s="1416"/>
      <c r="E48" s="1417">
        <f>R48</f>
        <v>5.0999999999999996</v>
      </c>
      <c r="F48" s="1417"/>
      <c r="G48" s="1415">
        <f>T48</f>
        <v>4.8</v>
      </c>
      <c r="H48" s="1416"/>
      <c r="I48" s="1417">
        <f>V48</f>
        <v>5.6</v>
      </c>
      <c r="J48" s="1416"/>
      <c r="K48" s="784"/>
      <c r="L48" s="1145"/>
      <c r="M48" s="1146"/>
      <c r="N48" s="1133"/>
      <c r="O48" s="1146"/>
      <c r="P48" s="3250" t="str">
        <f>A48</f>
        <v>比较价值（元/平方米）</v>
      </c>
      <c r="Q48" s="3250"/>
      <c r="R48" s="3251">
        <f>IF(F1="售价",ROUND(PRODUCT(R47,AA7:AA46),0),ROUND(PRODUCT(R47,AA7:AA46),1))</f>
        <v>5.0999999999999996</v>
      </c>
      <c r="S48" s="3251"/>
      <c r="T48" s="3251">
        <f>IF(F1="售价",ROUND(PRODUCT(T47,AB7:AB46),0),ROUND(PRODUCT(T47,AB7:AB46),1))</f>
        <v>4.8</v>
      </c>
      <c r="U48" s="3251"/>
      <c r="V48" s="3251">
        <f>IF(F1="售价",ROUND(PRODUCT(V47,AC7:AC46),0),ROUND(PRODUCT(V47,AC7:AC46),1))</f>
        <v>5.6</v>
      </c>
      <c r="W48" s="3251"/>
      <c r="X48" s="759"/>
      <c r="Y48" s="759"/>
      <c r="Z48" s="759"/>
      <c r="AA48" s="759"/>
      <c r="AB48" s="759"/>
      <c r="AC48" s="759"/>
    </row>
    <row r="49" spans="1:29" ht="15.75" thickBot="1">
      <c r="A49" s="492" t="s">
        <v>2580</v>
      </c>
      <c r="B49" s="493"/>
      <c r="C49" s="1419">
        <f>R49</f>
        <v>5.2</v>
      </c>
      <c r="D49" s="1419"/>
      <c r="E49" s="1419"/>
      <c r="F49" s="1419"/>
      <c r="G49" s="1419"/>
      <c r="H49" s="1419"/>
      <c r="I49" s="1419"/>
      <c r="J49" s="1419"/>
      <c r="K49" s="785"/>
      <c r="L49" s="1145"/>
      <c r="M49" s="1146"/>
      <c r="N49" s="1133"/>
      <c r="O49" s="1146"/>
      <c r="P49" s="3290" t="str">
        <f>A49</f>
        <v>估价对象XX用房的比较价值（楼面单价，元/平方米）</v>
      </c>
      <c r="Q49" s="3291"/>
      <c r="R49" s="3292">
        <f>IF(F1="售价",ROUND(AVERAGE(R48:V48),0),ROUND(AVERAGE(R48:V48),1))</f>
        <v>5.2</v>
      </c>
      <c r="S49" s="3292"/>
      <c r="T49" s="3292"/>
      <c r="U49" s="3292"/>
      <c r="V49" s="3292"/>
      <c r="W49" s="3292"/>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2581</v>
      </c>
      <c r="D52" s="498"/>
      <c r="E52" s="499">
        <f>IF(E47&lt;E48,E48/E47-1,E47/E48-1)</f>
        <v>0.15646258503401356</v>
      </c>
      <c r="F52" s="500" t="str">
        <f>IF(OR(E52&gt;=0.3,E52&lt;=-0.3),"超过30%","")</f>
        <v/>
      </c>
      <c r="G52" s="499">
        <f>IF(G47&lt;G48,G48/G47-1,G47/G48-1)</f>
        <v>8.843537414965974E-2</v>
      </c>
      <c r="H52" s="500" t="str">
        <f>IF(OR(G52&gt;=0.3,G52&lt;=-0.3),"超过30%","")</f>
        <v/>
      </c>
      <c r="I52" s="499">
        <f>IF(I47&lt;I48,I48/I47-1,I47/I48-1)</f>
        <v>0.16910229645093944</v>
      </c>
      <c r="J52" s="500" t="str">
        <f>IF(OR(I52&gt;=0.3,I52&lt;=-0.3),"超过30%","")</f>
        <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2582</v>
      </c>
      <c r="D53" s="501"/>
      <c r="E53" s="499">
        <f>IF(E48&lt;G48,G48/E48-1,E48/G48-1)</f>
        <v>6.25E-2</v>
      </c>
      <c r="F53" s="500" t="str">
        <f>IF(OR(E53&gt;=0.2,E53&lt;=-0.2),"超过20%","")</f>
        <v/>
      </c>
      <c r="G53" s="499">
        <f>IF(G48&lt;I48,I48/G48-1,G48/I48-1)</f>
        <v>0.16666666666666674</v>
      </c>
      <c r="H53" s="500" t="str">
        <f>IF(OR(G53&gt;=0.2,G53&lt;=-0.2),"超过20%","")</f>
        <v/>
      </c>
      <c r="I53" s="499">
        <f>IF(I48&lt;E48,E48/I48-1,I48/E48-1)</f>
        <v>9.8039215686274606E-2</v>
      </c>
      <c r="J53" s="500" t="str">
        <f>IF(OR(I53&gt;=0.2,I53&lt;=-0.2),"超过20%","")</f>
        <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2583</v>
      </c>
      <c r="D54" s="501"/>
      <c r="E54" s="499">
        <f>IF(E47&lt;G47,G47/E47-1,E47/G47-1)</f>
        <v>0</v>
      </c>
      <c r="F54" s="500" t="str">
        <f>IF(OR(E54&gt;=0.3,E54&lt;=-0.3),"超过30%","")</f>
        <v/>
      </c>
      <c r="G54" s="499">
        <f>IF(G47&lt;I47,I47/G47-1,G47/I47-1)</f>
        <v>8.6167800453514687E-2</v>
      </c>
      <c r="H54" s="500" t="str">
        <f>IF(OR(G54&gt;=0.3,G54&lt;=-0.3),"超过30%","")</f>
        <v/>
      </c>
      <c r="I54" s="499">
        <f>IF(I47&lt;E47,E47/I47-1,I47/E47-1)</f>
        <v>8.6167800453514687E-2</v>
      </c>
      <c r="J54" s="500" t="str">
        <f>IF(OR(I54&gt;=0.3,I54&lt;=-0.3),"超过30%","")</f>
        <v/>
      </c>
      <c r="K54" s="1150"/>
      <c r="L54" s="1151"/>
      <c r="M54" s="1147"/>
      <c r="N54" s="1147"/>
      <c r="O54" s="1147"/>
      <c r="P54" s="2667"/>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7"/>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2584</v>
      </c>
      <c r="B57" s="759"/>
      <c r="C57" s="764"/>
      <c r="D57" s="764"/>
      <c r="E57" s="764"/>
      <c r="F57" s="765"/>
      <c r="G57" s="765"/>
      <c r="H57" s="764"/>
      <c r="I57" s="764"/>
      <c r="J57" s="764"/>
      <c r="K57" s="766"/>
      <c r="L57" s="1163"/>
      <c r="M57" s="1161"/>
      <c r="N57" s="1161"/>
      <c r="O57" s="1161"/>
      <c r="P57" s="2668"/>
      <c r="Q57" s="2669"/>
      <c r="R57" s="759"/>
      <c r="S57" s="759"/>
      <c r="T57" s="759"/>
      <c r="U57" s="759"/>
      <c r="V57" s="759"/>
      <c r="W57" s="759"/>
      <c r="X57" s="759"/>
      <c r="Y57" s="759"/>
      <c r="Z57" s="759"/>
      <c r="AA57" s="759"/>
      <c r="AB57" s="759"/>
      <c r="AC57" s="759"/>
    </row>
    <row r="58" spans="1:29" s="508" customFormat="1" ht="15">
      <c r="A58" s="505" t="s">
        <v>2549</v>
      </c>
      <c r="B58" s="506"/>
      <c r="C58" s="1576" t="str">
        <f>YEAR(C7)&amp;"-"&amp;MONTH(C7)</f>
        <v>2017-12</v>
      </c>
      <c r="D58" s="1577">
        <f>EDATE(C58,-1)</f>
        <v>43040</v>
      </c>
      <c r="E58" s="1577">
        <f t="shared" ref="E58:N58" si="16">EDATE(D58,-1)</f>
        <v>43009</v>
      </c>
      <c r="F58" s="1577">
        <f t="shared" si="16"/>
        <v>42979</v>
      </c>
      <c r="G58" s="1577">
        <f t="shared" si="16"/>
        <v>42948</v>
      </c>
      <c r="H58" s="1577">
        <f t="shared" si="16"/>
        <v>42917</v>
      </c>
      <c r="I58" s="1577">
        <f t="shared" si="16"/>
        <v>42887</v>
      </c>
      <c r="J58" s="1577">
        <f t="shared" si="16"/>
        <v>42856</v>
      </c>
      <c r="K58" s="1577">
        <f t="shared" si="16"/>
        <v>42826</v>
      </c>
      <c r="L58" s="1577">
        <f t="shared" si="16"/>
        <v>42795</v>
      </c>
      <c r="M58" s="1577">
        <f t="shared" si="16"/>
        <v>42767</v>
      </c>
      <c r="N58" s="1577">
        <f t="shared" si="16"/>
        <v>42736</v>
      </c>
      <c r="O58" s="1577">
        <f>EDATE(N58,-1)</f>
        <v>42705</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2588</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2589</v>
      </c>
      <c r="B63" s="528" t="s">
        <v>2555</v>
      </c>
      <c r="C63" s="529" t="str">
        <f>C9</f>
        <v>商业</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4"/>
      <c r="O65" s="1154"/>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1"/>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5"/>
      <c r="O67" s="1155"/>
      <c r="P67" s="2631"/>
      <c r="Q67" s="504"/>
    </row>
    <row r="68" spans="1:17" ht="15">
      <c r="A68" s="534"/>
      <c r="B68" s="548"/>
      <c r="C68" s="549">
        <v>0</v>
      </c>
      <c r="D68" s="549">
        <v>1</v>
      </c>
      <c r="E68" s="549">
        <v>2</v>
      </c>
      <c r="F68" s="549">
        <v>3</v>
      </c>
      <c r="G68" s="549">
        <v>4</v>
      </c>
      <c r="H68" s="549">
        <v>5</v>
      </c>
      <c r="I68" s="549">
        <v>6</v>
      </c>
      <c r="J68" s="549">
        <v>7</v>
      </c>
      <c r="K68" s="550">
        <v>8</v>
      </c>
      <c r="L68" s="551">
        <v>9</v>
      </c>
      <c r="M68" s="552">
        <v>10</v>
      </c>
      <c r="N68" s="1154"/>
      <c r="O68" s="1154"/>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36"/>
      <c r="E73" s="536"/>
      <c r="F73" s="536"/>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4"/>
      <c r="N82" s="1155"/>
      <c r="O82" s="1155"/>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2681</v>
      </c>
      <c r="C86" s="2991" t="s">
        <v>3203</v>
      </c>
      <c r="D86" s="2991" t="s">
        <v>3204</v>
      </c>
      <c r="E86" s="2991" t="s">
        <v>3205</v>
      </c>
      <c r="F86" s="2991" t="s">
        <v>3206</v>
      </c>
      <c r="G86" s="554"/>
      <c r="H86" s="554"/>
      <c r="I86" s="554"/>
      <c r="J86" s="554"/>
      <c r="K86" s="554"/>
      <c r="L86" s="580"/>
      <c r="M86" s="581"/>
      <c r="N86" s="1153"/>
      <c r="O86" s="1153"/>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1"/>
      <c r="Q87" s="504"/>
    </row>
    <row r="88" spans="1:17" s="117" customFormat="1" ht="15.75" thickTop="1">
      <c r="A88" s="579"/>
      <c r="B88" s="538" t="str">
        <f>B26</f>
        <v>平面位置/可视性</v>
      </c>
      <c r="C88" s="2991" t="s">
        <v>3209</v>
      </c>
      <c r="D88" s="2991" t="s">
        <v>3207</v>
      </c>
      <c r="E88" s="554"/>
      <c r="F88" s="2636"/>
      <c r="G88" s="554"/>
      <c r="H88" s="554"/>
      <c r="I88" s="554"/>
      <c r="J88" s="554"/>
      <c r="K88" s="554"/>
      <c r="L88" s="554"/>
      <c r="M88" s="581"/>
      <c r="N88" s="1153"/>
      <c r="O88" s="1153"/>
      <c r="P88" s="2631"/>
      <c r="Q88" s="504"/>
    </row>
    <row r="89" spans="1:17" s="117" customFormat="1" ht="15.75" thickBot="1">
      <c r="A89" s="579"/>
      <c r="B89" s="543"/>
      <c r="C89" s="560">
        <v>103</v>
      </c>
      <c r="D89" s="536">
        <v>100</v>
      </c>
      <c r="E89" s="536"/>
      <c r="F89" s="536"/>
      <c r="G89" s="536"/>
      <c r="H89" s="536"/>
      <c r="I89" s="536"/>
      <c r="J89" s="536"/>
      <c r="K89" s="536"/>
      <c r="L89" s="536"/>
      <c r="M89" s="536"/>
      <c r="N89" s="1155"/>
      <c r="O89" s="1155"/>
      <c r="P89" s="2631"/>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2"/>
      <c r="Q91" s="559"/>
    </row>
    <row r="92" spans="1:17" ht="15.75" thickTop="1">
      <c r="A92" s="534"/>
      <c r="B92" s="538" t="str">
        <f>B28</f>
        <v>楼层</v>
      </c>
      <c r="C92" s="554" t="s">
        <v>3215</v>
      </c>
      <c r="D92" s="2991" t="s">
        <v>3230</v>
      </c>
      <c r="E92" s="554"/>
      <c r="F92" s="554"/>
      <c r="G92" s="554"/>
      <c r="H92" s="554"/>
      <c r="I92" s="554"/>
      <c r="J92" s="554"/>
      <c r="K92" s="554"/>
      <c r="L92" s="580"/>
      <c r="M92" s="581"/>
      <c r="N92" s="1154"/>
      <c r="O92" s="1154"/>
      <c r="P92" s="2631"/>
      <c r="Q92" s="504"/>
    </row>
    <row r="93" spans="1:17" ht="15.75" thickBot="1">
      <c r="A93" s="534"/>
      <c r="B93" s="543"/>
      <c r="C93" s="536">
        <v>100</v>
      </c>
      <c r="D93" s="536">
        <v>85</v>
      </c>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36"/>
      <c r="E95" s="536"/>
      <c r="F95" s="536"/>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60"/>
      <c r="D97" s="536"/>
      <c r="E97" s="536"/>
      <c r="F97" s="536"/>
      <c r="G97" s="536"/>
      <c r="H97" s="536"/>
      <c r="I97" s="536"/>
      <c r="J97" s="536"/>
      <c r="K97" s="536"/>
      <c r="L97" s="536"/>
      <c r="M97" s="537"/>
      <c r="N97" s="1155"/>
      <c r="O97" s="1155"/>
      <c r="P97" s="2631"/>
      <c r="Q97" s="504"/>
    </row>
    <row r="98" spans="1:17" ht="15.75" thickTop="1">
      <c r="A98" s="534"/>
      <c r="B98" s="546">
        <f>B31</f>
        <v>111</v>
      </c>
      <c r="C98" s="554"/>
      <c r="D98" s="554"/>
      <c r="E98" s="554"/>
      <c r="F98" s="554"/>
      <c r="G98" s="587"/>
      <c r="H98" s="587"/>
      <c r="I98" s="587"/>
      <c r="J98" s="587"/>
      <c r="K98" s="588"/>
      <c r="L98" s="589"/>
      <c r="M98" s="590"/>
      <c r="N98" s="1154"/>
      <c r="O98" s="1154"/>
      <c r="P98" s="2631"/>
      <c r="Q98" s="504"/>
    </row>
    <row r="99" spans="1:17" ht="15.75" thickBot="1">
      <c r="A99" s="2637"/>
      <c r="B99" s="569"/>
      <c r="C99" s="570"/>
      <c r="D99" s="570"/>
      <c r="E99" s="570"/>
      <c r="F99" s="570"/>
      <c r="G99" s="591"/>
      <c r="H99" s="591"/>
      <c r="I99" s="591"/>
      <c r="J99" s="591"/>
      <c r="K99" s="591"/>
      <c r="L99" s="591"/>
      <c r="M99" s="592"/>
      <c r="N99" s="1155"/>
      <c r="O99" s="1155"/>
      <c r="P99" s="2631"/>
      <c r="Q99" s="504"/>
    </row>
    <row r="100" spans="1:17">
      <c r="A100" s="527" t="s">
        <v>2564</v>
      </c>
      <c r="B100" s="528" t="s">
        <v>2682</v>
      </c>
      <c r="C100" s="2997" t="s">
        <v>3195</v>
      </c>
      <c r="D100" s="2997" t="s">
        <v>3197</v>
      </c>
      <c r="E100" s="3004" t="s">
        <v>3232</v>
      </c>
      <c r="F100" s="2997" t="s">
        <v>3201</v>
      </c>
      <c r="G100" s="2997" t="s">
        <v>3199</v>
      </c>
      <c r="H100" s="530"/>
      <c r="I100" s="530"/>
      <c r="J100" s="530"/>
      <c r="K100" s="531"/>
      <c r="L100" s="532"/>
      <c r="M100" s="533"/>
      <c r="N100" s="1154"/>
      <c r="O100" s="1154"/>
      <c r="P100" s="2631"/>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5"/>
      <c r="O101" s="1155"/>
      <c r="P101" s="2631"/>
      <c r="Q101" s="504"/>
    </row>
    <row r="102" spans="1:17" ht="29.25" thickTop="1">
      <c r="A102" s="534"/>
      <c r="B102" s="538" t="s">
        <v>2614</v>
      </c>
      <c r="C102" s="578" t="str">
        <f>C103&amp;"(含)"&amp;"-"&amp;D103</f>
        <v>0(含)-100</v>
      </c>
      <c r="D102" s="578" t="str">
        <f t="shared" ref="D102:L102" si="23">D103&amp;"(含)"&amp;"-"&amp;E103</f>
        <v>100(含)-500</v>
      </c>
      <c r="E102" s="578" t="str">
        <f t="shared" si="23"/>
        <v>500(含)-1500</v>
      </c>
      <c r="F102" s="578" t="str">
        <f t="shared" si="23"/>
        <v>1500(含)-2500</v>
      </c>
      <c r="G102" s="578" t="str">
        <f t="shared" si="23"/>
        <v>2500(含)-3500</v>
      </c>
      <c r="H102" s="578" t="str">
        <f t="shared" si="23"/>
        <v>3500(含)-</v>
      </c>
      <c r="I102" s="578" t="str">
        <f t="shared" si="23"/>
        <v>(含)-</v>
      </c>
      <c r="J102" s="578" t="str">
        <f t="shared" si="23"/>
        <v>(含)-</v>
      </c>
      <c r="K102" s="578" t="str">
        <f t="shared" si="23"/>
        <v>(含)-</v>
      </c>
      <c r="L102" s="578" t="str">
        <f t="shared" si="23"/>
        <v>(含)-</v>
      </c>
      <c r="M102" s="622" t="str">
        <f>M103&amp;"(含)"&amp;"-"&amp;P103</f>
        <v>(含)-</v>
      </c>
      <c r="N102" s="1153"/>
      <c r="O102" s="1153"/>
      <c r="P102" s="2631"/>
      <c r="Q102" s="504"/>
    </row>
    <row r="103" spans="1:17" s="471" customFormat="1">
      <c r="A103" s="593"/>
      <c r="B103" s="594"/>
      <c r="C103" s="595">
        <v>0</v>
      </c>
      <c r="D103" s="595">
        <v>100</v>
      </c>
      <c r="E103" s="595">
        <v>500</v>
      </c>
      <c r="F103" s="595">
        <v>1500</v>
      </c>
      <c r="G103" s="595">
        <v>2500</v>
      </c>
      <c r="H103" s="595">
        <v>3500</v>
      </c>
      <c r="I103" s="595"/>
      <c r="J103" s="596"/>
      <c r="K103" s="596"/>
      <c r="L103" s="597"/>
      <c r="M103" s="598"/>
      <c r="N103" s="1156"/>
      <c r="O103" s="1156"/>
      <c r="P103" s="2632"/>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7"/>
      <c r="N104" s="1155"/>
      <c r="O104" s="1155"/>
      <c r="P104" s="2632"/>
      <c r="Q104" s="559"/>
    </row>
    <row r="105" spans="1:17" ht="15" thickTop="1">
      <c r="A105" s="599"/>
      <c r="B105" s="538" t="s">
        <v>2615</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1"/>
      <c r="Q106" s="504"/>
    </row>
    <row r="107" spans="1:17" ht="15" thickTop="1">
      <c r="A107" s="599"/>
      <c r="B107" s="538" t="s">
        <v>2617</v>
      </c>
      <c r="C107" s="2991" t="s">
        <v>3191</v>
      </c>
      <c r="D107" s="2991" t="s">
        <v>3192</v>
      </c>
      <c r="E107" s="2991" t="s">
        <v>3193</v>
      </c>
      <c r="F107" s="2996" t="s">
        <v>3194</v>
      </c>
      <c r="G107" s="583"/>
      <c r="H107" s="583"/>
      <c r="I107" s="583"/>
      <c r="J107" s="583"/>
      <c r="K107" s="584"/>
      <c r="L107" s="585"/>
      <c r="M107" s="586"/>
      <c r="N107" s="1154"/>
      <c r="O107" s="1154"/>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1"/>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1"/>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1"/>
      <c r="Q111" s="504"/>
    </row>
    <row r="112" spans="1:17" s="471" customFormat="1" ht="15" thickTop="1">
      <c r="A112" s="593"/>
      <c r="B112" s="538" t="s">
        <v>2619</v>
      </c>
      <c r="C112" s="2991" t="s">
        <v>3238</v>
      </c>
      <c r="D112" s="2991" t="s">
        <v>3240</v>
      </c>
      <c r="E112" s="2991" t="s">
        <v>3242</v>
      </c>
      <c r="F112" s="2991" t="s">
        <v>3243</v>
      </c>
      <c r="G112" s="2991" t="s">
        <v>3244</v>
      </c>
      <c r="H112" s="583"/>
      <c r="I112" s="583"/>
      <c r="J112" s="583"/>
      <c r="K112" s="584"/>
      <c r="L112" s="585"/>
      <c r="M112" s="586"/>
      <c r="N112" s="1156"/>
      <c r="O112" s="1156"/>
      <c r="P112" s="263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6"/>
      <c r="O113" s="1156"/>
      <c r="P113" s="2632"/>
      <c r="Q113" s="559"/>
    </row>
    <row r="114" spans="1:17" ht="15" thickTop="1">
      <c r="A114" s="599"/>
      <c r="B114" s="538" t="s">
        <v>2683</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1"/>
      <c r="Q115" s="504"/>
    </row>
    <row r="116" spans="1:17" ht="15" thickTop="1">
      <c r="A116" s="599"/>
      <c r="B116" s="538" t="s">
        <v>2684</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2685</v>
      </c>
      <c r="C118" s="627"/>
      <c r="D118" s="627"/>
      <c r="E118" s="627"/>
      <c r="F118" s="627"/>
      <c r="G118" s="627"/>
      <c r="H118" s="555"/>
      <c r="I118" s="555"/>
      <c r="J118" s="555"/>
      <c r="K118" s="555"/>
      <c r="L118" s="556"/>
      <c r="M118" s="557"/>
      <c r="N118" s="1154"/>
      <c r="O118" s="1154"/>
      <c r="P118" s="2631"/>
      <c r="Q118" s="504"/>
    </row>
    <row r="119" spans="1:17" ht="15.75" thickBot="1">
      <c r="A119" s="534"/>
      <c r="B119" s="543"/>
      <c r="C119" s="560"/>
      <c r="D119" s="536"/>
      <c r="E119" s="536"/>
      <c r="F119" s="536"/>
      <c r="G119" s="536"/>
      <c r="H119" s="536"/>
      <c r="I119" s="536"/>
      <c r="J119" s="536"/>
      <c r="K119" s="536"/>
      <c r="L119" s="536"/>
      <c r="M119" s="537"/>
      <c r="N119" s="1155"/>
      <c r="O119" s="1155"/>
      <c r="P119" s="2631"/>
      <c r="Q119" s="504"/>
    </row>
    <row r="120" spans="1:17" s="471" customFormat="1" ht="15" thickTop="1">
      <c r="A120" s="593"/>
      <c r="B120" s="538" t="s">
        <v>2686</v>
      </c>
      <c r="C120" s="583"/>
      <c r="D120" s="583"/>
      <c r="E120" s="583"/>
      <c r="F120" s="583"/>
      <c r="G120" s="555"/>
      <c r="H120" s="555"/>
      <c r="I120" s="555"/>
      <c r="J120" s="555"/>
      <c r="K120" s="555"/>
      <c r="L120" s="556"/>
      <c r="M120" s="557"/>
      <c r="N120" s="1156"/>
      <c r="O120" s="1156"/>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2"/>
      <c r="Q121" s="559"/>
    </row>
    <row r="122" spans="1:17" ht="15" thickTop="1">
      <c r="A122" s="599"/>
      <c r="B122" s="538" t="s">
        <v>2621</v>
      </c>
      <c r="C122" s="2991" t="s">
        <v>3191</v>
      </c>
      <c r="D122" s="2991" t="s">
        <v>3192</v>
      </c>
      <c r="E122" s="2991" t="s">
        <v>3193</v>
      </c>
      <c r="F122" s="2996" t="s">
        <v>3194</v>
      </c>
      <c r="G122" s="583"/>
      <c r="H122" s="583"/>
      <c r="I122" s="583"/>
      <c r="J122" s="583"/>
      <c r="K122" s="584"/>
      <c r="L122" s="585"/>
      <c r="M122" s="586"/>
      <c r="N122" s="1154"/>
      <c r="O122" s="1154"/>
      <c r="P122" s="2631"/>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5"/>
      <c r="O123" s="1155"/>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36"/>
      <c r="E129" s="536"/>
      <c r="F129" s="536"/>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cfRule type="containsText" dxfId="44" priority="16" stopIfTrue="1" operator="containsText" text="超过">
      <formula>NOT(ISERROR(SEARCH("超过",F52)))</formula>
    </cfRule>
  </conditionalFormatting>
  <conditionalFormatting sqref="H54">
    <cfRule type="containsText" dxfId="43" priority="15" stopIfTrue="1" operator="containsText" text="超过">
      <formula>NOT(ISERROR(SEARCH("超过",H54)))</formula>
    </cfRule>
  </conditionalFormatting>
  <conditionalFormatting sqref="F54">
    <cfRule type="containsText" dxfId="42" priority="14" stopIfTrue="1" operator="containsText" text="超过">
      <formula>NOT(ISERROR(SEARCH("超过",F54)))</formula>
    </cfRule>
  </conditionalFormatting>
  <conditionalFormatting sqref="F53 H53">
    <cfRule type="containsText" dxfId="41" priority="13" stopIfTrue="1" operator="containsText" text="超过">
      <formula>NOT(ISERROR(SEARCH("超过",F53)))</formula>
    </cfRule>
  </conditionalFormatting>
  <conditionalFormatting sqref="E52">
    <cfRule type="expression" dxfId="40" priority="12" stopIfTrue="1">
      <formula>$F$52="超过30%"</formula>
    </cfRule>
  </conditionalFormatting>
  <conditionalFormatting sqref="E53">
    <cfRule type="expression" dxfId="39" priority="11" stopIfTrue="1">
      <formula>$F$53="超过20%"</formula>
    </cfRule>
  </conditionalFormatting>
  <conditionalFormatting sqref="E54">
    <cfRule type="expression" dxfId="38" priority="10" stopIfTrue="1">
      <formula>$F$54="超过30%"</formula>
    </cfRule>
  </conditionalFormatting>
  <conditionalFormatting sqref="G54">
    <cfRule type="expression" dxfId="37" priority="9" stopIfTrue="1">
      <formula>$H$54="超过30%"</formula>
    </cfRule>
  </conditionalFormatting>
  <conditionalFormatting sqref="G52">
    <cfRule type="expression" dxfId="36" priority="8" stopIfTrue="1">
      <formula>$H$52="超过30%"</formula>
    </cfRule>
  </conditionalFormatting>
  <conditionalFormatting sqref="G53">
    <cfRule type="expression" dxfId="35" priority="7" stopIfTrue="1">
      <formula>$H$53="超过20%"</formula>
    </cfRule>
  </conditionalFormatting>
  <conditionalFormatting sqref="J52">
    <cfRule type="containsText" dxfId="34" priority="6" stopIfTrue="1" operator="containsText" text="超过">
      <formula>NOT(ISERROR(SEARCH("超过",J52)))</formula>
    </cfRule>
  </conditionalFormatting>
  <conditionalFormatting sqref="J54">
    <cfRule type="containsText" dxfId="33" priority="5" stopIfTrue="1" operator="containsText" text="超过">
      <formula>NOT(ISERROR(SEARCH("超过",J54)))</formula>
    </cfRule>
  </conditionalFormatting>
  <conditionalFormatting sqref="J53">
    <cfRule type="containsText" dxfId="32" priority="4" stopIfTrue="1" operator="containsText" text="超过">
      <formula>NOT(ISERROR(SEARCH("超过",J53)))</formula>
    </cfRule>
  </conditionalFormatting>
  <conditionalFormatting sqref="I52">
    <cfRule type="expression" dxfId="31" priority="3" stopIfTrue="1">
      <formula>$J$52="超过30%"</formula>
    </cfRule>
  </conditionalFormatting>
  <conditionalFormatting sqref="I53">
    <cfRule type="expression" dxfId="30" priority="2" stopIfTrue="1">
      <formula>$J$53="超过20%"</formula>
    </cfRule>
  </conditionalFormatting>
  <conditionalFormatting sqref="I54">
    <cfRule type="expression" dxfId="2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1" sqref="J21"/>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6" t="s">
        <v>2118</v>
      </c>
      <c r="B1" s="2417"/>
      <c r="C1" s="2418"/>
      <c r="D1" s="2417"/>
      <c r="E1" s="2417"/>
      <c r="F1" s="2419" t="s">
        <v>2119</v>
      </c>
      <c r="G1" s="2072" t="s">
        <v>3213</v>
      </c>
      <c r="H1" s="2420" t="str">
        <f>IF(G1="现房","——","估价对象范围")</f>
        <v>——</v>
      </c>
      <c r="I1" s="2421"/>
    </row>
    <row r="2" spans="1:12" ht="21.75" customHeight="1" thickBot="1">
      <c r="A2" s="3177" t="str">
        <f>项目基本情况!S2</f>
        <v>北京市朝阳区朝阳路71号房地产</v>
      </c>
      <c r="B2" s="3178"/>
      <c r="C2" s="3178"/>
      <c r="D2" s="3178"/>
      <c r="E2" s="3178"/>
      <c r="F2" s="3178"/>
      <c r="G2" s="3178"/>
      <c r="H2" s="3178"/>
      <c r="I2" s="3179"/>
    </row>
    <row r="3" spans="1:12" ht="12.75">
      <c r="A3" s="3180" t="s">
        <v>2120</v>
      </c>
      <c r="B3" s="3181"/>
      <c r="C3" s="3181"/>
      <c r="D3" s="3181"/>
      <c r="E3" s="3181"/>
      <c r="F3" s="3181"/>
      <c r="G3" s="3181"/>
      <c r="H3" s="3181"/>
      <c r="I3" s="3181"/>
    </row>
    <row r="4" spans="1:12" ht="14.25">
      <c r="A4" s="2424" t="s">
        <v>2121</v>
      </c>
      <c r="B4" s="2425" t="s">
        <v>2122</v>
      </c>
      <c r="C4" s="2426"/>
      <c r="D4" s="2426"/>
      <c r="E4" s="3161" t="s">
        <v>2123</v>
      </c>
      <c r="F4" s="3174"/>
      <c r="G4" s="3174"/>
      <c r="H4" s="3174"/>
      <c r="I4" s="3162"/>
      <c r="K4" s="2427" t="str">
        <f>IF(ISNUMBER(FIND("比较法",'结果表-仓储'!C4)),"比较法",IF(ISNUMBER(FIND("成本法",'结果表-仓储'!C4)),"成本法",IF(ISNUMBER(FIND("假设开发法",'结果表-仓储'!C4)),"假设开发法",IF(ISNUMBER(FIND("收益法",'结果表-仓储'!C4)),"收益法","基准地价系数修正法"))))</f>
        <v>基准地价系数修正法</v>
      </c>
      <c r="L4" s="2427" t="str">
        <f>IF(ISNUMBER(FIND("比较法",'结果表-仓储'!D4)),"比较法",IF(ISNUMBER(FIND("成本法",'结果表-仓储'!D4)),"成本法",IF(ISNUMBER(FIND("假设开发法",'结果表-仓储'!D4)),"假设开发法",IF(ISNUMBER(FIND("收益法",'结果表-仓储'!D4)),"收益法","基准地价系数修正法"))))</f>
        <v>基准地价系数修正法</v>
      </c>
    </row>
    <row r="5" spans="1:12" ht="12.75">
      <c r="A5" s="3152" t="s">
        <v>2124</v>
      </c>
      <c r="B5" s="3074">
        <v>25</v>
      </c>
      <c r="C5" s="3182"/>
      <c r="D5" s="3170"/>
      <c r="E5" s="140" t="s">
        <v>2125</v>
      </c>
      <c r="F5" s="2428"/>
      <c r="G5" s="2428"/>
      <c r="H5" s="2428"/>
      <c r="I5" s="1833"/>
    </row>
    <row r="6" spans="1:12" ht="12.75">
      <c r="A6" s="3152"/>
      <c r="B6" s="3074"/>
      <c r="C6" s="3184"/>
      <c r="D6" s="3170"/>
      <c r="E6" s="140" t="s">
        <v>2126</v>
      </c>
      <c r="F6" s="2428"/>
      <c r="G6" s="2428"/>
      <c r="H6" s="2428"/>
      <c r="I6" s="1833"/>
    </row>
    <row r="7" spans="1:12" ht="12.75">
      <c r="A7" s="3152"/>
      <c r="B7" s="3074"/>
      <c r="C7" s="3183"/>
      <c r="D7" s="3170"/>
      <c r="E7" s="140" t="s">
        <v>2127</v>
      </c>
      <c r="F7" s="2428"/>
      <c r="G7" s="2428"/>
      <c r="H7" s="2428"/>
      <c r="I7" s="1833"/>
    </row>
    <row r="8" spans="1:12" ht="12.75">
      <c r="A8" s="3152" t="s">
        <v>2128</v>
      </c>
      <c r="B8" s="3074">
        <v>15</v>
      </c>
      <c r="C8" s="3182"/>
      <c r="D8" s="3170"/>
      <c r="E8" s="140" t="s">
        <v>2129</v>
      </c>
      <c r="F8" s="2428"/>
      <c r="G8" s="2428"/>
      <c r="H8" s="2428"/>
      <c r="I8" s="1833"/>
    </row>
    <row r="9" spans="1:12" ht="12.75">
      <c r="A9" s="3152"/>
      <c r="B9" s="3074"/>
      <c r="C9" s="3183"/>
      <c r="D9" s="3170"/>
      <c r="E9" s="140" t="s">
        <v>2130</v>
      </c>
      <c r="F9" s="2428"/>
      <c r="G9" s="2428"/>
      <c r="H9" s="2428"/>
      <c r="I9" s="1833"/>
    </row>
    <row r="10" spans="1:12" ht="12.75">
      <c r="A10" s="3152" t="s">
        <v>2131</v>
      </c>
      <c r="B10" s="3074">
        <v>15</v>
      </c>
      <c r="C10" s="3182"/>
      <c r="D10" s="3170"/>
      <c r="E10" s="140" t="s">
        <v>2132</v>
      </c>
      <c r="F10" s="2428"/>
      <c r="G10" s="2428"/>
      <c r="H10" s="2428"/>
      <c r="I10" s="1833"/>
    </row>
    <row r="11" spans="1:12" ht="12.75">
      <c r="A11" s="3152"/>
      <c r="B11" s="3074"/>
      <c r="C11" s="3183"/>
      <c r="D11" s="3170"/>
      <c r="E11" s="140" t="s">
        <v>2133</v>
      </c>
      <c r="F11" s="2428"/>
      <c r="G11" s="2428"/>
      <c r="H11" s="2428"/>
      <c r="I11" s="1833"/>
    </row>
    <row r="12" spans="1:12" ht="12.75">
      <c r="A12" s="3152" t="s">
        <v>2134</v>
      </c>
      <c r="B12" s="3074">
        <v>15</v>
      </c>
      <c r="C12" s="3182"/>
      <c r="D12" s="3170"/>
      <c r="E12" s="140" t="s">
        <v>2135</v>
      </c>
      <c r="F12" s="2428"/>
      <c r="G12" s="2428"/>
      <c r="H12" s="2428"/>
      <c r="I12" s="1833"/>
    </row>
    <row r="13" spans="1:12" ht="12.75">
      <c r="A13" s="3152"/>
      <c r="B13" s="3074"/>
      <c r="C13" s="3183"/>
      <c r="D13" s="3170"/>
      <c r="E13" s="140" t="s">
        <v>2136</v>
      </c>
      <c r="F13" s="2428"/>
      <c r="G13" s="2428"/>
      <c r="H13" s="2428"/>
      <c r="I13" s="1833"/>
    </row>
    <row r="14" spans="1:12" ht="12.75">
      <c r="A14" s="3152" t="s">
        <v>2137</v>
      </c>
      <c r="B14" s="3074">
        <v>30</v>
      </c>
      <c r="C14" s="3182"/>
      <c r="D14" s="3170"/>
      <c r="E14" s="140" t="s">
        <v>2138</v>
      </c>
      <c r="F14" s="2428"/>
      <c r="G14" s="2428"/>
      <c r="H14" s="2428"/>
      <c r="I14" s="1833"/>
    </row>
    <row r="15" spans="1:12" ht="12.75">
      <c r="A15" s="3152"/>
      <c r="B15" s="3074"/>
      <c r="C15" s="3184"/>
      <c r="D15" s="3170"/>
      <c r="E15" s="140" t="s">
        <v>2139</v>
      </c>
      <c r="F15" s="2428"/>
      <c r="G15" s="2428"/>
      <c r="H15" s="2428"/>
      <c r="I15" s="1833"/>
    </row>
    <row r="16" spans="1:12" ht="12.75">
      <c r="A16" s="3152"/>
      <c r="B16" s="3074"/>
      <c r="C16" s="3183"/>
      <c r="D16" s="3170"/>
      <c r="E16" s="140" t="s">
        <v>2140</v>
      </c>
      <c r="F16" s="2428"/>
      <c r="G16" s="2428"/>
      <c r="H16" s="2428"/>
      <c r="I16" s="1833"/>
    </row>
    <row r="17" spans="1:35" ht="15">
      <c r="A17" s="2429" t="s">
        <v>2141</v>
      </c>
      <c r="B17" s="64"/>
      <c r="C17" s="141">
        <f>SUM(C5:C16)</f>
        <v>0</v>
      </c>
      <c r="D17" s="141">
        <f>SUM(D5:D16)</f>
        <v>0</v>
      </c>
      <c r="E17" s="138"/>
      <c r="F17" s="138"/>
      <c r="G17" s="138"/>
      <c r="H17" s="138"/>
      <c r="I17" s="138"/>
      <c r="K17" s="2427"/>
      <c r="L17" s="2430" t="s">
        <v>2142</v>
      </c>
      <c r="M17" s="2430" t="s">
        <v>2143</v>
      </c>
    </row>
    <row r="18" spans="1:35" ht="15.75" thickBot="1">
      <c r="A18" s="2431" t="s">
        <v>2144</v>
      </c>
      <c r="B18" s="2432"/>
      <c r="C18" s="142" t="e">
        <f>ROUND(C17/SUM(C17:D17),2)</f>
        <v>#DIV/0!</v>
      </c>
      <c r="D18" s="142" t="e">
        <f>1-C18</f>
        <v>#DIV/0!</v>
      </c>
      <c r="E18" s="138"/>
      <c r="F18" s="138"/>
      <c r="G18" s="138"/>
      <c r="H18" s="138"/>
      <c r="I18" s="138"/>
      <c r="K18" s="2427" t="s">
        <v>2145</v>
      </c>
      <c r="L18" s="2427">
        <f>IF(C1="",'数据-汇总表'!E3,SUMIF(项目类型,C1,'数据-汇总表'!E17:E26)+SUMIF(项目类型,C1,'数据-汇总表'!I17:I26))</f>
        <v>3647.3</v>
      </c>
      <c r="M18" s="2427">
        <f>IF(C1="",'数据-汇总表'!E3,SUMIF(项目类型,C1,'数据-汇总表'!E17:E26))</f>
        <v>3647.3</v>
      </c>
    </row>
    <row r="19" spans="1:35" ht="15">
      <c r="A19" s="2433" t="s">
        <v>2146</v>
      </c>
      <c r="B19" s="2434" t="s">
        <v>2147</v>
      </c>
      <c r="C19" s="143" t="e">
        <f ca="1">SUMIF(INDIRECT("'"&amp;C4&amp;"'"&amp;"!A:A"),'结果表-仓储'!B19,INDIRECT("'"&amp;C4&amp;"'"&amp;"!B:B"))</f>
        <v>#REF!</v>
      </c>
      <c r="D19" s="144" t="e">
        <f ca="1">SUMIF(INDIRECT("'"&amp;D4&amp;"'"&amp;"!A:A"),'结果表-仓储'!B19,INDIRECT("'"&amp;D4&amp;"'"&amp;"!B:B"))</f>
        <v>#REF!</v>
      </c>
      <c r="E19" s="2433" t="s">
        <v>2148</v>
      </c>
      <c r="F19" s="2434" t="s">
        <v>2147</v>
      </c>
      <c r="G19" s="145" t="e">
        <f ca="1">ROUND(C19*$C$18+D19*$D$18,0)</f>
        <v>#REF!</v>
      </c>
      <c r="H19" s="2435" t="s">
        <v>2149</v>
      </c>
      <c r="I19" s="138"/>
      <c r="K19" s="2427" t="s">
        <v>2150</v>
      </c>
      <c r="L19" s="2427">
        <f>IF(C1="",'数据-汇总表'!D3,SUMIF(项目类型,C1,'数据-汇总表'!D17:D26)+SUMIF(项目类型,C1,'数据-汇总表'!H17:H27))</f>
        <v>1042.42</v>
      </c>
      <c r="M19" s="2427">
        <f>IF(C1="",'数据-汇总表'!D3,SUMIF(项目类型,C1,'数据-汇总表'!D17:D26))</f>
        <v>1042.42</v>
      </c>
    </row>
    <row r="20" spans="1:35" ht="15">
      <c r="A20" s="2436"/>
      <c r="B20" s="1249" t="s">
        <v>2151</v>
      </c>
      <c r="C20" s="146" t="e">
        <f ca="1">SUMIF(INDIRECT("'"&amp;C4&amp;"'"&amp;"!A:A"),'结果表-仓储'!B20,INDIRECT("'"&amp;C4&amp;"'"&amp;"!B:B"))</f>
        <v>#REF!</v>
      </c>
      <c r="D20" s="147" t="e">
        <f ca="1">SUMIF(INDIRECT("'"&amp;D4&amp;"'"&amp;"!A:A"),'结果表-仓储'!B20,INDIRECT("'"&amp;D4&amp;"'"&amp;"!B:B"))</f>
        <v>#REF!</v>
      </c>
      <c r="E20" s="2436"/>
      <c r="F20" s="1249" t="s">
        <v>2151</v>
      </c>
      <c r="G20" s="148" t="e">
        <f ca="1">ROUND(C20*$C$18+D20*$D$18,0)</f>
        <v>#REF!</v>
      </c>
      <c r="H20" s="982" t="s">
        <v>2152</v>
      </c>
      <c r="I20" s="138"/>
    </row>
    <row r="21" spans="1:35" ht="15" customHeight="1" thickBot="1">
      <c r="A21" s="1002"/>
      <c r="B21" s="2437" t="s">
        <v>2153</v>
      </c>
      <c r="C21" s="789" t="e">
        <f ca="1">ROUND(C19*10000/L19,0)</f>
        <v>#REF!</v>
      </c>
      <c r="D21" s="790" t="e">
        <f ca="1">ROUND(D19*10000/L19,0)</f>
        <v>#REF!</v>
      </c>
      <c r="E21" s="1002"/>
      <c r="F21" s="2437" t="s">
        <v>2153</v>
      </c>
      <c r="G21" s="149" t="e">
        <f ca="1">ROUND(G19*10000/L19,0)</f>
        <v>#REF!</v>
      </c>
      <c r="H21" s="2438" t="s">
        <v>2152</v>
      </c>
      <c r="I21" s="138"/>
    </row>
    <row r="22" spans="1:35" ht="15" thickBot="1">
      <c r="A22" s="2281" t="s">
        <v>2154</v>
      </c>
      <c r="B22" s="2439"/>
      <c r="C22" s="2440"/>
      <c r="D22" s="791" t="e">
        <f ca="1">IF(C19&lt;D19,D19/C19-1,C19/D19-1)</f>
        <v>#REF!</v>
      </c>
      <c r="E22" s="138"/>
      <c r="F22" s="138"/>
      <c r="G22" s="138"/>
      <c r="H22" s="138"/>
      <c r="I22" s="138"/>
    </row>
    <row r="23" spans="1:35" ht="13.5" thickBot="1">
      <c r="A23" s="2417"/>
      <c r="B23" s="2417"/>
      <c r="C23" s="2417"/>
      <c r="D23" s="2417"/>
      <c r="E23" s="138"/>
      <c r="F23" s="138"/>
      <c r="G23" s="138"/>
      <c r="H23" s="138"/>
      <c r="I23" s="138"/>
    </row>
    <row r="24" spans="1:35" ht="14.25">
      <c r="A24" s="3191" t="s">
        <v>2155</v>
      </c>
      <c r="B24" s="2434" t="s">
        <v>2147</v>
      </c>
      <c r="C24" s="145">
        <f>IF(B30=0,0,D30)</f>
        <v>0</v>
      </c>
      <c r="D24" s="2441"/>
      <c r="E24" s="138"/>
      <c r="F24" s="138"/>
      <c r="G24" s="138"/>
      <c r="H24" s="138"/>
      <c r="I24" s="138"/>
    </row>
    <row r="25" spans="1:35" ht="14.25">
      <c r="A25" s="3192"/>
      <c r="B25" s="1249"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6" t="s">
        <v>3042</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t="e">
        <f ca="1">IF(D32="总价",G19-C24,G20-C25)</f>
        <v>#REF!</v>
      </c>
      <c r="D32" s="2448" t="s">
        <v>2162</v>
      </c>
      <c r="E32" s="138"/>
      <c r="F32" s="138"/>
      <c r="G32" s="138"/>
      <c r="H32" s="138"/>
      <c r="I32" s="138"/>
    </row>
    <row r="33" spans="1:15" ht="15">
      <c r="A33" s="959" t="s">
        <v>2163</v>
      </c>
      <c r="B33" s="2449"/>
      <c r="C33" s="2450"/>
      <c r="D33" s="2451"/>
      <c r="E33" s="2452" t="s">
        <v>2164</v>
      </c>
      <c r="F33" s="2942" t="str">
        <f>IF(D32="楼面单价","取值（单价）","取值（总价）")</f>
        <v>取值（总价）</v>
      </c>
      <c r="G33" s="138"/>
      <c r="H33" s="138"/>
      <c r="I33" s="138"/>
    </row>
    <row r="34" spans="1:15" ht="15">
      <c r="A34" s="2454"/>
      <c r="B34" s="2455" t="s">
        <v>2165</v>
      </c>
      <c r="C34" s="157" t="e">
        <f ca="1">IF(C33="自定义",F34,C32-C35)</f>
        <v>#REF!</v>
      </c>
      <c r="D34" s="1057" t="e">
        <f ca="1">IF(C33="自定义",ROUND(C34/C32,3),IF(C33="收益比率",SUMIF(INDIRECT("'"&amp;D33&amp;"'"&amp;"!b:b"),"土地收益比率",INDIRECT("'"&amp;D33&amp;"'"&amp;"!c:c")),SUMIF(INDIRECT("'"&amp;D33&amp;"'"&amp;"!b:b"),"土地成本比率",INDIRECT("'"&amp;D33&amp;"'"&amp;"!c:c"))))</f>
        <v>#REF!</v>
      </c>
      <c r="E34" s="2456" t="s">
        <v>2166</v>
      </c>
      <c r="F34" s="1738"/>
      <c r="G34" s="138"/>
      <c r="H34" s="138"/>
      <c r="I34" s="138"/>
    </row>
    <row r="35" spans="1:15" ht="15.75" thickBot="1">
      <c r="A35" s="2457"/>
      <c r="B35" s="2458" t="s">
        <v>2167</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71" t="s">
        <v>2169</v>
      </c>
      <c r="B36" s="2460" t="s">
        <v>2170</v>
      </c>
      <c r="C36" s="154"/>
      <c r="D36" s="2461"/>
      <c r="E36" s="2462"/>
      <c r="F36" s="2463"/>
      <c r="G36" s="138"/>
      <c r="H36" s="138"/>
      <c r="I36" s="138"/>
    </row>
    <row r="37" spans="1:15" ht="15.75" thickBot="1">
      <c r="A37" s="3172"/>
      <c r="B37" s="2267" t="s">
        <v>2171</v>
      </c>
      <c r="C37" s="156"/>
      <c r="D37" s="1394"/>
      <c r="E37" s="1394"/>
      <c r="F37" s="2463"/>
      <c r="G37" s="138"/>
      <c r="H37" s="138"/>
      <c r="I37" s="138"/>
    </row>
    <row r="38" spans="1:15" ht="15.75" thickBot="1">
      <c r="A38" s="3173"/>
      <c r="B38" s="2464" t="s">
        <v>2172</v>
      </c>
      <c r="C38" s="727"/>
      <c r="D38" s="2465" t="s">
        <v>2173</v>
      </c>
      <c r="E38" s="1394"/>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6"/>
      <c r="B43" s="2166"/>
      <c r="C43" s="2166"/>
      <c r="D43" s="2166"/>
      <c r="E43" s="2166"/>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88" t="s">
        <v>2183</v>
      </c>
      <c r="B45" s="3189"/>
      <c r="C45" s="3190"/>
      <c r="D45" s="164" t="e">
        <f ca="1">ROUND(H101*F45,0)</f>
        <v>#REF!</v>
      </c>
      <c r="E45" s="165" t="s">
        <v>2184</v>
      </c>
      <c r="F45" s="166">
        <v>1</v>
      </c>
      <c r="G45" s="167" t="s">
        <v>2185</v>
      </c>
      <c r="H45" s="138"/>
      <c r="I45" s="138"/>
      <c r="J45" s="3107" t="s">
        <v>2186</v>
      </c>
      <c r="K45" s="3107"/>
      <c r="L45" s="3107"/>
      <c r="M45" s="3107"/>
      <c r="N45" s="3107"/>
      <c r="O45" s="3107"/>
    </row>
    <row r="46" spans="1:15" ht="14.25" customHeight="1">
      <c r="A46" s="3185" t="s">
        <v>2187</v>
      </c>
      <c r="B46" s="3186"/>
      <c r="C46" s="3186"/>
      <c r="D46" s="3186"/>
      <c r="E46" s="3186"/>
      <c r="F46" s="3186"/>
      <c r="G46" s="3187"/>
      <c r="H46" s="2479"/>
      <c r="I46" s="168"/>
      <c r="J46" s="2956">
        <v>1</v>
      </c>
      <c r="K46" s="3107" t="s">
        <v>2188</v>
      </c>
      <c r="L46" s="3107"/>
      <c r="M46" s="3108"/>
      <c r="N46" s="3108"/>
      <c r="O46" s="3108"/>
    </row>
    <row r="47" spans="1:15" ht="12" customHeight="1">
      <c r="A47" s="169" t="s">
        <v>2189</v>
      </c>
      <c r="B47" s="170"/>
      <c r="C47" s="171"/>
      <c r="D47" s="172" t="s">
        <v>2190</v>
      </c>
      <c r="E47" s="24" t="s">
        <v>2191</v>
      </c>
      <c r="F47" s="173" t="s">
        <v>2192</v>
      </c>
      <c r="G47" s="174" t="s">
        <v>2193</v>
      </c>
      <c r="H47" s="2479"/>
      <c r="I47" s="168"/>
      <c r="J47" s="2956">
        <v>2</v>
      </c>
      <c r="K47" s="3107" t="s">
        <v>2194</v>
      </c>
      <c r="L47" s="3107"/>
      <c r="M47" s="3109">
        <f>'数据-取费表'!B2</f>
        <v>43100</v>
      </c>
      <c r="N47" s="3109"/>
      <c r="O47" s="3109"/>
    </row>
    <row r="48" spans="1:15" ht="25.5">
      <c r="A48" s="3175" t="s">
        <v>2195</v>
      </c>
      <c r="B48" s="3176"/>
      <c r="C48" s="3176"/>
      <c r="D48" s="140">
        <f>IF(H48="情况1",0,IF(H48="情况2",D52,IF(H48="情况3",D53,IF(H48="情况4",D54))))</f>
        <v>0</v>
      </c>
      <c r="E48" s="2946" t="str">
        <f>IF(H48="情况4","(销售额-原购置价)×税（费）率","销售额×税（费）率")</f>
        <v>销售额×税（费）率</v>
      </c>
      <c r="F48" s="175" t="str">
        <f>IF(H48="情况1","免征",'数据-取费表'!B41)</f>
        <v>免征</v>
      </c>
      <c r="G48" s="2480" t="s">
        <v>2196</v>
      </c>
      <c r="H48" s="2481" t="s">
        <v>2197</v>
      </c>
      <c r="I48" s="2479"/>
      <c r="J48" s="2956">
        <v>3</v>
      </c>
      <c r="K48" s="3107" t="s">
        <v>2198</v>
      </c>
      <c r="L48" s="3107"/>
      <c r="M48" s="3110" t="e">
        <f ca="1">H101</f>
        <v>#REF!</v>
      </c>
      <c r="N48" s="3110"/>
      <c r="O48" s="3110"/>
    </row>
    <row r="49" spans="1:35" ht="25.5" customHeight="1">
      <c r="A49" s="176" t="s">
        <v>2199</v>
      </c>
      <c r="B49" s="3155" t="s">
        <v>2200</v>
      </c>
      <c r="C49" s="3155"/>
      <c r="D49" s="177">
        <v>0</v>
      </c>
      <c r="E49" s="23" t="s">
        <v>2201</v>
      </c>
      <c r="F49" s="28" t="s">
        <v>34</v>
      </c>
      <c r="G49" s="3136"/>
      <c r="H49" s="138"/>
      <c r="I49" s="2482"/>
      <c r="J49" s="2956">
        <v>4</v>
      </c>
      <c r="K49" s="3107" t="str">
        <f>IF(项目基本情况!E8="房地产抵押价值","房地产抵押价值","抵押担保权已注销时的房地产抵押价值")</f>
        <v>抵押担保权已注销时的房地产抵押价值</v>
      </c>
      <c r="L49" s="3107"/>
      <c r="M49" s="3110" t="str">
        <f>IF(项目基本情况!E8="房地产抵押价值",H107,H109)</f>
        <v>——</v>
      </c>
      <c r="N49" s="3110"/>
      <c r="O49" s="3110"/>
    </row>
    <row r="50" spans="1:35" ht="25.5" customHeight="1">
      <c r="A50" s="178"/>
      <c r="B50" s="3155" t="s">
        <v>2202</v>
      </c>
      <c r="C50" s="3155"/>
      <c r="D50" s="179"/>
      <c r="E50" s="31"/>
      <c r="F50" s="180"/>
      <c r="G50" s="3137"/>
      <c r="H50" s="138"/>
      <c r="I50" s="2482"/>
      <c r="J50" s="3107" t="s">
        <v>2203</v>
      </c>
      <c r="K50" s="3107"/>
      <c r="L50" s="3107"/>
      <c r="M50" s="3107"/>
      <c r="N50" s="3107"/>
      <c r="O50" s="3107"/>
    </row>
    <row r="51" spans="1:35" ht="12" customHeight="1">
      <c r="A51" s="181"/>
      <c r="B51" s="3155" t="s">
        <v>2204</v>
      </c>
      <c r="C51" s="3155"/>
      <c r="D51" s="182"/>
      <c r="E51" s="30"/>
      <c r="F51" s="180"/>
      <c r="G51" s="3138"/>
      <c r="H51" s="138"/>
      <c r="I51" s="2482"/>
      <c r="J51" s="2955" t="s">
        <v>2205</v>
      </c>
      <c r="K51" s="3107" t="s">
        <v>2206</v>
      </c>
      <c r="L51" s="3107"/>
      <c r="M51" s="2955" t="s">
        <v>2207</v>
      </c>
      <c r="N51" s="2955" t="s">
        <v>2208</v>
      </c>
      <c r="O51" s="2955" t="s">
        <v>2209</v>
      </c>
    </row>
    <row r="52" spans="1:35" ht="24" customHeight="1">
      <c r="A52" s="183" t="s">
        <v>2210</v>
      </c>
      <c r="B52" s="3155" t="s">
        <v>2211</v>
      </c>
      <c r="C52" s="3155"/>
      <c r="D52" s="182" t="e">
        <f ca="1">ROUND(D45*'数据-取费表'!B41/(1+'数据-取费表'!C42),0)</f>
        <v>#REF!</v>
      </c>
      <c r="E52" s="11" t="s">
        <v>2212</v>
      </c>
      <c r="F52" s="184">
        <f>'数据-取费表'!B41</f>
        <v>5.6000000000000001E-2</v>
      </c>
      <c r="G52" s="2484"/>
      <c r="H52" s="138"/>
      <c r="I52" s="2482"/>
      <c r="J52" s="2956">
        <v>1</v>
      </c>
      <c r="K52" s="3130" t="s">
        <v>2213</v>
      </c>
      <c r="L52" s="3130"/>
      <c r="M52" s="1753">
        <f>D48</f>
        <v>0</v>
      </c>
      <c r="N52" s="2956" t="str">
        <f>E48</f>
        <v>销售额×税（费）率</v>
      </c>
      <c r="O52" s="1754" t="str">
        <f>F48</f>
        <v>免征</v>
      </c>
    </row>
    <row r="53" spans="1:35" ht="12" customHeight="1">
      <c r="A53" s="183" t="s">
        <v>2214</v>
      </c>
      <c r="B53" s="3156" t="s">
        <v>2215</v>
      </c>
      <c r="C53" s="3157"/>
      <c r="D53" s="182" t="e">
        <f ca="1">ROUND(D45*'数据-取费表'!B41/(1+'数据-取费表'!C42),0)</f>
        <v>#REF!</v>
      </c>
      <c r="E53" s="11" t="s">
        <v>2212</v>
      </c>
      <c r="F53" s="184">
        <f>'数据-取费表'!B41</f>
        <v>5.6000000000000001E-2</v>
      </c>
      <c r="G53" s="2484"/>
      <c r="H53" s="138"/>
      <c r="I53" s="2482"/>
      <c r="J53" s="2956">
        <v>2</v>
      </c>
      <c r="K53" s="3130" t="s">
        <v>2216</v>
      </c>
      <c r="L53" s="3130"/>
      <c r="M53" s="1753" t="e">
        <f t="shared" ref="M53:O54" ca="1" si="0">D55</f>
        <v>#REF!</v>
      </c>
      <c r="N53" s="2956" t="str">
        <f t="shared" si="0"/>
        <v>销售额×税（费）率</v>
      </c>
      <c r="O53" s="1754">
        <f t="shared" si="0"/>
        <v>5.0000000000000001E-4</v>
      </c>
    </row>
    <row r="54" spans="1:35" ht="12" customHeight="1">
      <c r="A54" s="183" t="s">
        <v>2217</v>
      </c>
      <c r="B54" s="3156" t="s">
        <v>2218</v>
      </c>
      <c r="C54" s="3157"/>
      <c r="D54" s="182" t="e">
        <f ca="1">C68</f>
        <v>#REF!</v>
      </c>
      <c r="E54" s="30" t="s">
        <v>2219</v>
      </c>
      <c r="F54" s="184">
        <f>'数据-取费表'!B41</f>
        <v>5.6000000000000001E-2</v>
      </c>
      <c r="G54" s="2484"/>
      <c r="H54" s="2485"/>
      <c r="I54" s="2482"/>
      <c r="J54" s="2956">
        <v>3</v>
      </c>
      <c r="K54" s="3130" t="s">
        <v>2220</v>
      </c>
      <c r="L54" s="3130"/>
      <c r="M54" s="1753" t="e">
        <f t="shared" ca="1" si="0"/>
        <v>#REF!</v>
      </c>
      <c r="N54" s="2956" t="str">
        <f t="shared" si="0"/>
        <v>增值额×税（费）率</v>
      </c>
      <c r="O54" s="1755" t="str">
        <f t="shared" si="0"/>
        <v>——</v>
      </c>
    </row>
    <row r="55" spans="1:35" ht="24" customHeight="1">
      <c r="A55" s="3194" t="s">
        <v>2221</v>
      </c>
      <c r="B55" s="3176"/>
      <c r="C55" s="3176"/>
      <c r="D55" s="185" t="e">
        <f ca="1">IF(H55="个人住宅",0,ROUND(D45*I55,0))</f>
        <v>#REF!</v>
      </c>
      <c r="E55" s="11" t="s">
        <v>2222</v>
      </c>
      <c r="F55" s="184">
        <f>IF(H55="正常",I55,"免征")</f>
        <v>5.0000000000000001E-4</v>
      </c>
      <c r="G55" s="2484"/>
      <c r="H55" s="2481" t="s">
        <v>2223</v>
      </c>
      <c r="I55" s="186">
        <f>'数据-取费表'!B49</f>
        <v>5.0000000000000001E-4</v>
      </c>
      <c r="J55" s="2956" t="str">
        <f>IF(H59="非个人房产","",4)</f>
        <v/>
      </c>
      <c r="K55" s="3130" t="str">
        <f>IF(H59="非个人房产","——","个人所得税")</f>
        <v>——</v>
      </c>
      <c r="L55" s="3130"/>
      <c r="M55" s="1756" t="str">
        <f>D59</f>
        <v>——</v>
      </c>
      <c r="N55" s="2957" t="str">
        <f>E59</f>
        <v>——</v>
      </c>
      <c r="O55" s="1757" t="str">
        <f>F59</f>
        <v>——</v>
      </c>
    </row>
    <row r="56" spans="1:35" ht="24.75">
      <c r="A56" s="3194" t="s">
        <v>2224</v>
      </c>
      <c r="B56" s="3176"/>
      <c r="C56" s="3176"/>
      <c r="D56" s="185" t="e">
        <f ca="1">IF(H56="个人住宅",D57,D58)</f>
        <v>#REF!</v>
      </c>
      <c r="E56" s="11" t="s">
        <v>2225</v>
      </c>
      <c r="F56" s="184" t="str">
        <f>IF(H56="正常",F58,"免征")</f>
        <v>——</v>
      </c>
      <c r="G56" s="2486" t="s">
        <v>2226</v>
      </c>
      <c r="H56" s="2487" t="s">
        <v>2223</v>
      </c>
      <c r="I56" s="2488"/>
      <c r="J56" s="2956" t="str">
        <f>IF(项目基本情况!K6="上海银行",IF(J55="",4,J55+1),"")</f>
        <v/>
      </c>
      <c r="K56" s="3113" t="str">
        <f>IF(项目基本情况!K6="上海银行","其他处置费用","")</f>
        <v/>
      </c>
      <c r="L56" s="3114"/>
      <c r="M56" s="1753" t="str">
        <f>IF(项目基本情况!K6="上海银行",M69,"")</f>
        <v/>
      </c>
      <c r="N56" s="3116" t="str">
        <f>IF(项目基本情况!K6="上海银行","包含处置中涉及的律师、诉讼、拍卖、评估等费用","")</f>
        <v/>
      </c>
      <c r="O56" s="3117"/>
    </row>
    <row r="57" spans="1:35" ht="12.75">
      <c r="A57" s="183" t="s">
        <v>2199</v>
      </c>
      <c r="B57" s="3161" t="s">
        <v>2227</v>
      </c>
      <c r="C57" s="3162"/>
      <c r="D57" s="187">
        <v>0</v>
      </c>
      <c r="E57" s="23" t="s">
        <v>2201</v>
      </c>
      <c r="F57" s="155"/>
      <c r="G57" s="2484"/>
      <c r="H57" s="2488"/>
      <c r="I57" s="2488"/>
      <c r="J57" s="3130">
        <f>IF(AND(J55="",J56=""),4,IF(项目基本情况!K6="上海银行",'结果表-仓储'!J56+1,'结果表-仓储'!J55+1))</f>
        <v>4</v>
      </c>
      <c r="K57" s="3130" t="s">
        <v>2228</v>
      </c>
      <c r="L57" s="2489" t="s">
        <v>2229</v>
      </c>
      <c r="M57" s="1758"/>
      <c r="N57" s="1759">
        <f ca="1">SUMIF(M52:M56,"&lt;9e307")</f>
        <v>0</v>
      </c>
      <c r="O57" s="2490"/>
      <c r="P57" s="1752" t="e">
        <f ca="1">N57/M49</f>
        <v>#VALUE!</v>
      </c>
    </row>
    <row r="58" spans="1:35" ht="24.75">
      <c r="A58" s="183" t="s">
        <v>2210</v>
      </c>
      <c r="B58" s="3161" t="s">
        <v>2230</v>
      </c>
      <c r="C58" s="3174"/>
      <c r="D58" s="185" t="e">
        <f ca="1">IF(H58="转让取得",C81,C97)</f>
        <v>#REF!</v>
      </c>
      <c r="E58" s="11" t="s">
        <v>2225</v>
      </c>
      <c r="F58" s="24" t="s">
        <v>34</v>
      </c>
      <c r="G58" s="2484"/>
      <c r="H58" s="2487" t="s">
        <v>2231</v>
      </c>
      <c r="I58" s="2488"/>
      <c r="J58" s="3130"/>
      <c r="K58" s="3130"/>
      <c r="L58" s="2489" t="s">
        <v>2232</v>
      </c>
      <c r="M58" s="1760"/>
      <c r="N58" s="2491" t="str">
        <f ca="1">NUMBERSTRING(INT(N57*10000),2)&amp;"元整"</f>
        <v>零元整</v>
      </c>
      <c r="O58" s="2492"/>
    </row>
    <row r="59" spans="1:35" ht="24.75" thickBot="1">
      <c r="A59" s="3134" t="s">
        <v>2233</v>
      </c>
      <c r="B59" s="3135"/>
      <c r="C59" s="3135"/>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32">
        <f>J57+1</f>
        <v>5</v>
      </c>
      <c r="K59" s="3130" t="s">
        <v>2235</v>
      </c>
      <c r="L59" s="2956" t="s">
        <v>2229</v>
      </c>
      <c r="M59" s="1761"/>
      <c r="N59" s="1762" t="e">
        <f ca="1">M49-N57</f>
        <v>#VALUE!</v>
      </c>
      <c r="O59" s="2494"/>
    </row>
    <row r="60" spans="1:35" ht="12" customHeight="1">
      <c r="A60" s="2495"/>
      <c r="B60" s="2417"/>
      <c r="C60" s="2417"/>
      <c r="D60" s="2417"/>
      <c r="E60" s="2167"/>
      <c r="F60" s="2488"/>
      <c r="G60" s="2488"/>
      <c r="H60" s="2496"/>
      <c r="I60" s="138"/>
      <c r="J60" s="3133"/>
      <c r="K60" s="3130"/>
      <c r="L60" s="2489" t="s">
        <v>2232</v>
      </c>
      <c r="M60" s="1760"/>
      <c r="N60" s="2491" t="e">
        <f ca="1">NUMBERSTRING(INT(N59*10000),2)&amp;"元整"</f>
        <v>#VALUE!</v>
      </c>
      <c r="O60" s="2492"/>
    </row>
    <row r="61" spans="1:35" ht="13.5" thickBot="1">
      <c r="A61" s="3193" t="s">
        <v>2236</v>
      </c>
      <c r="B61" s="3193"/>
      <c r="C61" s="3193"/>
      <c r="D61" s="3193"/>
      <c r="E61" s="3193"/>
      <c r="F61" s="2488"/>
      <c r="G61" s="2488"/>
      <c r="H61" s="2496"/>
      <c r="I61" s="138"/>
      <c r="J61" s="2956">
        <f>J59+1</f>
        <v>6</v>
      </c>
      <c r="K61" s="3130" t="s">
        <v>2237</v>
      </c>
      <c r="L61" s="3130"/>
      <c r="M61" s="1763"/>
      <c r="N61" s="1764" t="e">
        <f ca="1">ROUND(N59*10000/'数据-汇总表'!E3,0)</f>
        <v>#VALUE!</v>
      </c>
      <c r="O61" s="2497"/>
    </row>
    <row r="62" spans="1:35" ht="12.75">
      <c r="A62" s="3150" t="s">
        <v>2238</v>
      </c>
      <c r="B62" s="3151"/>
      <c r="C62" s="2949"/>
      <c r="D62" s="2949" t="s">
        <v>2239</v>
      </c>
      <c r="E62" s="192" t="s">
        <v>2240</v>
      </c>
      <c r="F62" s="2488"/>
      <c r="G62" s="2488"/>
      <c r="H62" s="2496"/>
      <c r="I62" s="138"/>
    </row>
    <row r="63" spans="1:35" ht="12.75">
      <c r="A63" s="203" t="s">
        <v>775</v>
      </c>
      <c r="B63" s="193" t="s">
        <v>2241</v>
      </c>
      <c r="C63" s="194" t="e">
        <f ca="1">ROUND((C64+C65)/(1+'数据-取费表'!C42),0)</f>
        <v>#REF!</v>
      </c>
      <c r="D63" s="195"/>
      <c r="E63" s="196"/>
      <c r="F63" s="2488"/>
      <c r="G63" s="2488"/>
      <c r="H63" s="2496"/>
      <c r="I63" s="138"/>
      <c r="J63" s="3115" t="s">
        <v>2242</v>
      </c>
      <c r="K63" s="2960" t="s">
        <v>2243</v>
      </c>
      <c r="L63" s="1751"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t="e">
        <f ca="1">D45</f>
        <v>#REF!</v>
      </c>
      <c r="D64" s="200" t="s">
        <v>32</v>
      </c>
      <c r="E64" s="201"/>
      <c r="F64" s="2488"/>
      <c r="G64" s="2488"/>
      <c r="H64" s="2496"/>
      <c r="I64" s="138"/>
      <c r="J64" s="3115"/>
      <c r="K64" s="2960" t="s">
        <v>2245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15"/>
      <c r="K65" s="2960" t="s">
        <v>2248</v>
      </c>
      <c r="L65" s="1751"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5" t="s">
        <v>1371</v>
      </c>
      <c r="F66" s="2488"/>
      <c r="G66" s="2488"/>
      <c r="H66" s="2496"/>
      <c r="I66" s="138"/>
      <c r="J66" s="3115"/>
      <c r="K66" s="2960" t="s">
        <v>2250</v>
      </c>
      <c r="L66" s="1751" t="e">
        <f>M49*0.5%</f>
        <v>#VALUE!</v>
      </c>
      <c r="M66" s="24" t="e">
        <f>IF(L66&gt;0.5,0.5,ROUND(L66,0))</f>
        <v>#VALUE!</v>
      </c>
      <c r="N66" s="138" t="s">
        <v>2251</v>
      </c>
      <c r="Z66" s="2422"/>
      <c r="AI66" s="2423"/>
    </row>
    <row r="67" spans="1:35" ht="14.25" customHeight="1">
      <c r="A67" s="203" t="s">
        <v>773</v>
      </c>
      <c r="B67" s="204" t="s">
        <v>2252</v>
      </c>
      <c r="C67" s="207" t="e">
        <f ca="1">C63-C66</f>
        <v>#REF!</v>
      </c>
      <c r="D67" s="200" t="s">
        <v>32</v>
      </c>
      <c r="E67" s="201"/>
      <c r="F67" s="2488"/>
      <c r="G67" s="2488"/>
      <c r="H67" s="2496"/>
      <c r="I67" s="138"/>
      <c r="J67" s="3115"/>
      <c r="K67" s="2960" t="s">
        <v>2253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t="e">
        <f ca="1">IF(C67&lt;=0,0,ROUND(C67*D68,0))</f>
        <v>#REF!</v>
      </c>
      <c r="D68" s="211">
        <f>'数据-取费表'!B41</f>
        <v>5.6000000000000001E-2</v>
      </c>
      <c r="E68" s="212"/>
      <c r="F68" s="2488"/>
      <c r="G68" s="2488"/>
      <c r="H68" s="2496"/>
      <c r="I68" s="138"/>
      <c r="J68" s="3115"/>
      <c r="K68" s="2960" t="s">
        <v>2255</v>
      </c>
      <c r="L68" s="1751"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7"/>
      <c r="G69" s="2167"/>
      <c r="H69" s="2166"/>
      <c r="I69" s="2417"/>
      <c r="J69" s="3115"/>
      <c r="K69" s="2960" t="s">
        <v>2256</v>
      </c>
      <c r="L69" s="2504"/>
      <c r="M69" s="24" t="e">
        <f>ROUND(SUM(M63:M68),0)</f>
        <v>#VALUE!</v>
      </c>
      <c r="N69" s="1752"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59" t="s">
        <v>2257</v>
      </c>
      <c r="B70" s="3160"/>
      <c r="C70" s="3160"/>
      <c r="D70" s="3160"/>
      <c r="E70" s="3160"/>
      <c r="F70" s="3160"/>
      <c r="G70" s="3160"/>
      <c r="H70" s="316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0" t="s">
        <v>2238</v>
      </c>
      <c r="B71" s="3151"/>
      <c r="C71" s="2949"/>
      <c r="D71" s="294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t="e">
        <f ca="1">ROUND(D45/(1+'数据-取费表'!C42),0)</f>
        <v>#REF!</v>
      </c>
      <c r="D72" s="200" t="s">
        <v>32</v>
      </c>
      <c r="E72" s="2948"/>
      <c r="F72" s="2943"/>
      <c r="G72" s="294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t="e">
        <f ca="1">C74+C78</f>
        <v>#REF!</v>
      </c>
      <c r="D73" s="200" t="s">
        <v>32</v>
      </c>
      <c r="E73" s="2948"/>
      <c r="F73" s="2943"/>
      <c r="G73" s="294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48"/>
      <c r="F74" s="2943"/>
      <c r="G74" s="294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56" t="s">
        <v>2266</v>
      </c>
      <c r="F76" s="3155"/>
      <c r="G76" s="3155"/>
      <c r="H76" s="315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61" t="s">
        <v>2268</v>
      </c>
      <c r="F77" s="224"/>
      <c r="G77" s="2512" t="s">
        <v>2269</v>
      </c>
      <c r="H77" s="295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t="e">
        <f ca="1">ROUND(D45*D78/(1+'数据-取费表'!C42),0)</f>
        <v>#REF!</v>
      </c>
      <c r="D78" s="226">
        <f>'数据-取费表'!B43</f>
        <v>6.000000000000001E-3</v>
      </c>
      <c r="E78" s="3147" t="s">
        <v>2271</v>
      </c>
      <c r="F78" s="3148"/>
      <c r="G78" s="3148"/>
      <c r="H78" s="314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2272</v>
      </c>
      <c r="C79" s="207" t="e">
        <f ca="1">C72-C73</f>
        <v>#REF!</v>
      </c>
      <c r="D79" s="200" t="s">
        <v>32</v>
      </c>
      <c r="E79" s="2948"/>
      <c r="F79" s="2943"/>
      <c r="G79" s="294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t="e">
        <f ca="1">IF(C79&lt;=0,0,C79/C73)</f>
        <v>#REF!</v>
      </c>
      <c r="D80" s="200" t="s">
        <v>32</v>
      </c>
      <c r="E80" s="2961" t="e">
        <f ca="1">IF(C80&gt;=200%,"增值额超过扣除项目金额200%",IF(C80&gt;=100%,"增值额超过扣除项目金额100%，未超过200%",IF(C80&gt;=50%,"增值额超过扣除项目金额50%，未超过100%",IF(C80&lt;50%,"增值额未超过扣除项目金额50%"))))</f>
        <v>#REF!</v>
      </c>
      <c r="F80" s="2943"/>
      <c r="G80" s="294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59" t="s">
        <v>2275</v>
      </c>
      <c r="B83" s="3160"/>
      <c r="C83" s="3160"/>
      <c r="D83" s="3160"/>
      <c r="E83" s="3160"/>
      <c r="F83" s="3160"/>
      <c r="G83" s="3160"/>
      <c r="H83" s="316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0" t="s">
        <v>2238</v>
      </c>
      <c r="B84" s="3151"/>
      <c r="C84" s="2949"/>
      <c r="D84" s="294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t="e">
        <f ca="1">ROUND(D45/(1+'数据-取费表'!C42),0)</f>
        <v>#REF!</v>
      </c>
      <c r="D85" s="200" t="s">
        <v>32</v>
      </c>
      <c r="E85" s="2948"/>
      <c r="F85" s="2943"/>
      <c r="G85" s="294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t="e">
        <f ca="1">IF(H88="仅含出让金",C87+C90+C91+C92+C93+C94,C87+C91+C92+C93+C94)</f>
        <v>#REF!</v>
      </c>
      <c r="D86" s="235"/>
      <c r="E86" s="2948"/>
      <c r="F86" s="2943"/>
      <c r="G86" s="294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44"/>
      <c r="F87" s="2945"/>
      <c r="G87" s="2945"/>
      <c r="H87" s="294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45"/>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45"/>
      <c r="G89" s="2945"/>
      <c r="H89" s="294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45"/>
      <c r="G90" s="2945"/>
      <c r="H90" s="294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47" t="s">
        <v>2284</v>
      </c>
      <c r="F91" s="3148"/>
      <c r="G91" s="3148"/>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47" t="s">
        <v>2288</v>
      </c>
      <c r="F92" s="3148"/>
      <c r="G92" s="3148"/>
      <c r="H92" s="314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t="e">
        <f ca="1">ROUND(D45*D93/(1+'数据-取费表'!C42),0)</f>
        <v>#REF!</v>
      </c>
      <c r="D93" s="226">
        <f>'数据-取费表'!B43</f>
        <v>6.000000000000001E-3</v>
      </c>
      <c r="E93" s="3147" t="s">
        <v>2271</v>
      </c>
      <c r="F93" s="3148"/>
      <c r="G93" s="3148"/>
      <c r="H93" s="314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95" t="s">
        <v>2292</v>
      </c>
      <c r="F94" s="3196"/>
      <c r="G94" s="3196"/>
      <c r="H94" s="319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2272</v>
      </c>
      <c r="C95" s="207" t="e">
        <f ca="1">ROUND(C85-C86,0)</f>
        <v>#REF!</v>
      </c>
      <c r="D95" s="200" t="s">
        <v>32</v>
      </c>
      <c r="E95" s="2948"/>
      <c r="F95" s="2943"/>
      <c r="G95" s="294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t="e">
        <f ca="1">IF(C95&lt;=0,0,C95/C86)</f>
        <v>#REF!</v>
      </c>
      <c r="D96" s="200" t="s">
        <v>32</v>
      </c>
      <c r="E96" s="2961" t="e">
        <f ca="1">IF(C96&gt;=200%,"增值额超过扣除项目金额200%",IF(C96&gt;=100%,"增值额超过扣除项目金额100%，未超过200%",IF(C96&gt;=50%,"增值额超过扣除项目金额50%，未超过100%",IF(C96&lt;50%,"增值额未超过扣除项目金额50%"))))</f>
        <v>#REF!</v>
      </c>
      <c r="F96" s="2943"/>
      <c r="G96" s="294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7"/>
      <c r="F98" s="2167"/>
      <c r="G98" s="2167"/>
      <c r="H98" s="2166"/>
      <c r="I98" s="138"/>
    </row>
    <row r="99" spans="1:35" ht="21.75" customHeight="1" thickBot="1">
      <c r="A99" s="2473" t="s">
        <v>2293</v>
      </c>
      <c r="B99" s="2417"/>
      <c r="C99" s="2417"/>
      <c r="D99" s="2417"/>
      <c r="E99" s="2167"/>
      <c r="F99" s="2167"/>
      <c r="G99" s="2167"/>
      <c r="H99" s="2166"/>
      <c r="I99" s="138"/>
    </row>
    <row r="100" spans="1:35" ht="18.75" customHeight="1">
      <c r="A100" s="3095" t="s">
        <v>2294</v>
      </c>
      <c r="B100" s="3096"/>
      <c r="C100" s="3096"/>
      <c r="D100" s="3131"/>
      <c r="E100" s="3096" t="s">
        <v>2295</v>
      </c>
      <c r="F100" s="3096"/>
      <c r="G100" s="3096"/>
      <c r="H100" s="3131"/>
      <c r="I100" s="138"/>
    </row>
    <row r="101" spans="1:35" ht="18.75" customHeight="1">
      <c r="A101" s="3139" t="s">
        <v>2296</v>
      </c>
      <c r="B101" s="3140"/>
      <c r="C101" s="736">
        <f>C4</f>
        <v>0</v>
      </c>
      <c r="D101" s="737">
        <f>D4</f>
        <v>0</v>
      </c>
      <c r="E101" s="3111" t="s">
        <v>2297</v>
      </c>
      <c r="F101" s="3112"/>
      <c r="G101" s="2519" t="s">
        <v>2298</v>
      </c>
      <c r="H101" s="1047" t="e">
        <f ca="1">H118</f>
        <v>#REF!</v>
      </c>
      <c r="I101" s="138"/>
    </row>
    <row r="102" spans="1:35" ht="18.75" customHeight="1">
      <c r="A102" s="3141" t="s">
        <v>2299</v>
      </c>
      <c r="B102" s="2519" t="s">
        <v>2298</v>
      </c>
      <c r="C102" s="736" t="e">
        <f ca="1">C19</f>
        <v>#REF!</v>
      </c>
      <c r="D102" s="737" t="e">
        <f ca="1">D19</f>
        <v>#REF!</v>
      </c>
      <c r="E102" s="3111"/>
      <c r="F102" s="3112"/>
      <c r="G102" s="2519" t="s">
        <v>2300</v>
      </c>
      <c r="H102" s="371" t="e">
        <f ca="1">I118</f>
        <v>#REF!</v>
      </c>
      <c r="I102" s="138"/>
    </row>
    <row r="103" spans="1:35" ht="42.75" customHeight="1">
      <c r="A103" s="3141"/>
      <c r="B103" s="2519" t="s">
        <v>2300</v>
      </c>
      <c r="C103" s="738" t="e">
        <f ca="1">C20</f>
        <v>#REF!</v>
      </c>
      <c r="D103" s="739" t="e">
        <f ca="1">D20</f>
        <v>#REF!</v>
      </c>
      <c r="E103" s="3105" t="s">
        <v>2301</v>
      </c>
      <c r="F103" s="3106"/>
      <c r="G103" s="2520" t="s">
        <v>2302</v>
      </c>
      <c r="H103" s="1047">
        <f>IF(D36="正常操作",H104+H105+H106,H105+H106)</f>
        <v>0</v>
      </c>
      <c r="I103" s="138"/>
    </row>
    <row r="104" spans="1:35" ht="18.75" customHeight="1">
      <c r="A104" s="3141" t="s">
        <v>2303</v>
      </c>
      <c r="B104" s="2521" t="s">
        <v>2298</v>
      </c>
      <c r="C104" s="740" t="e">
        <f ca="1">H118</f>
        <v>#REF!</v>
      </c>
      <c r="D104" s="741"/>
      <c r="E104" s="2267" t="s">
        <v>2304</v>
      </c>
      <c r="F104" s="2259"/>
      <c r="G104" s="2520" t="s">
        <v>2302</v>
      </c>
      <c r="H104" s="1048">
        <f>IF(D36="同一抵押权人同一抵押物续贷",C36&amp;"（未扣减，详见特别提示）",C36)</f>
        <v>0</v>
      </c>
      <c r="I104" s="138"/>
    </row>
    <row r="105" spans="1:35" ht="18.75" customHeight="1" thickBot="1">
      <c r="A105" s="3153"/>
      <c r="B105" s="2522" t="s">
        <v>2300</v>
      </c>
      <c r="C105" s="742" t="e">
        <f ca="1">I118</f>
        <v>#REF!</v>
      </c>
      <c r="D105" s="743"/>
      <c r="E105" s="2267" t="s">
        <v>2305</v>
      </c>
      <c r="F105" s="2259"/>
      <c r="G105" s="2520" t="s">
        <v>2302</v>
      </c>
      <c r="H105" s="1048">
        <f>C37</f>
        <v>0</v>
      </c>
      <c r="I105" s="138"/>
    </row>
    <row r="106" spans="1:35" ht="18.75" customHeight="1">
      <c r="A106" s="2417" t="s">
        <v>2306</v>
      </c>
      <c r="B106" s="2417"/>
      <c r="C106" s="2417"/>
      <c r="D106" s="2417"/>
      <c r="E106" s="2523" t="s">
        <v>2307</v>
      </c>
      <c r="F106" s="2259"/>
      <c r="G106" s="2520" t="s">
        <v>2302</v>
      </c>
      <c r="H106" s="1048">
        <f>C38</f>
        <v>0</v>
      </c>
      <c r="I106" s="138"/>
    </row>
    <row r="107" spans="1:35" ht="18.75" customHeight="1">
      <c r="A107" s="138"/>
      <c r="B107" s="138"/>
      <c r="C107" s="138"/>
      <c r="D107" s="138"/>
      <c r="E107" s="3142" t="str">
        <f>IF(项目基本情况!E8="已注销","——","3.房地产抵押价值")</f>
        <v>3.房地产抵押价值</v>
      </c>
      <c r="F107" s="3112"/>
      <c r="G107" s="2519" t="s">
        <v>2298</v>
      </c>
      <c r="H107" s="1047" t="e">
        <f ca="1">IF(E107="——","——",H101-H103)</f>
        <v>#REF!</v>
      </c>
      <c r="I107" s="138"/>
    </row>
    <row r="108" spans="1:35" ht="18.75" customHeight="1">
      <c r="A108" s="138"/>
      <c r="B108" s="138"/>
      <c r="C108" s="138"/>
      <c r="D108" s="138"/>
      <c r="E108" s="3142"/>
      <c r="F108" s="3112"/>
      <c r="G108" s="2519" t="s">
        <v>2300</v>
      </c>
      <c r="H108" s="371" t="e">
        <f ca="1">ROUND(H107*10000/'数据-汇总表'!E3,0)</f>
        <v>#REF!</v>
      </c>
      <c r="I108" s="138"/>
    </row>
    <row r="109" spans="1:35" ht="18.75" customHeight="1">
      <c r="A109" s="138"/>
      <c r="B109" s="138"/>
      <c r="C109" s="138"/>
      <c r="D109" s="138"/>
      <c r="E109" s="3142" t="str">
        <f>IF(项目基本情况!E8="已注销及未注销","4.抵押担保权已注销时的房地产抵押价值",IF(项目基本情况!E8="已注销","3.抵押担保权已注销时的房地产抵押价值","——"))</f>
        <v>——</v>
      </c>
      <c r="F109" s="3112"/>
      <c r="G109" s="2519" t="s">
        <v>2298</v>
      </c>
      <c r="H109" s="348" t="str">
        <f>IF(E109="——","——",H101-H105-H106)</f>
        <v>——</v>
      </c>
      <c r="I109" s="138"/>
    </row>
    <row r="110" spans="1:35" ht="18.75" customHeight="1">
      <c r="A110" s="138"/>
      <c r="B110" s="138"/>
      <c r="C110" s="138"/>
      <c r="D110" s="138"/>
      <c r="E110" s="3142"/>
      <c r="F110" s="3112"/>
      <c r="G110" s="2519" t="s">
        <v>2300</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19" t="s">
        <v>2298</v>
      </c>
      <c r="H111" s="1047" t="str">
        <f>IF(E111="——","——",N59)</f>
        <v>——</v>
      </c>
      <c r="I111" s="138"/>
    </row>
    <row r="112" spans="1:35" ht="18.75" customHeight="1" thickBot="1">
      <c r="A112" s="138"/>
      <c r="B112" s="138"/>
      <c r="C112" s="138"/>
      <c r="D112" s="138"/>
      <c r="E112" s="3145"/>
      <c r="F112" s="3146"/>
      <c r="G112" s="2524" t="s">
        <v>2300</v>
      </c>
      <c r="H112" s="790" t="str">
        <f>IF(E111="——","——",N61)</f>
        <v>——</v>
      </c>
      <c r="I112" s="138"/>
    </row>
    <row r="113" spans="1:11" ht="18.75" customHeight="1">
      <c r="A113" s="138"/>
      <c r="B113" s="138"/>
      <c r="C113" s="138"/>
      <c r="D113" s="138"/>
      <c r="E113" s="3154" t="s">
        <v>2306</v>
      </c>
      <c r="F113" s="3154"/>
      <c r="G113" s="3154"/>
      <c r="H113" s="3154"/>
      <c r="I113" s="138"/>
    </row>
    <row r="114" spans="1:11" ht="3.75" customHeight="1">
      <c r="A114" s="2417"/>
      <c r="B114" s="2417"/>
      <c r="C114" s="2417"/>
      <c r="D114" s="2417"/>
      <c r="E114" s="2495"/>
      <c r="F114" s="2495"/>
      <c r="G114" s="2495"/>
      <c r="H114" s="2495"/>
      <c r="I114" s="2417"/>
    </row>
    <row r="115" spans="1:11" ht="18.75" customHeight="1">
      <c r="A115" s="3167" t="s">
        <v>2308</v>
      </c>
      <c r="B115" s="3168"/>
      <c r="C115" s="3168"/>
      <c r="D115" s="3168"/>
      <c r="E115" s="3168"/>
      <c r="F115" s="3168"/>
      <c r="G115" s="3168"/>
      <c r="H115" s="3168"/>
      <c r="I115" s="3169"/>
    </row>
    <row r="116" spans="1:11" ht="27" customHeight="1">
      <c r="A116" s="3074" t="s">
        <v>2309</v>
      </c>
      <c r="B116" s="3121" t="s">
        <v>2310</v>
      </c>
      <c r="C116" s="3121" t="s">
        <v>2311</v>
      </c>
      <c r="D116" s="3127" t="s">
        <v>2312</v>
      </c>
      <c r="E116" s="3128"/>
      <c r="F116" s="3163" t="s">
        <v>2313</v>
      </c>
      <c r="G116" s="3163"/>
      <c r="H116" s="3074" t="s">
        <v>2314</v>
      </c>
      <c r="I116" s="3074"/>
    </row>
    <row r="117" spans="1:11" ht="18.75" customHeight="1">
      <c r="A117" s="3074"/>
      <c r="B117" s="3122"/>
      <c r="C117" s="3122"/>
      <c r="D117" s="2940" t="s">
        <v>2315</v>
      </c>
      <c r="E117" s="2940" t="s">
        <v>2316</v>
      </c>
      <c r="F117" s="2940" t="s">
        <v>2315</v>
      </c>
      <c r="G117" s="2940" t="s">
        <v>2317</v>
      </c>
      <c r="H117" s="2940" t="s">
        <v>2315</v>
      </c>
      <c r="I117" s="2940" t="s">
        <v>2317</v>
      </c>
    </row>
    <row r="118" spans="1:11" ht="24.75" customHeight="1">
      <c r="A118" s="2525" t="str">
        <f>项目基本情况!S2</f>
        <v>北京市朝阳区朝阳路71号房地产</v>
      </c>
      <c r="B118" s="2940">
        <f>M18</f>
        <v>3647.3</v>
      </c>
      <c r="C118" s="2940">
        <f>M19</f>
        <v>1042.42</v>
      </c>
      <c r="D118" s="2940" t="e">
        <f ca="1">ROUND(IF(D32="总价",C34,E118*B118/10000),0)</f>
        <v>#REF!</v>
      </c>
      <c r="E118" s="2940" t="e">
        <f ca="1">ROUND(IF(C33="自定义",IF(D32="楼面单价",C34,D118*10000/B118),I118-G118),0)</f>
        <v>#REF!</v>
      </c>
      <c r="F118" s="2940" t="e">
        <f ca="1">ROUND(IF(D32="总价",C35,G118*B118/10000),0)</f>
        <v>#REF!</v>
      </c>
      <c r="G118" s="2940" t="e">
        <f ca="1">ROUND(IF(D32="楼面单价",C35,F118*10000/B118),0)</f>
        <v>#REF!</v>
      </c>
      <c r="H118" s="2940" t="e">
        <f ca="1">ROUND(IF(D32="总价",C32,I118*B118/10000),0)</f>
        <v>#REF!</v>
      </c>
      <c r="I118" s="2940" t="e">
        <f ca="1">ROUND(IF(D32="楼面单价",C32,H118*10000/B118),0)</f>
        <v>#REF!</v>
      </c>
    </row>
    <row r="119" spans="1:11" ht="18.75" customHeight="1">
      <c r="A119" s="3074" t="s">
        <v>2318</v>
      </c>
      <c r="B119" s="3074"/>
      <c r="C119" s="3074"/>
      <c r="D119" s="3123" t="e">
        <f ca="1">NUMBERSTRING(INT(D118*10000),2)&amp;"元整"</f>
        <v>#REF!</v>
      </c>
      <c r="E119" s="3124"/>
      <c r="F119" s="3123" t="e">
        <f ca="1">NUMBERSTRING(INT(F118*10000),2)&amp;"元整"</f>
        <v>#REF!</v>
      </c>
      <c r="G119" s="3124"/>
      <c r="H119" s="3123" t="e">
        <f ca="1">NUMBERSTRING(INT(H118*10000),2)&amp;"元整"</f>
        <v>#REF!</v>
      </c>
      <c r="I119" s="3124"/>
    </row>
    <row r="120" spans="1:11" ht="18.75" customHeight="1">
      <c r="A120" s="3118" t="str">
        <f>IF(项目基本情况!B9="房地产市场价值","",MID(E103,3,LEN(E103)-2))</f>
        <v/>
      </c>
      <c r="B120" s="3119"/>
      <c r="C120" s="3120"/>
      <c r="D120" s="3118">
        <f>H103</f>
        <v>0</v>
      </c>
      <c r="E120" s="3119"/>
      <c r="F120" s="3119"/>
      <c r="G120" s="3119"/>
      <c r="H120" s="3119"/>
      <c r="I120" s="3120"/>
      <c r="K120" s="2422" t="str">
        <f>IF(D120=0,"故，本次评估不存在"&amp;A120,"故，本次评估"&amp;A120&amp;"为人民币"&amp;D120&amp;"万元整。")</f>
        <v>故，本次评估不存在</v>
      </c>
    </row>
    <row r="121" spans="1:11" ht="18.75" customHeight="1">
      <c r="A121" s="3164" t="s">
        <v>2318</v>
      </c>
      <c r="B121" s="3165"/>
      <c r="C121" s="3166"/>
      <c r="D121" s="3123" t="str">
        <f>IF(D120=0,"零元整",NUMBERSTRING(INT(D120*10000),2)&amp;"元整")</f>
        <v>零元整</v>
      </c>
      <c r="E121" s="3125"/>
      <c r="F121" s="3125"/>
      <c r="G121" s="3125"/>
      <c r="H121" s="3125"/>
      <c r="I121" s="3124"/>
    </row>
    <row r="122" spans="1:11" ht="18.75" customHeight="1">
      <c r="A122" s="3129" t="str">
        <f>IF(项目基本情况!B9="房地产市场价值","",MID(E107,3,LEN(E107)-2))</f>
        <v/>
      </c>
      <c r="B122" s="3129"/>
      <c r="C122" s="3129"/>
      <c r="D122" s="3118" t="e">
        <f ca="1">H107</f>
        <v>#REF!</v>
      </c>
      <c r="E122" s="3119"/>
      <c r="F122" s="3119"/>
      <c r="G122" s="3119"/>
      <c r="H122" s="3119"/>
      <c r="I122" s="3120"/>
    </row>
    <row r="123" spans="1:11" ht="18.75" customHeight="1">
      <c r="A123" s="3074" t="s">
        <v>2318</v>
      </c>
      <c r="B123" s="3074"/>
      <c r="C123" s="3074"/>
      <c r="D123" s="3123" t="e">
        <f ca="1">NUMBERSTRING(INT(D122*10000),2)&amp;"元整"</f>
        <v>#REF!</v>
      </c>
      <c r="E123" s="3125"/>
      <c r="F123" s="3125"/>
      <c r="G123" s="3125"/>
      <c r="H123" s="3125"/>
      <c r="I123" s="3124"/>
    </row>
    <row r="124" spans="1:11" ht="18.75" customHeight="1">
      <c r="A124" s="3129" t="str">
        <f>IF(项目基本情况!B9="房地产市场价值","",MID(E109,3,LEN(E109)-2))</f>
        <v/>
      </c>
      <c r="B124" s="3129"/>
      <c r="C124" s="3129"/>
      <c r="D124" s="3118" t="str">
        <f>H109</f>
        <v>——</v>
      </c>
      <c r="E124" s="3119"/>
      <c r="F124" s="3119"/>
      <c r="G124" s="3119"/>
      <c r="H124" s="3119"/>
      <c r="I124" s="3120"/>
    </row>
    <row r="125" spans="1:11" ht="18.75" customHeight="1">
      <c r="A125" s="3074" t="s">
        <v>2318</v>
      </c>
      <c r="B125" s="3074"/>
      <c r="C125" s="3074"/>
      <c r="D125" s="3123" t="e">
        <f>NUMBERSTRING(INT(D124*10000),2)&amp;"元整"</f>
        <v>#VALUE!</v>
      </c>
      <c r="E125" s="3125"/>
      <c r="F125" s="3125"/>
      <c r="G125" s="3125"/>
      <c r="H125" s="3125"/>
      <c r="I125" s="3124"/>
    </row>
    <row r="126" spans="1:11" ht="18.75" customHeight="1">
      <c r="A126" s="3129" t="str">
        <f>IF(项目基本情况!B9="房地产市场价值","",MID(E111,3,LEN(E111)-2))</f>
        <v/>
      </c>
      <c r="B126" s="3129"/>
      <c r="C126" s="3129"/>
      <c r="D126" s="3118" t="str">
        <f>H111</f>
        <v>——</v>
      </c>
      <c r="E126" s="3119"/>
      <c r="F126" s="3119"/>
      <c r="G126" s="3119"/>
      <c r="H126" s="3119"/>
      <c r="I126" s="3120"/>
    </row>
    <row r="127" spans="1:11" ht="18.75" customHeight="1">
      <c r="A127" s="3074" t="s">
        <v>2318</v>
      </c>
      <c r="B127" s="3074"/>
      <c r="C127" s="3074"/>
      <c r="D127" s="3123" t="e">
        <f>NUMBERSTRING(INT(D126*10000),2)&amp;"元整"</f>
        <v>#VALUE!</v>
      </c>
      <c r="E127" s="3125"/>
      <c r="F127" s="3125"/>
      <c r="G127" s="3125"/>
      <c r="H127" s="3125"/>
      <c r="I127" s="3124"/>
    </row>
    <row r="128" spans="1:11" ht="21.75" customHeight="1">
      <c r="A128" s="3126" t="s">
        <v>2319</v>
      </c>
      <c r="B128" s="3126"/>
      <c r="C128" s="3126"/>
      <c r="D128" s="3126"/>
      <c r="E128" s="3126"/>
      <c r="F128" s="3126"/>
      <c r="G128" s="3126"/>
      <c r="H128" s="3126"/>
      <c r="I128" s="3126"/>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28" priority="10" stopIfTrue="1" operator="equal">
      <formula>25</formula>
    </cfRule>
  </conditionalFormatting>
  <conditionalFormatting sqref="C8:C9">
    <cfRule type="cellIs" dxfId="27" priority="9" stopIfTrue="1" operator="equal">
      <formula>15</formula>
    </cfRule>
  </conditionalFormatting>
  <conditionalFormatting sqref="C14:C16">
    <cfRule type="cellIs" dxfId="26" priority="8" stopIfTrue="1" operator="equal">
      <formula>30</formula>
    </cfRule>
  </conditionalFormatting>
  <conditionalFormatting sqref="D5:D7">
    <cfRule type="cellIs" dxfId="25" priority="7" stopIfTrue="1" operator="equal">
      <formula>25</formula>
    </cfRule>
  </conditionalFormatting>
  <conditionalFormatting sqref="D8:D9">
    <cfRule type="cellIs" dxfId="24" priority="6" stopIfTrue="1" operator="equal">
      <formula>15</formula>
    </cfRule>
  </conditionalFormatting>
  <conditionalFormatting sqref="C10:D13">
    <cfRule type="cellIs" dxfId="23" priority="5" stopIfTrue="1" operator="equal">
      <formula>15</formula>
    </cfRule>
  </conditionalFormatting>
  <conditionalFormatting sqref="D14:D16">
    <cfRule type="cellIs" dxfId="22" priority="4" stopIfTrue="1" operator="equal">
      <formula>30</formula>
    </cfRule>
  </conditionalFormatting>
  <conditionalFormatting sqref="C90">
    <cfRule type="expression" dxfId="21" priority="3" stopIfTrue="1">
      <formula>$H$88&lt;&gt;"仅含出让金"</formula>
    </cfRule>
  </conditionalFormatting>
  <conditionalFormatting sqref="C91">
    <cfRule type="expression" dxfId="20" priority="2" stopIfTrue="1">
      <formula>$H$91="由企业提供"</formula>
    </cfRule>
  </conditionalFormatting>
  <conditionalFormatting sqref="E36">
    <cfRule type="expression" dxfId="1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13" sqref="H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3103</v>
      </c>
      <c r="D1" s="1822" t="s">
        <v>70</v>
      </c>
      <c r="E1" s="1823" t="s">
        <v>1387</v>
      </c>
      <c r="F1" s="1285">
        <f ca="1">J53</f>
        <v>38.61</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190</v>
      </c>
      <c r="C2" s="1847" t="s">
        <v>1517</v>
      </c>
      <c r="D2" s="1847"/>
      <c r="E2" s="1848"/>
      <c r="F2" s="1849"/>
      <c r="G2" s="1850"/>
      <c r="H2" s="1842"/>
      <c r="I2" s="1842"/>
      <c r="J2" s="1842"/>
      <c r="K2" s="1843"/>
      <c r="L2" s="1842"/>
      <c r="M2" s="1842"/>
    </row>
    <row r="3" spans="1:37" ht="18" customHeight="1" thickBot="1">
      <c r="A3" s="1851" t="s">
        <v>1518</v>
      </c>
      <c r="B3" s="1852">
        <f ca="1">IF(ISERROR(B2*10000/F43),0,ROUND(B2*10000/F43,0))</f>
        <v>5869</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14</v>
      </c>
      <c r="D5" s="1824" t="s">
        <v>1402</v>
      </c>
      <c r="E5" s="1295"/>
      <c r="F5" s="1296"/>
      <c r="G5" s="1853"/>
      <c r="H5" s="344">
        <v>1</v>
      </c>
      <c r="I5" s="345" t="s">
        <v>1401</v>
      </c>
      <c r="J5" s="1294">
        <f ca="1">J6+J10+J12</f>
        <v>0</v>
      </c>
      <c r="K5" s="1824" t="s">
        <v>1402</v>
      </c>
      <c r="L5" s="1295"/>
      <c r="M5" s="1296"/>
    </row>
    <row r="6" spans="1:37" ht="18" customHeight="1">
      <c r="A6" s="1293" t="s">
        <v>1035</v>
      </c>
      <c r="B6" s="3257" t="s">
        <v>1403</v>
      </c>
      <c r="C6" s="1298">
        <f ca="1">ROUND(F6*F8*F7*(1-F9)/10000,0)</f>
        <v>14</v>
      </c>
      <c r="D6" s="164" t="s">
        <v>3036</v>
      </c>
      <c r="E6" s="347" t="s">
        <v>1405</v>
      </c>
      <c r="F6" s="348">
        <f ca="1">INDIRECT("'数据-取费表'!u"&amp;$G$1)</f>
        <v>1.4</v>
      </c>
      <c r="G6" s="1853"/>
      <c r="H6" s="1293" t="s">
        <v>1035</v>
      </c>
      <c r="I6" s="3257" t="s">
        <v>1403</v>
      </c>
      <c r="J6" s="346">
        <f ca="1">ROUND(M6*M8*M7*(1-M9)/10000,0)</f>
        <v>0</v>
      </c>
      <c r="K6" s="164" t="s">
        <v>3035</v>
      </c>
      <c r="L6" s="347" t="s">
        <v>1405</v>
      </c>
      <c r="M6" s="348">
        <f ca="1">INDIRECT("'数据-取费表'!z"&amp;$G$1)</f>
        <v>0</v>
      </c>
    </row>
    <row r="7" spans="1:37" ht="18" customHeight="1">
      <c r="A7" s="1297"/>
      <c r="B7" s="3258"/>
      <c r="C7" s="1299"/>
      <c r="D7" s="352"/>
      <c r="E7" s="2962" t="s">
        <v>1406</v>
      </c>
      <c r="F7" s="348">
        <f ca="1">IF(INDIRECT("'数据-取费表'!ah"&amp;$G$1)="",INDIRECT("'数据-取费表'!k"&amp;$G$1),INDIRECT("'数据-取费表'!ah"&amp;$G$1))</f>
        <v>323.76000000000005</v>
      </c>
      <c r="G7" s="1853"/>
      <c r="H7" s="349"/>
      <c r="I7" s="3258"/>
      <c r="J7" s="351"/>
      <c r="K7" s="352"/>
      <c r="L7" s="347" t="s">
        <v>1406</v>
      </c>
      <c r="M7" s="348">
        <f ca="1">F7</f>
        <v>323.76000000000005</v>
      </c>
    </row>
    <row r="8" spans="1:37" ht="18" customHeight="1">
      <c r="A8" s="349"/>
      <c r="B8" s="3258"/>
      <c r="C8" s="351"/>
      <c r="D8" s="352"/>
      <c r="E8" s="347" t="s">
        <v>1407</v>
      </c>
      <c r="F8" s="348">
        <f ca="1">INDIRECT("'数据-取费表'!ai"&amp;$G$1)</f>
        <v>365</v>
      </c>
      <c r="G8" s="1853"/>
      <c r="H8" s="349"/>
      <c r="I8" s="3258"/>
      <c r="J8" s="351"/>
      <c r="K8" s="352"/>
      <c r="L8" s="347" t="s">
        <v>1407</v>
      </c>
      <c r="M8" s="348">
        <f ca="1">INDIRECT("'数据-取费表'!ai"&amp;$G$1)</f>
        <v>365</v>
      </c>
    </row>
    <row r="9" spans="1:37" ht="18" customHeight="1">
      <c r="A9" s="349"/>
      <c r="B9" s="3259"/>
      <c r="C9" s="351"/>
      <c r="D9" s="352"/>
      <c r="E9" s="347" t="s">
        <v>1408</v>
      </c>
      <c r="F9" s="357">
        <f ca="1">INDIRECT("'数据-取费表'!w"&amp;$G$1)</f>
        <v>0.15</v>
      </c>
      <c r="G9" s="1853"/>
      <c r="H9" s="349"/>
      <c r="I9" s="3259"/>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0</v>
      </c>
      <c r="D10" s="1826" t="s">
        <v>3032</v>
      </c>
      <c r="E10" s="358" t="s">
        <v>1411</v>
      </c>
      <c r="F10" s="1368" t="s">
        <v>3127</v>
      </c>
      <c r="G10" s="1853"/>
      <c r="H10" s="1293" t="s">
        <v>1039</v>
      </c>
      <c r="I10" s="1825" t="s">
        <v>1409</v>
      </c>
      <c r="J10" s="346">
        <f ca="1">ROUND(IF(M10="押一",M6*M8*M7/12*M11,IF(M10="押二",M6*M8*M7/12*2*M11,IF(M10="押三",M6*M8*M7/12*3*M11,J11*M11)))/10000,0)</f>
        <v>0</v>
      </c>
      <c r="K10" s="1826" t="s">
        <v>3032</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100</v>
      </c>
      <c r="D13" s="1333" t="s">
        <v>1416</v>
      </c>
      <c r="E13" s="1333" t="s">
        <v>1417</v>
      </c>
      <c r="F13" s="1334">
        <f ca="1">INDIRECT("'数据-取费表'!y"&amp;$G$1)</f>
        <v>0.85</v>
      </c>
      <c r="G13" s="1853"/>
      <c r="H13" s="1331">
        <v>2</v>
      </c>
      <c r="I13" s="1332" t="s">
        <v>1415</v>
      </c>
      <c r="J13" s="1292">
        <f ca="1">ROUND(J14*J15,0)</f>
        <v>0</v>
      </c>
      <c r="K13" s="1339" t="s">
        <v>1416</v>
      </c>
      <c r="L13" s="1854"/>
      <c r="M13" s="1855"/>
    </row>
    <row r="14" spans="1:37" ht="18" customHeight="1">
      <c r="A14" s="1203" t="s">
        <v>1034</v>
      </c>
      <c r="B14" s="347" t="s">
        <v>1418</v>
      </c>
      <c r="C14" s="363">
        <f ca="1">INDIRECT("'数据-取费表'!m"&amp;$G$1)+INDIRECT("'数据-取费表'!t"&amp;$G$1)</f>
        <v>81</v>
      </c>
      <c r="D14" s="2948" t="s">
        <v>1419</v>
      </c>
      <c r="E14" s="2943"/>
      <c r="F14" s="364"/>
      <c r="G14" s="1853"/>
      <c r="H14" s="1203" t="s">
        <v>1035</v>
      </c>
      <c r="I14" s="347" t="s">
        <v>1420</v>
      </c>
      <c r="J14" s="24">
        <f ca="1">C29</f>
        <v>118</v>
      </c>
      <c r="K14" s="2961"/>
      <c r="L14" s="981"/>
      <c r="M14" s="982"/>
    </row>
    <row r="15" spans="1:37" s="1860" customFormat="1" ht="18" customHeight="1" thickBot="1">
      <c r="A15" s="1203" t="s">
        <v>1036</v>
      </c>
      <c r="B15" s="347" t="s">
        <v>1421</v>
      </c>
      <c r="C15" s="24">
        <f ca="1">ROUND(C14*F15,0)</f>
        <v>2</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3</v>
      </c>
      <c r="K16" s="1339" t="s">
        <v>1426</v>
      </c>
      <c r="L16" s="2951"/>
      <c r="M16" s="1296"/>
    </row>
    <row r="17" spans="1:37" s="1860" customFormat="1" ht="18" customHeight="1">
      <c r="A17" s="1203" t="s">
        <v>1390</v>
      </c>
      <c r="B17" s="347" t="s">
        <v>1427</v>
      </c>
      <c r="C17" s="24">
        <f ca="1">ROUND(F17*(F43+INDIRECT("'数据-取费表'!S"&amp;$G$1))/10000,0)</f>
        <v>6</v>
      </c>
      <c r="D17" s="347" t="s">
        <v>1428</v>
      </c>
      <c r="E17" s="347" t="s">
        <v>1429</v>
      </c>
      <c r="F17" s="26">
        <f>'数据-取费表'!B35</f>
        <v>200</v>
      </c>
      <c r="G17" s="1856"/>
      <c r="H17" s="1203" t="s">
        <v>1035</v>
      </c>
      <c r="I17" s="347" t="s">
        <v>1430</v>
      </c>
      <c r="J17" s="24">
        <f ca="1">ROUND(IF(项目基本情况!B11="自然人",J5*M17,J18+J19+J20),1)</f>
        <v>1</v>
      </c>
      <c r="K17" s="2948" t="s">
        <v>1431</v>
      </c>
      <c r="L17" s="2946"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1</v>
      </c>
      <c r="D18" s="347" t="s">
        <v>1422</v>
      </c>
      <c r="E18" s="347" t="s">
        <v>1423</v>
      </c>
      <c r="F18" s="367">
        <f>'数据-取费表'!B36</f>
        <v>1.52E-2</v>
      </c>
      <c r="G18" s="1856"/>
      <c r="H18" s="1203" t="s">
        <v>1034</v>
      </c>
      <c r="I18" s="347" t="s">
        <v>1434</v>
      </c>
      <c r="J18" s="24">
        <f ca="1">ROUND(J5*M18/(1+'数据-取费表'!C42),2)</f>
        <v>0</v>
      </c>
      <c r="K18" s="2946"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90</v>
      </c>
      <c r="D19" s="140" t="s">
        <v>1437</v>
      </c>
      <c r="E19" s="2959"/>
      <c r="F19" s="26"/>
      <c r="G19" s="1853"/>
      <c r="H19" s="1203" t="s">
        <v>1036</v>
      </c>
      <c r="I19" s="347" t="s">
        <v>1438</v>
      </c>
      <c r="J19" s="24">
        <f ca="1">IF(K19="按租金收入计税",ROUND(J5*M19,2),ROUND(C29*M19*0.7,2))</f>
        <v>0.99</v>
      </c>
      <c r="K19" s="1830" t="s">
        <v>1439</v>
      </c>
      <c r="L19" s="347" t="s">
        <v>1423</v>
      </c>
      <c r="M19" s="367">
        <f>IF(K19="按租金收入计税",'数据-取费表'!B51,'数据-取费表'!B50)</f>
        <v>1.2E-2</v>
      </c>
    </row>
    <row r="20" spans="1:37" s="1860" customFormat="1" ht="18" customHeight="1">
      <c r="A20" s="1203" t="s">
        <v>1039</v>
      </c>
      <c r="B20" s="347" t="s">
        <v>1440</v>
      </c>
      <c r="C20" s="24">
        <f ca="1">ROUND(C19*F20,0)</f>
        <v>2</v>
      </c>
      <c r="D20" s="369" t="s">
        <v>1441</v>
      </c>
      <c r="E20" s="347" t="s">
        <v>1423</v>
      </c>
      <c r="F20" s="367">
        <f>'数据-取费表'!B37</f>
        <v>0.02</v>
      </c>
      <c r="G20" s="1856"/>
      <c r="H20" s="1203" t="s">
        <v>1389</v>
      </c>
      <c r="I20" s="164" t="s">
        <v>1442</v>
      </c>
      <c r="J20" s="25">
        <f ca="1">ROUND(M20*M21/10000,2)</f>
        <v>0.03</v>
      </c>
      <c r="K20" s="370" t="s">
        <v>1443</v>
      </c>
      <c r="L20" s="347" t="s">
        <v>1444</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92.53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59"/>
      <c r="F22" s="26"/>
      <c r="G22" s="1853"/>
      <c r="H22" s="1203" t="s">
        <v>1039</v>
      </c>
      <c r="I22" s="347" t="s">
        <v>1450</v>
      </c>
      <c r="J22" s="24">
        <f ca="1">ROUND(J14*M22,1)</f>
        <v>2.4</v>
      </c>
      <c r="K22" s="2946" t="s">
        <v>1451</v>
      </c>
      <c r="L22" s="347" t="s">
        <v>1423</v>
      </c>
      <c r="M22" s="374">
        <f ca="1">INDIRECT("'数据-取费表'!Ak"&amp;$G$1)</f>
        <v>0.02</v>
      </c>
    </row>
    <row r="23" spans="1:37" s="1860" customFormat="1" ht="18" customHeight="1">
      <c r="A23" s="1203" t="s">
        <v>1034</v>
      </c>
      <c r="B23" s="347" t="s">
        <v>1452</v>
      </c>
      <c r="C23" s="24">
        <f ca="1">IF('数据-取费表'!B22&lt;=1,ROUND(C19*F24*F23/2,0)+ROUND(C20*F24*F23/2,0),ROUND(C19*(POWER((1+F24),F23/2)-1),0)+ROUND(C20*(POWER((1+F24),F23/2)-1),0))</f>
        <v>3</v>
      </c>
      <c r="D23" s="375" t="str">
        <f>IF(F23&lt;=1,"(建造成本+管理费用)×利率×(建设周期÷2)","(建造成本+管理费用)×((1+利率)^(建设周期÷2)-1)")</f>
        <v>(建造成本+管理费用)×((1+利率)^(建设周期÷2)-1)</v>
      </c>
      <c r="E23" s="347" t="s">
        <v>1453</v>
      </c>
      <c r="F23" s="371">
        <f>'数据-取费表'!B20</f>
        <v>1.5</v>
      </c>
      <c r="G23" s="1856"/>
      <c r="H23" s="1203" t="s">
        <v>1075</v>
      </c>
      <c r="I23" s="347" t="s">
        <v>1454</v>
      </c>
      <c r="J23" s="24">
        <f ca="1">ROUND(J13*M23,1)</f>
        <v>0</v>
      </c>
      <c r="K23" s="2946" t="s">
        <v>1455</v>
      </c>
      <c r="L23" s="347" t="s">
        <v>1423</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1458</v>
      </c>
      <c r="C24" s="24">
        <f ca="1">ROUND(IF('数据-取费表'!B22&lt;=1,F21*F24*F23/2,F21*(POWER((1+F24),F23/2)-1)),4)</f>
        <v>6.9999999999999999E-4</v>
      </c>
      <c r="D24" s="375" t="str">
        <f>IF(F23&lt;=1,"销售费用×利率×(建设周期÷2)","销售费用×((1+利率)^(建设周期÷2)-1)")</f>
        <v>销售费用×((1+利率)^(建设周期÷2)-1)</v>
      </c>
      <c r="E24" s="347" t="s">
        <v>1459</v>
      </c>
      <c r="F24" s="377">
        <f ca="1">'数据-取费表'!B40</f>
        <v>4.7500000000000001E-2</v>
      </c>
      <c r="G24" s="1856"/>
      <c r="H24" s="1341" t="s">
        <v>1392</v>
      </c>
      <c r="I24" s="1342" t="s">
        <v>1440</v>
      </c>
      <c r="J24" s="1343">
        <f ca="1">ROUND(J5*M24,1)</f>
        <v>0</v>
      </c>
      <c r="K24" s="1344" t="s">
        <v>1460</v>
      </c>
      <c r="L24" s="1342" t="s">
        <v>1423</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2959"/>
      <c r="F25" s="26"/>
      <c r="G25" s="1853"/>
      <c r="H25" s="1331" t="s">
        <v>1031</v>
      </c>
      <c r="I25" s="1346" t="s">
        <v>1464</v>
      </c>
      <c r="J25" s="355">
        <f ca="1">J5-J16</f>
        <v>-3</v>
      </c>
      <c r="K25" s="1347" t="s">
        <v>1465</v>
      </c>
      <c r="L25" s="1348"/>
      <c r="M25" s="1349"/>
    </row>
    <row r="26" spans="1:37">
      <c r="A26" s="1203" t="s">
        <v>1034</v>
      </c>
      <c r="B26" s="347" t="s">
        <v>1466</v>
      </c>
      <c r="C26" s="24">
        <f ca="1">ROUND((C19+C20)*F26,0)</f>
        <v>14</v>
      </c>
      <c r="D26" s="369" t="s">
        <v>1467</v>
      </c>
      <c r="E26" s="358" t="s">
        <v>1468</v>
      </c>
      <c r="F26" s="357">
        <f ca="1">INDIRECT("'数据-取费表'!q"&amp;$G$1)</f>
        <v>0.15</v>
      </c>
      <c r="G26" s="1853"/>
      <c r="H26" s="344" t="s">
        <v>1032</v>
      </c>
      <c r="I26" s="345" t="s">
        <v>1469</v>
      </c>
      <c r="J26" s="346">
        <f ca="1">IF(J5&lt;&gt;0,ROUND(J25*(1-((1+M28)/(1+M26))^M27)/(M26-M28),0),0)</f>
        <v>0</v>
      </c>
      <c r="K26" s="370" t="s">
        <v>1470</v>
      </c>
      <c r="L26" s="347" t="s">
        <v>1471</v>
      </c>
      <c r="M26" s="357">
        <f ca="1">INDIRECT("'数据-取费表'!I"&amp;$G$1)</f>
        <v>0.05</v>
      </c>
    </row>
    <row r="27" spans="1:37" ht="18" customHeight="1">
      <c r="A27" s="1203" t="s">
        <v>1036</v>
      </c>
      <c r="B27" s="347" t="s">
        <v>1472</v>
      </c>
      <c r="C27" s="24">
        <f ca="1">ROUND(F21*F26,4)</f>
        <v>3.0000000000000001E-3</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118</v>
      </c>
      <c r="D29" s="1344"/>
      <c r="E29" s="1342"/>
      <c r="F29" s="1345"/>
      <c r="G29" s="1856"/>
      <c r="H29" s="380" t="s">
        <v>1033</v>
      </c>
      <c r="I29" s="381" t="s">
        <v>1480</v>
      </c>
      <c r="J29" s="382">
        <f ca="1">ROUND(J26/(1+F40)^F41,0)</f>
        <v>0</v>
      </c>
      <c r="K29" s="383" t="s">
        <v>1481</v>
      </c>
      <c r="L29" s="384"/>
      <c r="M29" s="385">
        <f ca="1">INDIRECT("'数据-取费表'!k"&amp;$G$1)</f>
        <v>323.76000000000005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5</v>
      </c>
      <c r="D30" s="1339" t="s">
        <v>1426</v>
      </c>
      <c r="E30" s="2951"/>
      <c r="F30" s="1296"/>
      <c r="G30" s="1853"/>
      <c r="H30" s="745"/>
      <c r="I30" s="746"/>
      <c r="J30" s="747"/>
      <c r="K30" s="748"/>
      <c r="L30" s="749"/>
      <c r="M30" s="750"/>
    </row>
    <row r="31" spans="1:37" ht="18" customHeight="1">
      <c r="A31" s="1203" t="s">
        <v>1035</v>
      </c>
      <c r="B31" s="347" t="s">
        <v>1430</v>
      </c>
      <c r="C31" s="24">
        <f ca="1">ROUND(IF(项目基本情况!B11="自然人",C5*F31,C32+C33+C34),1)</f>
        <v>1.8</v>
      </c>
      <c r="D31" s="2948" t="s">
        <v>1431</v>
      </c>
      <c r="E31" s="2946"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IF(项目基本情况!B11="自然人","——",ROUND(C5*F32/(1+'数据-取费表'!C42),2))</f>
        <v>0.75</v>
      </c>
      <c r="D32" s="2946" t="s">
        <v>1435</v>
      </c>
      <c r="E32" s="347" t="s">
        <v>1423</v>
      </c>
      <c r="F32" s="377">
        <f>'数据-取费表'!B41</f>
        <v>5.6000000000000001E-2</v>
      </c>
      <c r="G32" s="1853"/>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0.99</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0.03</v>
      </c>
      <c r="D34" s="370" t="s">
        <v>1443</v>
      </c>
      <c r="E34" s="347" t="s">
        <v>1444</v>
      </c>
      <c r="F34" s="371">
        <f>'数据-取费表'!B52</f>
        <v>3</v>
      </c>
      <c r="G34" s="1853"/>
      <c r="H34" s="745"/>
      <c r="I34" s="1862"/>
      <c r="J34" s="1863"/>
      <c r="K34" s="1865"/>
      <c r="L34" s="1866"/>
      <c r="M34" s="1866"/>
    </row>
    <row r="35" spans="1:18" ht="18" customHeight="1">
      <c r="A35" s="1355"/>
      <c r="B35" s="1353"/>
      <c r="C35" s="29"/>
      <c r="D35" s="373"/>
      <c r="E35" s="347" t="s">
        <v>1448</v>
      </c>
      <c r="F35" s="348">
        <f ca="1">INDIRECT("'数据-取费表'!r"&amp;$G$1)</f>
        <v>92.53</v>
      </c>
      <c r="G35" s="1853"/>
      <c r="H35" s="745"/>
      <c r="I35" s="1862"/>
      <c r="J35" s="1863"/>
      <c r="K35" s="1864"/>
      <c r="L35" s="1861"/>
      <c r="M35" s="1861"/>
    </row>
    <row r="36" spans="1:18" ht="18" customHeight="1">
      <c r="A36" s="1354" t="s">
        <v>1039</v>
      </c>
      <c r="B36" s="347" t="s">
        <v>1450</v>
      </c>
      <c r="C36" s="24">
        <f ca="1">ROUND(C29*F36,1)</f>
        <v>2.4</v>
      </c>
      <c r="D36" s="2946" t="s">
        <v>1483</v>
      </c>
      <c r="E36" s="347" t="s">
        <v>1423</v>
      </c>
      <c r="F36" s="374">
        <f ca="1">INDIRECT("'数据-取费表'!Ak"&amp;$G$1)</f>
        <v>0.02</v>
      </c>
      <c r="G36" s="1853"/>
      <c r="H36" s="1861"/>
      <c r="I36" s="1862"/>
      <c r="J36" s="1863"/>
      <c r="K36" s="751"/>
      <c r="L36" s="1861"/>
      <c r="M36" s="1861"/>
    </row>
    <row r="37" spans="1:18" ht="18" customHeight="1">
      <c r="A37" s="1203" t="s">
        <v>1075</v>
      </c>
      <c r="B37" s="347" t="s">
        <v>1454</v>
      </c>
      <c r="C37" s="24">
        <f ca="1">ROUND(C13*F37,1)</f>
        <v>0.2</v>
      </c>
      <c r="D37" s="2946" t="s">
        <v>1455</v>
      </c>
      <c r="E37" s="347" t="s">
        <v>1423</v>
      </c>
      <c r="F37" s="376">
        <f ca="1">INDIRECT("'数据-取费表'!Al"&amp;$G$1)</f>
        <v>2E-3</v>
      </c>
      <c r="G37" s="1853"/>
      <c r="H37" s="1861"/>
      <c r="I37" s="1862"/>
      <c r="J37" s="1863"/>
      <c r="K37" s="751"/>
      <c r="L37" s="1861"/>
      <c r="M37" s="1861"/>
    </row>
    <row r="38" spans="1:18" ht="18" customHeight="1" thickBot="1">
      <c r="A38" s="1341" t="s">
        <v>1392</v>
      </c>
      <c r="B38" s="1342" t="s">
        <v>1440</v>
      </c>
      <c r="C38" s="1343">
        <f ca="1">ROUND(C5*F38,1)</f>
        <v>0.3</v>
      </c>
      <c r="D38" s="1344" t="s">
        <v>1460</v>
      </c>
      <c r="E38" s="1342" t="s">
        <v>1423</v>
      </c>
      <c r="F38" s="1338">
        <f ca="1">INDIRECT("'数据-取费表'!Am"&amp;$G$1)</f>
        <v>0.02</v>
      </c>
      <c r="G38" s="1853"/>
      <c r="H38" s="1861"/>
      <c r="I38" s="1862"/>
      <c r="J38" s="1863"/>
      <c r="K38" s="1867"/>
      <c r="L38" s="1861"/>
      <c r="M38" s="1861"/>
    </row>
    <row r="39" spans="1:18" ht="24.6" customHeight="1" thickTop="1">
      <c r="A39" s="1331" t="s">
        <v>1031</v>
      </c>
      <c r="B39" s="1346" t="s">
        <v>1464</v>
      </c>
      <c r="C39" s="355">
        <f ca="1">C5-C30</f>
        <v>9</v>
      </c>
      <c r="D39" s="1347" t="s">
        <v>1465</v>
      </c>
      <c r="E39" s="1348"/>
      <c r="F39" s="1349"/>
      <c r="G39" s="1853"/>
      <c r="H39" s="1861"/>
      <c r="I39" s="1862"/>
      <c r="J39" s="1863"/>
      <c r="K39" s="1867"/>
      <c r="L39" s="1861"/>
      <c r="M39" s="1861"/>
    </row>
    <row r="40" spans="1:18" ht="18" customHeight="1">
      <c r="A40" s="344" t="s">
        <v>1032</v>
      </c>
      <c r="B40" s="345" t="s">
        <v>1486</v>
      </c>
      <c r="C40" s="346">
        <f ca="1">ROUND(C39*(1-((1+F42)/(1+F40))^F41)/(F40-F42),0)</f>
        <v>188</v>
      </c>
      <c r="D40" s="370" t="s">
        <v>1470</v>
      </c>
      <c r="E40" s="347" t="s">
        <v>1471</v>
      </c>
      <c r="F40" s="357">
        <f ca="1">INDIRECT("'数据-取费表'!I"&amp;$G$1)</f>
        <v>0.05</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38.61</v>
      </c>
      <c r="G41" s="1853"/>
      <c r="H41" s="732"/>
      <c r="I41" s="1862"/>
      <c r="J41" s="1863"/>
      <c r="K41" s="751"/>
      <c r="L41" s="732"/>
      <c r="M41" s="732"/>
    </row>
    <row r="42" spans="1:18" ht="18" customHeight="1">
      <c r="A42" s="353"/>
      <c r="B42" s="354"/>
      <c r="C42" s="355"/>
      <c r="D42" s="373"/>
      <c r="E42" s="347" t="s">
        <v>1478</v>
      </c>
      <c r="F42" s="357">
        <f ca="1">INDIRECT("'数据-取费表'!v"&amp;$G$1)</f>
        <v>1.4999999999999999E-2</v>
      </c>
      <c r="G42" s="1853"/>
      <c r="H42" s="732"/>
      <c r="I42" s="1862"/>
      <c r="J42" s="1863"/>
      <c r="K42" s="751"/>
      <c r="L42" s="732"/>
      <c r="M42" s="732"/>
    </row>
    <row r="43" spans="1:18" ht="18" customHeight="1" thickBot="1">
      <c r="A43" s="380" t="s">
        <v>1033</v>
      </c>
      <c r="B43" s="381" t="s">
        <v>1488</v>
      </c>
      <c r="C43" s="382">
        <f ca="1">ROUND(C40*10000/F43,0)</f>
        <v>5807</v>
      </c>
      <c r="D43" s="383" t="s">
        <v>1489</v>
      </c>
      <c r="E43" s="384" t="s">
        <v>1490</v>
      </c>
      <c r="F43" s="385">
        <f ca="1">INDIRECT("'数据-取费表'!k"&amp;$G$1)</f>
        <v>323.76000000000005</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-256</v>
      </c>
      <c r="D46" s="1874" t="str">
        <f>C2</f>
        <v>万元</v>
      </c>
      <c r="E46" s="1868"/>
      <c r="F46" s="1868"/>
      <c r="I46" s="1875" t="s">
        <v>1522</v>
      </c>
      <c r="J46" s="1876"/>
      <c r="K46" s="1877"/>
      <c r="L46" s="1878">
        <f ca="1">IF(M47="住宅",0,IF(L48&gt;J51,L60,J60))</f>
        <v>2</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3121</v>
      </c>
      <c r="K47" s="1884" t="s">
        <v>1528</v>
      </c>
      <c r="L47" s="1885">
        <f ca="1">INDIRECT("'数据-取费表'!d"&amp;$G$1)</f>
        <v>0</v>
      </c>
      <c r="M47" s="1840" t="str">
        <f>IF(ISNUMBER(FIND("住宅",C1)),"住宅","非住宅")</f>
        <v>非住宅</v>
      </c>
      <c r="O47" s="1886" t="s">
        <v>1040</v>
      </c>
      <c r="P47" s="1887" t="s">
        <v>1529</v>
      </c>
      <c r="Q47" s="1888">
        <f ca="1">C40+J29</f>
        <v>188</v>
      </c>
      <c r="R47" s="1888" t="s">
        <v>1530</v>
      </c>
    </row>
    <row r="48" spans="1:18" s="1844" customFormat="1" ht="28.5" thickBot="1">
      <c r="A48" s="1362" t="s">
        <v>1135</v>
      </c>
      <c r="B48" s="345" t="s">
        <v>1401</v>
      </c>
      <c r="C48" s="2958">
        <f ca="1">C49+C53+C55</f>
        <v>0</v>
      </c>
      <c r="D48" s="1364"/>
      <c r="E48" s="1365"/>
      <c r="F48" s="1183"/>
      <c r="G48" s="792"/>
      <c r="H48" s="793"/>
      <c r="I48" s="1889" t="s">
        <v>1531</v>
      </c>
      <c r="J48" s="1890" t="s">
        <v>3122</v>
      </c>
      <c r="K48" s="1891" t="s">
        <v>1532</v>
      </c>
      <c r="L48" s="1892">
        <f ca="1">INDIRECT("'数据-取费表'!f"&amp;$G$1)</f>
        <v>38.61</v>
      </c>
      <c r="O48" s="1886" t="s">
        <v>1041</v>
      </c>
      <c r="P48" s="1887" t="s">
        <v>1533</v>
      </c>
      <c r="Q48" s="1888">
        <f ca="1">J60</f>
        <v>2</v>
      </c>
      <c r="R48" s="1888" t="s">
        <v>1534</v>
      </c>
    </row>
    <row r="49" spans="1:18" s="1844" customFormat="1" ht="13.5" thickBot="1">
      <c r="A49" s="1196" t="s">
        <v>1136</v>
      </c>
      <c r="B49" s="1831" t="s">
        <v>1491</v>
      </c>
      <c r="C49" s="1366">
        <f ca="1">ROUND(F49*F51*F50*(1-F52)/10000,0)</f>
        <v>0</v>
      </c>
      <c r="D49" s="1278" t="s">
        <v>3035</v>
      </c>
      <c r="E49" s="1832" t="s">
        <v>1492</v>
      </c>
      <c r="F49" s="1283"/>
      <c r="G49" s="1893"/>
      <c r="H49" s="793"/>
      <c r="I49" s="1889" t="s">
        <v>1535</v>
      </c>
      <c r="J49" s="1894">
        <v>2009</v>
      </c>
      <c r="K49" s="1891" t="s">
        <v>1536</v>
      </c>
      <c r="L49" s="1895"/>
      <c r="O49" s="1896" t="s">
        <v>1042</v>
      </c>
      <c r="P49" s="1887" t="s">
        <v>1537</v>
      </c>
      <c r="Q49" s="1888">
        <f ca="1">C29</f>
        <v>118</v>
      </c>
      <c r="R49" s="1888" t="s">
        <v>1530</v>
      </c>
    </row>
    <row r="50" spans="1:18" s="1844" customFormat="1" ht="13.5" thickBot="1">
      <c r="A50" s="1197"/>
      <c r="B50" s="1200"/>
      <c r="C50" s="1370"/>
      <c r="D50" s="1174"/>
      <c r="E50" s="1279" t="s">
        <v>1406</v>
      </c>
      <c r="F50" s="1280">
        <f ca="1">F7</f>
        <v>323.76000000000005</v>
      </c>
      <c r="H50" s="793"/>
      <c r="I50" s="1889" t="s">
        <v>1538</v>
      </c>
      <c r="J50" s="1897">
        <f>SUMPRODUCT((I63:I65=J47)*(J62:L62=J48)*(J63:L65))</f>
        <v>60</v>
      </c>
      <c r="K50" s="1891" t="s">
        <v>1539</v>
      </c>
      <c r="L50" s="1895"/>
      <c r="M50" s="1898"/>
      <c r="O50" s="1896" t="s">
        <v>1043</v>
      </c>
      <c r="P50" s="1887" t="s">
        <v>1540</v>
      </c>
      <c r="Q50" s="1899">
        <f ca="1">J58</f>
        <v>0.4</v>
      </c>
      <c r="R50" s="1888"/>
    </row>
    <row r="51" spans="1:18" s="1844" customFormat="1" ht="13.5" thickBot="1">
      <c r="A51" s="1198"/>
      <c r="B51" s="1200"/>
      <c r="C51" s="1201"/>
      <c r="D51" s="1174"/>
      <c r="E51" s="1202" t="s">
        <v>1407</v>
      </c>
      <c r="F51" s="348">
        <f ca="1">F8</f>
        <v>365</v>
      </c>
      <c r="I51" s="1900" t="s">
        <v>1541</v>
      </c>
      <c r="J51" s="1901">
        <f>IF(J49="",J50,J49+J50-YEAR('数据-取费表'!B2))</f>
        <v>52</v>
      </c>
      <c r="K51" s="1902" t="s">
        <v>1542</v>
      </c>
      <c r="L51" s="1903">
        <f ca="1">ROUND(-PV(INDIRECT("'数据-取费表'!h"&amp;$G$1),L48,(C39-C13*C76),0),0)</f>
        <v>10</v>
      </c>
      <c r="M51" s="1904"/>
      <c r="O51" s="1896" t="s">
        <v>1044</v>
      </c>
      <c r="P51" s="1887" t="s">
        <v>1543</v>
      </c>
      <c r="Q51" s="1899">
        <f>J52</f>
        <v>0.09</v>
      </c>
      <c r="R51" s="1888"/>
    </row>
    <row r="52" spans="1:18" s="1844" customFormat="1" ht="13.5" thickBot="1">
      <c r="A52" s="1198"/>
      <c r="B52" s="1200"/>
      <c r="C52" s="1201"/>
      <c r="D52" s="1174"/>
      <c r="E52" s="1202" t="s">
        <v>1408</v>
      </c>
      <c r="F52" s="1277"/>
      <c r="I52" s="1905" t="s">
        <v>1544</v>
      </c>
      <c r="J52" s="1906">
        <v>0.09</v>
      </c>
      <c r="K52" s="1905" t="s">
        <v>1545</v>
      </c>
      <c r="L52" s="1906"/>
      <c r="O52" s="1896" t="s">
        <v>1045</v>
      </c>
      <c r="P52" s="1887" t="s">
        <v>1546</v>
      </c>
      <c r="Q52" s="1888">
        <f ca="1">J53</f>
        <v>38.61</v>
      </c>
      <c r="R52" s="1888" t="s">
        <v>1547</v>
      </c>
    </row>
    <row r="53" spans="1:18" s="1844" customFormat="1" ht="24.75" thickBot="1">
      <c r="A53" s="1407" t="s">
        <v>1137</v>
      </c>
      <c r="B53" s="1833" t="s">
        <v>1409</v>
      </c>
      <c r="C53" s="361">
        <f ca="1">ROUND(IF(F53="押一",F49*F51*F50/12*F11,IF(F53="押二",F49*F51*F50/12*2*F11,IF(F53="押三",F49*F51*F50/12*3*F11,C54*F11)))/10000,0)</f>
        <v>0</v>
      </c>
      <c r="D53" s="1826" t="s">
        <v>3032</v>
      </c>
      <c r="E53" s="358" t="s">
        <v>1411</v>
      </c>
      <c r="F53" s="1368"/>
      <c r="I53" s="1907" t="s">
        <v>1548</v>
      </c>
      <c r="J53" s="1908">
        <f ca="1">IF(M47="住宅",J51,IF(D1="——",MIN(J51,L48),IF(D1="在建（套用方法）",MIN(J51,L48-'数据-取费表'!B24),IF(D1="土地（套用方法）",MIN(J51,L48-'数据-取费表'!B20)))))</f>
        <v>38.61</v>
      </c>
      <c r="K53" s="3255" t="s">
        <v>1549</v>
      </c>
      <c r="L53" s="3256"/>
      <c r="O53" s="1886" t="s">
        <v>1046</v>
      </c>
      <c r="P53" s="1887" t="s">
        <v>1550</v>
      </c>
      <c r="Q53" s="1888">
        <f ca="1">Q47+Q48</f>
        <v>190</v>
      </c>
      <c r="R53" s="1888" t="s">
        <v>1047</v>
      </c>
    </row>
    <row r="54" spans="1:18" s="1844" customFormat="1" ht="13.5" thickBot="1">
      <c r="A54" s="1408"/>
      <c r="B54" s="1827" t="s">
        <v>1388</v>
      </c>
      <c r="C54" s="1180"/>
      <c r="D54" s="1826"/>
      <c r="E54" s="295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2954"/>
      <c r="F55" s="1909"/>
      <c r="I55" s="1912" t="s">
        <v>1552</v>
      </c>
      <c r="J55" s="1913">
        <f ca="1">ROUND(IF(J47="钢混",J57/J50,1-(1-2%)*(J50-J57)/J50),3)</f>
        <v>0.223</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100</v>
      </c>
      <c r="D56" s="1916"/>
      <c r="E56" s="1917"/>
      <c r="F56" s="1909"/>
      <c r="I56" s="1918" t="s">
        <v>1555</v>
      </c>
      <c r="J56" s="1919" t="s">
        <v>3123</v>
      </c>
      <c r="K56" s="1889" t="s">
        <v>1556</v>
      </c>
      <c r="L56" s="1892" t="str">
        <f ca="1">IF(L48&lt;J51,"——",L48-J53)</f>
        <v>——</v>
      </c>
      <c r="O56" s="1886" t="s">
        <v>1040</v>
      </c>
      <c r="P56" s="1887" t="s">
        <v>1529</v>
      </c>
      <c r="Q56" s="1888">
        <f ca="1">C40+J29</f>
        <v>188</v>
      </c>
      <c r="R56" s="1888" t="s">
        <v>1530</v>
      </c>
    </row>
    <row r="57" spans="1:18" s="1844" customFormat="1" ht="24.75" thickBot="1">
      <c r="A57" s="1920"/>
      <c r="B57" s="1171" t="s">
        <v>1479</v>
      </c>
      <c r="C57" s="282">
        <f ca="1">C29</f>
        <v>118</v>
      </c>
      <c r="D57" s="1921"/>
      <c r="E57" s="1922"/>
      <c r="F57" s="1923"/>
      <c r="I57" s="1924" t="s">
        <v>1557</v>
      </c>
      <c r="J57" s="1925">
        <f ca="1">IF(OR(M47="住宅",J51&lt;L48,J56="是"),"——",J51-L48)</f>
        <v>13.39</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4</v>
      </c>
      <c r="D58" s="1181" t="s">
        <v>1426</v>
      </c>
      <c r="E58" s="1182"/>
      <c r="F58" s="1183"/>
      <c r="I58" s="1924" t="s">
        <v>1561</v>
      </c>
      <c r="J58" s="1926">
        <f ca="1">IF(J55&lt;0.4,0.4,J55)</f>
        <v>0.4</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1</v>
      </c>
      <c r="D59" s="1184" t="s">
        <v>1431</v>
      </c>
      <c r="E59" s="1185" t="s">
        <v>1432</v>
      </c>
      <c r="F59" s="368" t="str">
        <f ca="1">IF(项目基本情况!B11="企业","",IF(INDIRECT("'数据-取费表'!c"&amp;$G$1)="住宅",5%,IF(F49*F50*F51/12/(1+'数据-取费表'!C42)&gt;20000,12%,7%)))</f>
        <v/>
      </c>
      <c r="I59" s="1924" t="s">
        <v>1564</v>
      </c>
      <c r="J59" s="1925">
        <f ca="1">IF(OR(M47="住宅",J51&lt;L48,J56="是"),"——",ROUND(C29*J58,0))</f>
        <v>47</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IF(项目基本情况!B11="自然人","——",ROUND(C48*F60/(1+'数据-取费表'!C42),2))</f>
        <v>0</v>
      </c>
      <c r="D60" s="1185" t="s">
        <v>1435</v>
      </c>
      <c r="E60" s="1171" t="s">
        <v>1423</v>
      </c>
      <c r="F60" s="377">
        <f t="shared" ref="F60:F66" si="0">F32</f>
        <v>5.6000000000000001E-2</v>
      </c>
      <c r="I60" s="1927" t="s">
        <v>1566</v>
      </c>
      <c r="J60" s="1928">
        <f ca="1">IF(OR(M47="住宅",J51&lt;L48,J56="是"),"0",ROUND(J59/(1+J52)^J53,0))</f>
        <v>2</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1438</v>
      </c>
      <c r="C61" s="24">
        <f ca="1">IF(项目基本情况!B11="自然人","——",IF(D61="按租金收入计税",ROUND(C48*F61,2),IF(D61="按房产原值计税",ROUND(C57*F61*0.7,2),INDIRECT("'数据-取费表'!Aj"&amp;$G$1))))</f>
        <v>0.99</v>
      </c>
      <c r="D61" s="1830" t="s">
        <v>1439</v>
      </c>
      <c r="E61" s="1171" t="s">
        <v>1423</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1442</v>
      </c>
      <c r="C62" s="25">
        <f ca="1">IF(项目基本情况!B11="自然人","——",ROUND(F62*F63/10000,2))</f>
        <v>0.03</v>
      </c>
      <c r="D62" s="1186" t="s">
        <v>1443</v>
      </c>
      <c r="E62" s="1171" t="s">
        <v>1444</v>
      </c>
      <c r="F62" s="371">
        <f t="shared" si="0"/>
        <v>3</v>
      </c>
      <c r="I62" s="1931" t="s">
        <v>1571</v>
      </c>
      <c r="J62" s="1932" t="s">
        <v>1572</v>
      </c>
      <c r="K62" s="1932" t="s">
        <v>1573</v>
      </c>
      <c r="L62" s="1932" t="s">
        <v>1574</v>
      </c>
      <c r="M62" s="1933" t="s">
        <v>1575</v>
      </c>
      <c r="O62" s="1886" t="s">
        <v>1046</v>
      </c>
      <c r="P62" s="1887" t="s">
        <v>1550</v>
      </c>
      <c r="Q62" s="1888">
        <f ca="1">Q56+Q57</f>
        <v>188</v>
      </c>
      <c r="R62" s="1888" t="s">
        <v>1047</v>
      </c>
    </row>
    <row r="63" spans="1:18" s="1844" customFormat="1" ht="13.5" thickBot="1">
      <c r="A63" s="372"/>
      <c r="B63" s="1177"/>
      <c r="C63" s="29"/>
      <c r="D63" s="1187"/>
      <c r="E63" s="1171" t="s">
        <v>1448</v>
      </c>
      <c r="F63" s="348">
        <f t="shared" ca="1" si="0"/>
        <v>92.53</v>
      </c>
      <c r="I63" s="1931" t="s">
        <v>1577</v>
      </c>
      <c r="J63" s="1932">
        <v>70</v>
      </c>
      <c r="K63" s="1932">
        <v>50</v>
      </c>
      <c r="L63" s="1932">
        <v>80</v>
      </c>
      <c r="M63" s="1934">
        <v>0.02</v>
      </c>
      <c r="O63" s="1871" t="s">
        <v>1578</v>
      </c>
      <c r="P63" s="1841"/>
      <c r="Q63" s="1841"/>
      <c r="R63" s="1841"/>
    </row>
    <row r="64" spans="1:18" s="1844" customFormat="1" ht="13.5" thickBot="1">
      <c r="A64" s="1203" t="s">
        <v>1039</v>
      </c>
      <c r="B64" s="1171" t="s">
        <v>1450</v>
      </c>
      <c r="C64" s="24">
        <f ca="1">ROUND(C57*F64,1)</f>
        <v>2.4</v>
      </c>
      <c r="D64" s="1185" t="s">
        <v>1483</v>
      </c>
      <c r="E64" s="1171" t="s">
        <v>1423</v>
      </c>
      <c r="F64" s="374">
        <f t="shared" ca="1" si="0"/>
        <v>0.02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0.2</v>
      </c>
      <c r="D65" s="1185" t="s">
        <v>1455</v>
      </c>
      <c r="E65" s="1171" t="s">
        <v>1423</v>
      </c>
      <c r="F65" s="376">
        <f t="shared" ca="1" si="0"/>
        <v>2E-3</v>
      </c>
      <c r="I65" s="1931" t="s">
        <v>1580</v>
      </c>
      <c r="J65" s="1932">
        <v>40</v>
      </c>
      <c r="K65" s="1932">
        <v>30</v>
      </c>
      <c r="L65" s="1932">
        <v>50</v>
      </c>
      <c r="M65" s="1934">
        <v>0.02</v>
      </c>
      <c r="O65" s="1886" t="s">
        <v>1040</v>
      </c>
      <c r="P65" s="1887" t="s">
        <v>1529</v>
      </c>
      <c r="Q65" s="1888">
        <f ca="1">C40+J29</f>
        <v>188</v>
      </c>
      <c r="R65" s="1888" t="s">
        <v>1530</v>
      </c>
    </row>
    <row r="66" spans="1:18" s="1844" customFormat="1" ht="16.5" thickBot="1">
      <c r="A66" s="1203" t="s">
        <v>1505</v>
      </c>
      <c r="B66" s="1171" t="s">
        <v>1440</v>
      </c>
      <c r="C66" s="24">
        <f ca="1">ROUND(C48*F66,1)</f>
        <v>0</v>
      </c>
      <c r="D66" s="1185" t="s">
        <v>1460</v>
      </c>
      <c r="E66" s="1171" t="s">
        <v>1423</v>
      </c>
      <c r="F66" s="357">
        <f t="shared" ca="1" si="0"/>
        <v>0.02</v>
      </c>
      <c r="O66" s="1886" t="s">
        <v>1041</v>
      </c>
      <c r="P66" s="1887" t="s">
        <v>1559</v>
      </c>
      <c r="Q66" s="1888">
        <f ca="1">L60</f>
        <v>0</v>
      </c>
      <c r="R66" s="1888" t="s">
        <v>1582</v>
      </c>
    </row>
    <row r="67" spans="1:18" s="1844" customFormat="1" ht="16.5" thickBot="1">
      <c r="A67" s="1178" t="s">
        <v>1031</v>
      </c>
      <c r="B67" s="1188" t="s">
        <v>1464</v>
      </c>
      <c r="C67" s="361">
        <f ca="1">C48-C58</f>
        <v>-4</v>
      </c>
      <c r="D67" s="1184" t="s">
        <v>1465</v>
      </c>
      <c r="E67" s="1189"/>
      <c r="F67" s="1190"/>
      <c r="O67" s="1896" t="s">
        <v>1042</v>
      </c>
      <c r="P67" s="1887" t="s">
        <v>1563</v>
      </c>
      <c r="Q67" s="1935">
        <f ca="1">L51</f>
        <v>10</v>
      </c>
      <c r="R67" s="1888" t="s">
        <v>1583</v>
      </c>
    </row>
    <row r="68" spans="1:18" s="1844" customFormat="1" ht="16.5" thickBot="1">
      <c r="A68" s="1168" t="s">
        <v>1032</v>
      </c>
      <c r="B68" s="1169" t="s">
        <v>1486</v>
      </c>
      <c r="C68" s="346">
        <f ca="1">ROUND(C67*(1-((1+F70)/(1+F68))^F69)/(F68-F70),0)</f>
        <v>-68</v>
      </c>
      <c r="D68" s="1186" t="s">
        <v>1470</v>
      </c>
      <c r="E68" s="1171" t="s">
        <v>1471</v>
      </c>
      <c r="F68" s="357">
        <f ca="1">F40</f>
        <v>0.05</v>
      </c>
      <c r="O68" s="1896" t="s">
        <v>1043</v>
      </c>
      <c r="P68" s="1936" t="s">
        <v>1584</v>
      </c>
      <c r="Q68" s="1888">
        <f ca="1">ROUND(Q69-Q70*Q71,0)</f>
        <v>1</v>
      </c>
      <c r="R68" s="1888" t="s">
        <v>1051</v>
      </c>
    </row>
    <row r="69" spans="1:18" s="1844" customFormat="1" ht="13.5" thickBot="1">
      <c r="A69" s="1172"/>
      <c r="B69" s="1173"/>
      <c r="C69" s="351"/>
      <c r="D69" s="1191" t="s">
        <v>1474</v>
      </c>
      <c r="E69" s="1171" t="s">
        <v>1475</v>
      </c>
      <c r="F69" s="379">
        <f ca="1">F41</f>
        <v>38.61</v>
      </c>
      <c r="O69" s="1896" t="s">
        <v>1048</v>
      </c>
      <c r="P69" s="1936" t="s">
        <v>1585</v>
      </c>
      <c r="Q69" s="1888">
        <f ca="1">C39</f>
        <v>9</v>
      </c>
      <c r="R69" s="1888" t="s">
        <v>1530</v>
      </c>
    </row>
    <row r="70" spans="1:18" s="1844" customFormat="1" ht="13.5" thickBot="1">
      <c r="A70" s="1175"/>
      <c r="B70" s="1176"/>
      <c r="C70" s="355"/>
      <c r="D70" s="1187"/>
      <c r="E70" s="1171" t="s">
        <v>1478</v>
      </c>
      <c r="F70" s="1277"/>
      <c r="O70" s="1896" t="s">
        <v>1049</v>
      </c>
      <c r="P70" s="1936" t="s">
        <v>1586</v>
      </c>
      <c r="Q70" s="1888">
        <f ca="1">C13</f>
        <v>100</v>
      </c>
      <c r="R70" s="1888" t="s">
        <v>1530</v>
      </c>
    </row>
    <row r="71" spans="1:18" s="1844" customFormat="1" ht="13.5" thickBot="1">
      <c r="A71" s="1192" t="s">
        <v>1033</v>
      </c>
      <c r="B71" s="1193" t="s">
        <v>1488</v>
      </c>
      <c r="C71" s="382">
        <f ca="1">ROUND(C68*10000/F71,0)</f>
        <v>-2100</v>
      </c>
      <c r="D71" s="1194" t="s">
        <v>1489</v>
      </c>
      <c r="E71" s="1195" t="s">
        <v>1490</v>
      </c>
      <c r="F71" s="385">
        <f ca="1">F43</f>
        <v>323.76000000000005</v>
      </c>
      <c r="O71" s="1896" t="s">
        <v>1050</v>
      </c>
      <c r="P71" s="1936" t="s">
        <v>1587</v>
      </c>
      <c r="Q71" s="1899">
        <f ca="1">C76</f>
        <v>8.5000000000000006E-2</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9</v>
      </c>
      <c r="D75" s="1844"/>
      <c r="E75" s="1844"/>
      <c r="F75" s="1844"/>
      <c r="K75" s="1870"/>
      <c r="L75" s="1844"/>
      <c r="O75" s="1886" t="s">
        <v>1046</v>
      </c>
      <c r="P75" s="1887" t="s">
        <v>1550</v>
      </c>
      <c r="Q75" s="1888">
        <f ca="1">Q65+Q66</f>
        <v>188</v>
      </c>
      <c r="R75" s="1888" t="s">
        <v>1047</v>
      </c>
    </row>
    <row r="76" spans="1:18">
      <c r="B76" s="388" t="s">
        <v>1508</v>
      </c>
      <c r="C76" s="389">
        <f ca="1">INDIRECT("'数据-取费表'!j"&amp;$G$1)</f>
        <v>8.5000000000000006E-2</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v>
      </c>
    </row>
    <row r="80" spans="1:18">
      <c r="B80" s="386" t="s">
        <v>1512</v>
      </c>
      <c r="C80" s="318">
        <f ca="1">ROUND(C75/C39,3)</f>
        <v>1</v>
      </c>
    </row>
    <row r="81" spans="2:3">
      <c r="B81" s="314" t="s">
        <v>1513</v>
      </c>
      <c r="C81" s="282"/>
    </row>
    <row r="82" spans="2:3">
      <c r="B82" s="317" t="s">
        <v>1514</v>
      </c>
      <c r="C82" s="319">
        <f ca="1">1-C83</f>
        <v>0.46799999999999997</v>
      </c>
    </row>
    <row r="83" spans="2:3">
      <c r="B83" s="317" t="s">
        <v>1515</v>
      </c>
      <c r="C83" s="318">
        <f ca="1">ROUND(C13/C40,3)</f>
        <v>0.53200000000000003</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8" priority="4">
      <formula>$L$48&gt;$J$51</formula>
    </cfRule>
  </conditionalFormatting>
  <conditionalFormatting sqref="I55 I60">
    <cfRule type="expression" dxfId="17" priority="5">
      <formula>$J$51&gt;$L$48</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19" t="str">
        <f>IF(项目基本情况!B9="房地产市场价值","估价结果一览表","结果表-2")</f>
        <v>估价结果一览表</v>
      </c>
      <c r="B1" s="3019"/>
      <c r="C1" s="3019"/>
      <c r="D1" s="3019"/>
      <c r="E1" s="3019"/>
      <c r="F1" s="3019"/>
      <c r="G1" s="3019"/>
      <c r="H1" s="3019"/>
      <c r="I1" s="3019"/>
    </row>
    <row r="2" spans="1:9" ht="30" customHeight="1" thickTop="1">
      <c r="A2" s="3020" t="s">
        <v>1642</v>
      </c>
      <c r="B2" s="3020" t="s">
        <v>1643</v>
      </c>
      <c r="C2" s="3020" t="s">
        <v>1644</v>
      </c>
      <c r="D2" s="3020" t="str">
        <f>'结果表-办公'!D116</f>
        <v>出让国有建设用地使用权价值</v>
      </c>
      <c r="E2" s="3020"/>
      <c r="F2" s="3020" t="str">
        <f>'结果表-办公'!F116</f>
        <v>在建建筑物价值</v>
      </c>
      <c r="G2" s="3020"/>
      <c r="H2" s="3020" t="str">
        <f>IF(项目基本情况!B9="房地产市场价值","房地产市场价值","房地产价值")</f>
        <v>房地产市场价值</v>
      </c>
      <c r="I2" s="3020"/>
    </row>
    <row r="3" spans="1:9" ht="15">
      <c r="A3" s="3021"/>
      <c r="B3" s="3021"/>
      <c r="C3" s="3021"/>
      <c r="D3" s="1046" t="s">
        <v>1639</v>
      </c>
      <c r="E3" s="1046" t="s">
        <v>1645</v>
      </c>
      <c r="F3" s="1046" t="s">
        <v>1639</v>
      </c>
      <c r="G3" s="1046" t="s">
        <v>1640</v>
      </c>
      <c r="H3" s="1046" t="s">
        <v>1639</v>
      </c>
      <c r="I3" s="1046" t="s">
        <v>1640</v>
      </c>
    </row>
    <row r="4" spans="1:9" ht="30">
      <c r="A4" s="1975" t="str">
        <f>项目基本情况!S2</f>
        <v>北京市朝阳区朝阳路71号房地产</v>
      </c>
      <c r="B4" s="1046">
        <f>项目基本情况!C17</f>
        <v>3647.3</v>
      </c>
      <c r="C4" s="1046">
        <f>项目基本情况!C18</f>
        <v>1042.42</v>
      </c>
      <c r="D4" s="1046" t="e">
        <f ca="1">'结果表-办公'!D118</f>
        <v>#REF!</v>
      </c>
      <c r="E4" s="1046" t="e">
        <f ca="1">'结果表-办公'!E118</f>
        <v>#REF!</v>
      </c>
      <c r="F4" s="1046" t="e">
        <f ca="1">'结果表-办公'!F118</f>
        <v>#REF!</v>
      </c>
      <c r="G4" s="1046" t="e">
        <f ca="1">'结果表-办公'!G118</f>
        <v>#REF!</v>
      </c>
      <c r="H4" s="1046">
        <f ca="1">'结果表-办公'!H118</f>
        <v>827</v>
      </c>
      <c r="I4" s="1046">
        <f ca="1">'结果表-办公'!I118</f>
        <v>2267</v>
      </c>
    </row>
    <row r="5" spans="1:9" ht="30" customHeight="1">
      <c r="A5" s="3021" t="s">
        <v>1641</v>
      </c>
      <c r="B5" s="3021"/>
      <c r="C5" s="3021"/>
      <c r="D5" s="3022" t="e">
        <f ca="1">'结果表-办公'!D119</f>
        <v>#REF!</v>
      </c>
      <c r="E5" s="3022"/>
      <c r="F5" s="3022" t="e">
        <f ca="1">'结果表-办公'!F119</f>
        <v>#REF!</v>
      </c>
      <c r="G5" s="3022"/>
      <c r="H5" s="3022" t="str">
        <f ca="1">'结果表-办公'!H119</f>
        <v>捌佰贰拾柒万元整</v>
      </c>
      <c r="I5" s="3022"/>
    </row>
    <row r="6" spans="1:9" ht="15.75">
      <c r="A6" s="3023" t="str">
        <f>'结果表-办公'!A120</f>
        <v/>
      </c>
      <c r="B6" s="3023"/>
      <c r="C6" s="3023"/>
      <c r="D6" s="3023">
        <f>'结果表-办公'!D120</f>
        <v>0</v>
      </c>
      <c r="E6" s="3023"/>
      <c r="F6" s="3023"/>
      <c r="G6" s="3023"/>
      <c r="H6" s="3023"/>
      <c r="I6" s="3023"/>
    </row>
    <row r="7" spans="1:9" ht="15">
      <c r="A7" s="3021" t="s">
        <v>1641</v>
      </c>
      <c r="B7" s="3021"/>
      <c r="C7" s="3021"/>
      <c r="D7" s="3024" t="str">
        <f>'结果表-办公'!D121</f>
        <v>零元整</v>
      </c>
      <c r="E7" s="3025"/>
      <c r="F7" s="3025"/>
      <c r="G7" s="3025"/>
      <c r="H7" s="3025"/>
      <c r="I7" s="3026"/>
    </row>
    <row r="8" spans="1:9" ht="15.75">
      <c r="A8" s="3023" t="str">
        <f>'结果表-办公'!A122</f>
        <v/>
      </c>
      <c r="B8" s="3023"/>
      <c r="C8" s="3023"/>
      <c r="D8" s="3023">
        <f ca="1">'结果表-办公'!D122</f>
        <v>827</v>
      </c>
      <c r="E8" s="3023"/>
      <c r="F8" s="3023"/>
      <c r="G8" s="3023"/>
      <c r="H8" s="3023"/>
      <c r="I8" s="3023"/>
    </row>
    <row r="9" spans="1:9" ht="15">
      <c r="A9" s="3021" t="s">
        <v>1641</v>
      </c>
      <c r="B9" s="3021"/>
      <c r="C9" s="3021"/>
      <c r="D9" s="3022" t="str">
        <f ca="1">'结果表-办公'!D123</f>
        <v>捌佰贰拾柒万元整</v>
      </c>
      <c r="E9" s="3022"/>
      <c r="F9" s="3022"/>
      <c r="G9" s="3022"/>
      <c r="H9" s="3022"/>
      <c r="I9" s="3022"/>
    </row>
    <row r="10" spans="1:9" ht="15.75">
      <c r="A10" s="3023" t="str">
        <f>'结果表-办公'!A124</f>
        <v/>
      </c>
      <c r="B10" s="3023"/>
      <c r="C10" s="3023"/>
      <c r="D10" s="3023" t="str">
        <f>'结果表-办公'!D124</f>
        <v>——</v>
      </c>
      <c r="E10" s="3023"/>
      <c r="F10" s="3023"/>
      <c r="G10" s="3023"/>
      <c r="H10" s="3023"/>
      <c r="I10" s="3023"/>
    </row>
    <row r="11" spans="1:9" ht="15">
      <c r="A11" s="3021" t="s">
        <v>1641</v>
      </c>
      <c r="B11" s="3021"/>
      <c r="C11" s="3021"/>
      <c r="D11" s="3022" t="e">
        <f>'结果表-办公'!D125</f>
        <v>#VALUE!</v>
      </c>
      <c r="E11" s="3022"/>
      <c r="F11" s="3022"/>
      <c r="G11" s="3022"/>
      <c r="H11" s="3022"/>
      <c r="I11" s="3022"/>
    </row>
    <row r="12" spans="1:9" ht="15.75">
      <c r="A12" s="3023" t="str">
        <f>'结果表-办公'!A126</f>
        <v/>
      </c>
      <c r="B12" s="3023"/>
      <c r="C12" s="3023"/>
      <c r="D12" s="3023" t="str">
        <f>'结果表-办公'!D126</f>
        <v>——</v>
      </c>
      <c r="E12" s="3023"/>
      <c r="F12" s="3023"/>
      <c r="G12" s="3023"/>
      <c r="H12" s="3023"/>
      <c r="I12" s="3023"/>
    </row>
    <row r="13" spans="1:9" ht="15.75" thickBot="1">
      <c r="A13" s="3027" t="s">
        <v>1641</v>
      </c>
      <c r="B13" s="3027"/>
      <c r="C13" s="3027"/>
      <c r="D13" s="3028" t="e">
        <f>'结果表-办公'!D127</f>
        <v>#VALUE!</v>
      </c>
      <c r="E13" s="3028"/>
      <c r="F13" s="3028"/>
      <c r="G13" s="3028"/>
      <c r="H13" s="3028"/>
      <c r="I13" s="3028"/>
    </row>
    <row r="14" spans="1:9" ht="15" thickTop="1">
      <c r="A14" s="3029" t="s">
        <v>1646</v>
      </c>
      <c r="B14" s="3029"/>
      <c r="C14" s="3029"/>
      <c r="D14" s="3029"/>
      <c r="E14" s="3029"/>
      <c r="F14" s="3029"/>
      <c r="G14" s="3029"/>
      <c r="H14" s="3029"/>
      <c r="I14" s="3029"/>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26" zoomScale="89" zoomScaleNormal="89" workbookViewId="0">
      <selection activeCell="K35" sqref="K3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t="s">
        <v>3103</v>
      </c>
      <c r="E1" s="1632"/>
      <c r="F1" s="2585" t="s">
        <v>3226</v>
      </c>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f>IF(C2="——",ROUND(C37*D3/10000,0),ROUND(C37*D3/10000,0)-D2)</f>
        <v>0</v>
      </c>
      <c r="C2" s="2587" t="s">
        <v>70</v>
      </c>
      <c r="D2" s="1126" t="e">
        <f ca="1">SUMIF(INDIRECT("'"&amp;F2&amp;"'"&amp;"!A:A"),"承租人权益价值",INDIRECT("'"&amp;F2&amp;"'"&amp;"!c:c"))</f>
        <v>#REF!</v>
      </c>
      <c r="E2" s="2588" t="s">
        <v>2329</v>
      </c>
      <c r="F2" s="2589"/>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2330</v>
      </c>
      <c r="B3" s="609">
        <f>IF(C2="——",C37,ROUND(B2*10000/D3,0))</f>
        <v>1.8</v>
      </c>
      <c r="C3" s="400" t="s">
        <v>2645</v>
      </c>
      <c r="D3" s="399">
        <f>SUMIF('数据-汇总表'!$C19:$C33,D1,'数据-汇总表'!$E19:$E33)</f>
        <v>323.76000000000005</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2646</v>
      </c>
      <c r="B4" s="402"/>
      <c r="C4" s="3224" t="s">
        <v>2647</v>
      </c>
      <c r="D4" s="3225"/>
      <c r="E4" s="3226" t="s">
        <v>2648</v>
      </c>
      <c r="F4" s="3227"/>
      <c r="G4" s="3224" t="s">
        <v>2649</v>
      </c>
      <c r="H4" s="3225"/>
      <c r="I4" s="3224" t="s">
        <v>2650</v>
      </c>
      <c r="J4" s="3225"/>
      <c r="K4" s="610" t="s">
        <v>2651</v>
      </c>
      <c r="L4" s="1132"/>
      <c r="M4" s="1133"/>
      <c r="N4" s="1133"/>
      <c r="O4" s="1133"/>
      <c r="P4" s="3286" t="s">
        <v>2652</v>
      </c>
      <c r="Q4" s="3287"/>
      <c r="R4" s="3282" t="s">
        <v>2648</v>
      </c>
      <c r="S4" s="3283"/>
      <c r="T4" s="3282" t="s">
        <v>2649</v>
      </c>
      <c r="U4" s="3283"/>
      <c r="V4" s="3237" t="s">
        <v>2650</v>
      </c>
      <c r="W4" s="3237"/>
      <c r="X4" s="1815"/>
      <c r="Y4" s="3282" t="s">
        <v>2652</v>
      </c>
      <c r="Z4" s="3283"/>
      <c r="AA4" s="3281" t="s">
        <v>2648</v>
      </c>
      <c r="AB4" s="3203" t="s">
        <v>2649</v>
      </c>
      <c r="AC4" s="3281" t="s">
        <v>2650</v>
      </c>
    </row>
    <row r="5" spans="1:29" ht="15">
      <c r="A5" s="404"/>
      <c r="B5" s="405"/>
      <c r="C5" s="3217" t="s">
        <v>2543</v>
      </c>
      <c r="D5" s="3214"/>
      <c r="E5" s="3284" t="s">
        <v>2544</v>
      </c>
      <c r="F5" s="3212"/>
      <c r="G5" s="3217" t="s">
        <v>2545</v>
      </c>
      <c r="H5" s="3214"/>
      <c r="I5" s="3217" t="s">
        <v>2546</v>
      </c>
      <c r="J5" s="3214"/>
      <c r="K5" s="610"/>
      <c r="L5" s="1132"/>
      <c r="M5" s="1133"/>
      <c r="N5" s="1133"/>
      <c r="O5" s="1133"/>
      <c r="P5" s="3288"/>
      <c r="Q5" s="3231"/>
      <c r="R5" s="3209"/>
      <c r="S5" s="3210"/>
      <c r="T5" s="3209"/>
      <c r="U5" s="3210"/>
      <c r="V5" s="3237"/>
      <c r="W5" s="3237"/>
      <c r="X5" s="1815"/>
      <c r="Y5" s="3209"/>
      <c r="Z5" s="3210"/>
      <c r="AA5" s="3203"/>
      <c r="AB5" s="3203"/>
      <c r="AC5" s="3203"/>
    </row>
    <row r="6" spans="1:29" ht="15.75" thickBot="1">
      <c r="A6" s="406"/>
      <c r="B6" s="407"/>
      <c r="C6" s="3238" t="s">
        <v>2547</v>
      </c>
      <c r="D6" s="3216"/>
      <c r="E6" s="3285" t="s">
        <v>2547</v>
      </c>
      <c r="F6" s="3219"/>
      <c r="G6" s="3238" t="s">
        <v>2547</v>
      </c>
      <c r="H6" s="3216"/>
      <c r="I6" s="3238" t="s">
        <v>2547</v>
      </c>
      <c r="J6" s="3216"/>
      <c r="K6" s="610" t="s">
        <v>2548</v>
      </c>
      <c r="L6" s="1132"/>
      <c r="M6" s="1133"/>
      <c r="N6" s="1133"/>
      <c r="O6" s="1133"/>
      <c r="P6" s="3289"/>
      <c r="Q6" s="3233"/>
      <c r="R6" s="3209"/>
      <c r="S6" s="3210"/>
      <c r="T6" s="3234"/>
      <c r="U6" s="3235"/>
      <c r="V6" s="3237"/>
      <c r="W6" s="3237"/>
      <c r="X6" s="1815"/>
      <c r="Y6" s="3234"/>
      <c r="Z6" s="3235"/>
      <c r="AA6" s="3204"/>
      <c r="AB6" s="3204"/>
      <c r="AC6" s="3204"/>
    </row>
    <row r="7" spans="1:29" s="117" customFormat="1" ht="15.75" thickBot="1">
      <c r="A7" s="408" t="s">
        <v>2549</v>
      </c>
      <c r="B7" s="409"/>
      <c r="C7" s="410">
        <f>'数据-取费表'!B2</f>
        <v>43100</v>
      </c>
      <c r="D7" s="411">
        <v>100</v>
      </c>
      <c r="E7" s="412">
        <v>43070</v>
      </c>
      <c r="F7" s="413">
        <f>SUMIF(46:46,YEAR(E7)&amp;"-"&amp;MONTH(E7),47:47)</f>
        <v>100</v>
      </c>
      <c r="G7" s="412">
        <v>43070</v>
      </c>
      <c r="H7" s="411">
        <f>SUMIF(46:46,YEAR(G7)&amp;"-"&amp;MONTH(G7),47:47)</f>
        <v>100</v>
      </c>
      <c r="I7" s="412">
        <v>43070</v>
      </c>
      <c r="J7" s="411">
        <f>SUMIF(46:46,YEAR(I7)&amp;"-"&amp;MONTH(I7),47:47)</f>
        <v>100</v>
      </c>
      <c r="K7" s="611"/>
      <c r="L7" s="1134"/>
      <c r="M7" s="1135"/>
      <c r="N7" s="1135"/>
      <c r="O7" s="1135"/>
      <c r="P7" s="3205" t="s">
        <v>2550</v>
      </c>
      <c r="Q7" s="3240"/>
      <c r="R7" s="770" t="s">
        <v>17</v>
      </c>
      <c r="S7" s="771">
        <f t="shared" ref="S7:S14" si="0">F7</f>
        <v>100</v>
      </c>
      <c r="T7" s="770" t="s">
        <v>17</v>
      </c>
      <c r="U7" s="771">
        <f t="shared" ref="U7:U14" si="1">H7</f>
        <v>100</v>
      </c>
      <c r="V7" s="770" t="s">
        <v>17</v>
      </c>
      <c r="W7" s="771">
        <f t="shared" ref="W7:W14" si="2">J7</f>
        <v>100</v>
      </c>
      <c r="X7" s="772"/>
      <c r="Y7" s="3205" t="s">
        <v>2550</v>
      </c>
      <c r="Z7" s="3206"/>
      <c r="AA7" s="773">
        <f>D7/F7</f>
        <v>1</v>
      </c>
      <c r="AB7" s="773">
        <f>D7/H7</f>
        <v>1</v>
      </c>
      <c r="AC7" s="773">
        <f>D7/J7</f>
        <v>1</v>
      </c>
    </row>
    <row r="8" spans="1:29" s="117" customFormat="1" ht="15.75" thickBot="1">
      <c r="A8" s="408" t="s">
        <v>2551</v>
      </c>
      <c r="B8" s="409"/>
      <c r="C8" s="414" t="s">
        <v>2653</v>
      </c>
      <c r="D8" s="411">
        <v>100</v>
      </c>
      <c r="E8" s="414" t="s">
        <v>2588</v>
      </c>
      <c r="F8" s="413">
        <f>SUMIF(49:49,E8,50:50)-SUMIF(49:49,C8,50:50)+100</f>
        <v>100</v>
      </c>
      <c r="G8" s="414" t="s">
        <v>2588</v>
      </c>
      <c r="H8" s="411">
        <f>SUMIF(49:49,G8,50:50)-SUMIF(49:49,C8,50:50)+100</f>
        <v>100</v>
      </c>
      <c r="I8" s="414" t="s">
        <v>2588</v>
      </c>
      <c r="J8" s="411">
        <f>SUMIF(49:49,I8,50:50)-SUMIF(49:49,C8,50:50)+100</f>
        <v>100</v>
      </c>
      <c r="K8" s="611"/>
      <c r="L8" s="1134"/>
      <c r="M8" s="1135"/>
      <c r="N8" s="1135"/>
      <c r="O8" s="1135"/>
      <c r="P8" s="3205" t="s">
        <v>2553</v>
      </c>
      <c r="Q8" s="3206"/>
      <c r="R8" s="770" t="s">
        <v>17</v>
      </c>
      <c r="S8" s="771">
        <f t="shared" si="0"/>
        <v>100</v>
      </c>
      <c r="T8" s="770" t="s">
        <v>17</v>
      </c>
      <c r="U8" s="771">
        <f t="shared" si="1"/>
        <v>100</v>
      </c>
      <c r="V8" s="770" t="s">
        <v>17</v>
      </c>
      <c r="W8" s="771">
        <f t="shared" si="2"/>
        <v>100</v>
      </c>
      <c r="X8" s="772"/>
      <c r="Y8" s="3205" t="s">
        <v>2553</v>
      </c>
      <c r="Z8" s="3206"/>
      <c r="AA8" s="773">
        <f t="shared" ref="AA8:AA34" si="3">D8/F8</f>
        <v>1</v>
      </c>
      <c r="AB8" s="773">
        <f t="shared" ref="AB8:AB34" si="4">D8/H8</f>
        <v>1</v>
      </c>
      <c r="AC8" s="773">
        <f t="shared" ref="AC8:AC34" si="5">D8/J8</f>
        <v>1</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50" t="s">
        <v>2556</v>
      </c>
      <c r="Q9" s="1797" t="str">
        <f t="shared" ref="Q9:Q14" si="6">B9</f>
        <v>用途</v>
      </c>
      <c r="R9" s="770" t="s">
        <v>17</v>
      </c>
      <c r="S9" s="771">
        <f t="shared" si="0"/>
        <v>100</v>
      </c>
      <c r="T9" s="770" t="s">
        <v>17</v>
      </c>
      <c r="U9" s="771">
        <f t="shared" si="1"/>
        <v>100</v>
      </c>
      <c r="V9" s="770" t="s">
        <v>17</v>
      </c>
      <c r="W9" s="771">
        <f t="shared" si="2"/>
        <v>100</v>
      </c>
      <c r="X9" s="772"/>
      <c r="Y9" s="3074" t="s">
        <v>2557</v>
      </c>
      <c r="Z9" s="55" t="str">
        <f t="shared" ref="Z9:Z14" si="7">Q9</f>
        <v>用途</v>
      </c>
      <c r="AA9" s="773">
        <f t="shared" si="3"/>
        <v>1</v>
      </c>
      <c r="AB9" s="773">
        <f t="shared" si="4"/>
        <v>1</v>
      </c>
      <c r="AC9" s="773">
        <f t="shared" si="5"/>
        <v>1</v>
      </c>
    </row>
    <row r="10" spans="1:29" s="427" customFormat="1" ht="27.75" thickBot="1">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50"/>
      <c r="Q10" s="1797"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 hidden="1">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50"/>
      <c r="Q11" s="1797">
        <f t="shared" si="6"/>
        <v>111</v>
      </c>
      <c r="R11" s="770" t="s">
        <v>17</v>
      </c>
      <c r="S11" s="771">
        <f t="shared" si="0"/>
        <v>100</v>
      </c>
      <c r="T11" s="770" t="s">
        <v>17</v>
      </c>
      <c r="U11" s="771">
        <f t="shared" si="1"/>
        <v>100</v>
      </c>
      <c r="V11" s="770" t="s">
        <v>17</v>
      </c>
      <c r="W11" s="771">
        <f t="shared" si="2"/>
        <v>100</v>
      </c>
      <c r="X11" s="772"/>
      <c r="Y11" s="3074"/>
      <c r="Z11" s="55">
        <f t="shared" si="7"/>
        <v>111</v>
      </c>
      <c r="AA11" s="773">
        <f t="shared" si="3"/>
        <v>1</v>
      </c>
      <c r="AB11" s="773">
        <f t="shared" si="4"/>
        <v>1</v>
      </c>
      <c r="AC11" s="773">
        <f t="shared" si="5"/>
        <v>1</v>
      </c>
    </row>
    <row r="12" spans="1:29" s="117" customFormat="1" ht="15" hidden="1">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50"/>
      <c r="Q12" s="1797">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773">
        <f>D12/J12</f>
        <v>1</v>
      </c>
    </row>
    <row r="13" spans="1:29" ht="15.75" hidden="1"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2"/>
      <c r="M13" s="1133"/>
      <c r="N13" s="1133"/>
      <c r="O13" s="1141"/>
      <c r="P13" s="3250"/>
      <c r="Q13" s="1797">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773">
        <f t="shared" si="5"/>
        <v>1</v>
      </c>
    </row>
    <row r="14" spans="1:29" ht="142.5">
      <c r="A14" s="440" t="s">
        <v>2560</v>
      </c>
      <c r="B14" s="69" t="s">
        <v>2710</v>
      </c>
      <c r="C14" s="2694" t="str">
        <f>IF(B1="工业",估价对象房地状况!G4,估价对象房地状况!C6)</f>
        <v>估价对象周边道路较为密集，公共交通通达情况较好，1公里内有350路、411路及地铁1号线等公共交通，停车便捷程度较好，综合评价交通便捷度较好。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43" t="s">
        <v>2561</v>
      </c>
      <c r="Q14" s="1812" t="str">
        <f t="shared" si="6"/>
        <v>交通便捷度</v>
      </c>
      <c r="R14" s="774" t="s">
        <v>17</v>
      </c>
      <c r="S14" s="775">
        <f t="shared" si="0"/>
        <v>100</v>
      </c>
      <c r="T14" s="774" t="s">
        <v>17</v>
      </c>
      <c r="U14" s="775">
        <f t="shared" si="1"/>
        <v>100</v>
      </c>
      <c r="V14" s="774" t="s">
        <v>17</v>
      </c>
      <c r="W14" s="775">
        <f t="shared" si="2"/>
        <v>100</v>
      </c>
      <c r="X14" s="1815"/>
      <c r="Y14" s="3243" t="s">
        <v>2561</v>
      </c>
      <c r="Z14" s="1816" t="str">
        <f t="shared" si="7"/>
        <v>交通便捷度</v>
      </c>
      <c r="AA14" s="1813">
        <f t="shared" si="3"/>
        <v>1</v>
      </c>
      <c r="AB14" s="1813">
        <f t="shared" si="4"/>
        <v>1</v>
      </c>
      <c r="AC14" s="1813">
        <f t="shared" si="5"/>
        <v>1</v>
      </c>
    </row>
    <row r="15" spans="1:29" ht="15">
      <c r="A15" s="428"/>
      <c r="B15" s="446"/>
      <c r="C15" s="447" t="s">
        <v>3140</v>
      </c>
      <c r="D15" s="448"/>
      <c r="E15" s="447" t="s">
        <v>3140</v>
      </c>
      <c r="F15" s="449"/>
      <c r="G15" s="447" t="s">
        <v>3140</v>
      </c>
      <c r="H15" s="450"/>
      <c r="I15" s="447" t="s">
        <v>3140</v>
      </c>
      <c r="J15" s="448"/>
      <c r="K15" s="615"/>
      <c r="L15" s="1142"/>
      <c r="M15" s="1133"/>
      <c r="N15" s="1133"/>
      <c r="O15" s="1141"/>
      <c r="P15" s="3244"/>
      <c r="Q15" s="1812"/>
      <c r="R15" s="774"/>
      <c r="S15" s="775"/>
      <c r="T15" s="774"/>
      <c r="U15" s="775"/>
      <c r="V15" s="774"/>
      <c r="W15" s="775"/>
      <c r="X15" s="1815"/>
      <c r="Y15" s="3244"/>
      <c r="Z15" s="1816"/>
      <c r="AA15" s="1813">
        <v>1</v>
      </c>
      <c r="AB15" s="1813">
        <v>1</v>
      </c>
      <c r="AC15" s="1813">
        <v>1</v>
      </c>
    </row>
    <row r="16" spans="1:29" ht="199.5">
      <c r="A16" s="428"/>
      <c r="B16" s="451" t="s">
        <v>2689</v>
      </c>
      <c r="C16" s="2608" t="str">
        <f>IF(B1="工业",估价对象房地状况!G5,估价对象房地状况!C7)</f>
        <v>估价对象所在区域1公里范围内，有银行（中国工商银行、中国银行），购物（卜蜂莲花、物美超市），医院（民航总医院），学校（朝阳区兴隆小学、星河实验学校）等，公共配套设施齐备情况较好。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44"/>
      <c r="Q16" s="1812" t="str">
        <f>B16</f>
        <v>公共配套设施</v>
      </c>
      <c r="R16" s="774" t="s">
        <v>17</v>
      </c>
      <c r="S16" s="775">
        <f>F16</f>
        <v>100</v>
      </c>
      <c r="T16" s="774" t="s">
        <v>17</v>
      </c>
      <c r="U16" s="775">
        <f>H16</f>
        <v>100</v>
      </c>
      <c r="V16" s="774" t="s">
        <v>17</v>
      </c>
      <c r="W16" s="775">
        <f>J16</f>
        <v>100</v>
      </c>
      <c r="X16" s="1815"/>
      <c r="Y16" s="3244"/>
      <c r="Z16" s="1816" t="str">
        <f>Q16</f>
        <v>公共配套设施</v>
      </c>
      <c r="AA16" s="1813">
        <f t="shared" si="3"/>
        <v>1</v>
      </c>
      <c r="AB16" s="1813">
        <f t="shared" si="4"/>
        <v>1</v>
      </c>
      <c r="AC16" s="1813">
        <f t="shared" si="5"/>
        <v>1</v>
      </c>
    </row>
    <row r="17" spans="1:29" ht="15">
      <c r="A17" s="428"/>
      <c r="B17" s="456"/>
      <c r="C17" s="447" t="s">
        <v>3140</v>
      </c>
      <c r="D17" s="448"/>
      <c r="E17" s="447" t="s">
        <v>3140</v>
      </c>
      <c r="F17" s="449"/>
      <c r="G17" s="447" t="s">
        <v>3140</v>
      </c>
      <c r="H17" s="448"/>
      <c r="I17" s="447" t="s">
        <v>3140</v>
      </c>
      <c r="J17" s="448"/>
      <c r="K17" s="615"/>
      <c r="L17" s="1142"/>
      <c r="M17" s="1133"/>
      <c r="N17" s="1133"/>
      <c r="O17" s="1141"/>
      <c r="P17" s="3244"/>
      <c r="Q17" s="1812"/>
      <c r="R17" s="774"/>
      <c r="S17" s="775"/>
      <c r="T17" s="774"/>
      <c r="U17" s="775"/>
      <c r="V17" s="774"/>
      <c r="W17" s="775"/>
      <c r="X17" s="1815"/>
      <c r="Y17" s="3244"/>
      <c r="Z17" s="1816"/>
      <c r="AA17" s="1813">
        <v>1</v>
      </c>
      <c r="AB17" s="1813">
        <v>1</v>
      </c>
      <c r="AC17" s="1813">
        <v>1</v>
      </c>
    </row>
    <row r="18" spans="1:29" ht="42.75">
      <c r="A18" s="428"/>
      <c r="B18" s="1386" t="s">
        <v>2690</v>
      </c>
      <c r="C18" s="2608"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44"/>
      <c r="Q18" s="1812" t="str">
        <f>B18</f>
        <v>基础设施水平</v>
      </c>
      <c r="R18" s="774" t="s">
        <v>17</v>
      </c>
      <c r="S18" s="775">
        <f>F18</f>
        <v>100</v>
      </c>
      <c r="T18" s="774" t="s">
        <v>17</v>
      </c>
      <c r="U18" s="775">
        <f>H18</f>
        <v>100</v>
      </c>
      <c r="V18" s="774" t="s">
        <v>17</v>
      </c>
      <c r="W18" s="775">
        <f>J18</f>
        <v>100</v>
      </c>
      <c r="X18" s="1815"/>
      <c r="Y18" s="3244"/>
      <c r="Z18" s="1816" t="str">
        <f>Q18</f>
        <v>基础设施水平</v>
      </c>
      <c r="AA18" s="1813">
        <f t="shared" ref="AA18" si="8">D18/F18</f>
        <v>1</v>
      </c>
      <c r="AB18" s="1813">
        <f t="shared" ref="AB18" si="9">D18/H18</f>
        <v>1</v>
      </c>
      <c r="AC18" s="1813">
        <f t="shared" ref="AC18" si="10">D18/J18</f>
        <v>1</v>
      </c>
    </row>
    <row r="19" spans="1:29" ht="15">
      <c r="A19" s="428"/>
      <c r="B19" s="1386"/>
      <c r="C19" s="2609" t="s">
        <v>3141</v>
      </c>
      <c r="D19" s="450"/>
      <c r="E19" s="2609" t="s">
        <v>3141</v>
      </c>
      <c r="F19" s="453"/>
      <c r="G19" s="2609" t="s">
        <v>3141</v>
      </c>
      <c r="H19" s="448"/>
      <c r="I19" s="2609" t="s">
        <v>3141</v>
      </c>
      <c r="J19" s="448"/>
      <c r="K19" s="1385"/>
      <c r="L19" s="1142"/>
      <c r="M19" s="1133"/>
      <c r="N19" s="1133"/>
      <c r="O19" s="1141"/>
      <c r="P19" s="3244"/>
      <c r="Q19" s="1812"/>
      <c r="R19" s="774"/>
      <c r="S19" s="775"/>
      <c r="T19" s="774"/>
      <c r="U19" s="775"/>
      <c r="V19" s="774"/>
      <c r="W19" s="775"/>
      <c r="X19" s="1815"/>
      <c r="Y19" s="3244"/>
      <c r="Z19" s="1816"/>
      <c r="AA19" s="1813">
        <v>1</v>
      </c>
      <c r="AB19" s="1813">
        <v>1</v>
      </c>
      <c r="AC19" s="1813">
        <v>1</v>
      </c>
    </row>
    <row r="20" spans="1:29" ht="71.25">
      <c r="A20" s="428"/>
      <c r="B20" s="451" t="s">
        <v>2711</v>
      </c>
      <c r="C20" s="2608" t="str">
        <f>IF(B1="工业",估价对象房地状况!G7,估价对象房地状况!C9)</f>
        <v>区域自然环境：兴隆公园；人文环境：中国传媒大学；综合评价环境状况较好。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44"/>
      <c r="Q20" s="1812" t="str">
        <f>B20</f>
        <v>自然及人文环境</v>
      </c>
      <c r="R20" s="774" t="s">
        <v>17</v>
      </c>
      <c r="S20" s="775">
        <f>F20</f>
        <v>100</v>
      </c>
      <c r="T20" s="774" t="s">
        <v>17</v>
      </c>
      <c r="U20" s="775">
        <f>H20</f>
        <v>100</v>
      </c>
      <c r="V20" s="774" t="s">
        <v>17</v>
      </c>
      <c r="W20" s="775">
        <f>J20</f>
        <v>100</v>
      </c>
      <c r="X20" s="1815"/>
      <c r="Y20" s="3244"/>
      <c r="Z20" s="1816" t="str">
        <f>Q20</f>
        <v>自然及人文环境</v>
      </c>
      <c r="AA20" s="1813">
        <f t="shared" si="3"/>
        <v>1</v>
      </c>
      <c r="AB20" s="1813">
        <f t="shared" si="4"/>
        <v>1</v>
      </c>
      <c r="AC20" s="1813">
        <f t="shared" si="5"/>
        <v>1</v>
      </c>
    </row>
    <row r="21" spans="1:29" ht="15">
      <c r="A21" s="428"/>
      <c r="B21" s="456"/>
      <c r="C21" s="447" t="s">
        <v>3140</v>
      </c>
      <c r="D21" s="448"/>
      <c r="E21" s="447" t="s">
        <v>3140</v>
      </c>
      <c r="F21" s="449"/>
      <c r="G21" s="447" t="s">
        <v>3140</v>
      </c>
      <c r="H21" s="448"/>
      <c r="I21" s="447" t="s">
        <v>3140</v>
      </c>
      <c r="J21" s="448"/>
      <c r="K21" s="615"/>
      <c r="L21" s="1142"/>
      <c r="M21" s="1133"/>
      <c r="N21" s="1133"/>
      <c r="O21" s="1141"/>
      <c r="P21" s="3244"/>
      <c r="Q21" s="1812"/>
      <c r="R21" s="774"/>
      <c r="S21" s="775"/>
      <c r="T21" s="774"/>
      <c r="U21" s="775"/>
      <c r="V21" s="774"/>
      <c r="W21" s="775"/>
      <c r="X21" s="1815"/>
      <c r="Y21" s="3244"/>
      <c r="Z21" s="1816"/>
      <c r="AA21" s="1813">
        <v>1</v>
      </c>
      <c r="AB21" s="1813">
        <v>1</v>
      </c>
      <c r="AC21" s="1813">
        <v>1</v>
      </c>
    </row>
    <row r="22" spans="1:29" ht="15.75" thickBot="1">
      <c r="A22" s="428"/>
      <c r="B22" s="451" t="s">
        <v>2712</v>
      </c>
      <c r="C22" s="616" t="s">
        <v>3216</v>
      </c>
      <c r="D22" s="450">
        <v>100</v>
      </c>
      <c r="E22" s="616" t="s">
        <v>3216</v>
      </c>
      <c r="F22" s="461">
        <f>SUMIF(69:69,E22,70:70)-SUMIF(69:69,C22,70:70)+100</f>
        <v>100</v>
      </c>
      <c r="G22" s="616" t="s">
        <v>3216</v>
      </c>
      <c r="H22" s="435">
        <f>SUMIF(69:69,G22,70:70)-SUMIF(69:69,C22,70:70)+100</f>
        <v>100</v>
      </c>
      <c r="I22" s="616" t="s">
        <v>3216</v>
      </c>
      <c r="J22" s="435">
        <f>SUMIF(69:69,I22,70:70)-SUMIF(69:69,C22,70:70)+100</f>
        <v>100</v>
      </c>
      <c r="K22" s="612"/>
      <c r="L22" s="1142"/>
      <c r="M22" s="1133"/>
      <c r="N22" s="1133"/>
      <c r="O22" s="1141"/>
      <c r="P22" s="3244"/>
      <c r="Q22" s="1812" t="str">
        <f>B22</f>
        <v>楼层</v>
      </c>
      <c r="R22" s="774" t="s">
        <v>17</v>
      </c>
      <c r="S22" s="775">
        <f>F22</f>
        <v>100</v>
      </c>
      <c r="T22" s="774" t="s">
        <v>17</v>
      </c>
      <c r="U22" s="775">
        <f>H22</f>
        <v>100</v>
      </c>
      <c r="V22" s="774" t="s">
        <v>17</v>
      </c>
      <c r="W22" s="775">
        <f>J22</f>
        <v>100</v>
      </c>
      <c r="X22" s="1815"/>
      <c r="Y22" s="3244"/>
      <c r="Z22" s="1816" t="str">
        <f>Q22</f>
        <v>楼层</v>
      </c>
      <c r="AA22" s="1813">
        <f t="shared" si="3"/>
        <v>1</v>
      </c>
      <c r="AB22" s="1813">
        <f t="shared" si="4"/>
        <v>1</v>
      </c>
      <c r="AC22" s="1813">
        <f t="shared" si="5"/>
        <v>1</v>
      </c>
    </row>
    <row r="23" spans="1:29" ht="15" hidden="1">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44"/>
      <c r="Q23" s="1812">
        <f>B23</f>
        <v>111</v>
      </c>
      <c r="R23" s="774" t="s">
        <v>17</v>
      </c>
      <c r="S23" s="775">
        <f>F23</f>
        <v>100</v>
      </c>
      <c r="T23" s="774" t="s">
        <v>17</v>
      </c>
      <c r="U23" s="775">
        <f>H23</f>
        <v>100</v>
      </c>
      <c r="V23" s="774" t="s">
        <v>17</v>
      </c>
      <c r="W23" s="775">
        <f>J23</f>
        <v>100</v>
      </c>
      <c r="X23" s="1815"/>
      <c r="Y23" s="3244"/>
      <c r="Z23" s="1816">
        <f>Q23</f>
        <v>111</v>
      </c>
      <c r="AA23" s="1813">
        <f t="shared" si="3"/>
        <v>1</v>
      </c>
      <c r="AB23" s="1813">
        <f t="shared" si="4"/>
        <v>1</v>
      </c>
      <c r="AC23" s="1813">
        <f t="shared" si="5"/>
        <v>1</v>
      </c>
    </row>
    <row r="24" spans="1:29" ht="15" hidden="1">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44"/>
      <c r="Q24" s="1812">
        <f t="shared" ref="Q24:Q34" si="11">B24</f>
        <v>111</v>
      </c>
      <c r="R24" s="774" t="s">
        <v>17</v>
      </c>
      <c r="S24" s="775">
        <f>F24</f>
        <v>100</v>
      </c>
      <c r="T24" s="774" t="s">
        <v>17</v>
      </c>
      <c r="U24" s="775">
        <f>H24</f>
        <v>100</v>
      </c>
      <c r="V24" s="774" t="s">
        <v>17</v>
      </c>
      <c r="W24" s="775">
        <f>J24</f>
        <v>100</v>
      </c>
      <c r="X24" s="1815"/>
      <c r="Y24" s="3244"/>
      <c r="Z24" s="1816">
        <f>Q24</f>
        <v>111</v>
      </c>
      <c r="AA24" s="1813">
        <f t="shared" si="3"/>
        <v>1</v>
      </c>
      <c r="AB24" s="1813">
        <f t="shared" si="4"/>
        <v>1</v>
      </c>
      <c r="AC24" s="1813">
        <f t="shared" si="5"/>
        <v>1</v>
      </c>
    </row>
    <row r="25" spans="1:29" s="117" customFormat="1" ht="15.75" hidden="1"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4"/>
      <c r="M25" s="1135"/>
      <c r="N25" s="1135"/>
      <c r="O25" s="1136"/>
      <c r="P25" s="3244"/>
      <c r="Q25" s="1797">
        <f t="shared" si="11"/>
        <v>111</v>
      </c>
      <c r="R25" s="770" t="s">
        <v>17</v>
      </c>
      <c r="S25" s="771">
        <f>F25</f>
        <v>100</v>
      </c>
      <c r="T25" s="770" t="s">
        <v>17</v>
      </c>
      <c r="U25" s="771">
        <f>H25</f>
        <v>100</v>
      </c>
      <c r="V25" s="770" t="s">
        <v>17</v>
      </c>
      <c r="W25" s="771">
        <f>J25</f>
        <v>100</v>
      </c>
      <c r="X25" s="772"/>
      <c r="Y25" s="3244"/>
      <c r="Z25" s="55">
        <f>Q25</f>
        <v>111</v>
      </c>
      <c r="AA25" s="1813">
        <f>D25/F25</f>
        <v>1</v>
      </c>
      <c r="AB25" s="1813">
        <f>D25/H25</f>
        <v>1</v>
      </c>
      <c r="AC25" s="1813">
        <f>D25/J25</f>
        <v>1</v>
      </c>
    </row>
    <row r="26" spans="1:29" ht="15">
      <c r="A26" s="466" t="s">
        <v>2564</v>
      </c>
      <c r="B26" s="71" t="s">
        <v>2715</v>
      </c>
      <c r="C26" s="2680"/>
      <c r="D26" s="467">
        <v>100</v>
      </c>
      <c r="E26" s="2680"/>
      <c r="F26" s="667">
        <f>SUMIF(77:77,E26,78:78)-SUMIF(77:77,C26,78:78)+100</f>
        <v>100</v>
      </c>
      <c r="G26" s="2680"/>
      <c r="H26" s="467">
        <f>SUMIF(77:77,G26,78:78)-SUMIF(77:77,C26,78:78)+100</f>
        <v>100</v>
      </c>
      <c r="I26" s="2680"/>
      <c r="J26" s="467">
        <f>SUMIF(77:77,I26,78:78)-SUMIF(77:77,C26,78:78)+100</f>
        <v>100</v>
      </c>
      <c r="K26" s="612"/>
      <c r="L26" s="1142"/>
      <c r="M26" s="1133"/>
      <c r="N26" s="1133"/>
      <c r="O26" s="1141"/>
      <c r="P26" s="3293" t="s">
        <v>2566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48" t="s">
        <v>2566</v>
      </c>
      <c r="Z26" s="1816" t="str">
        <f t="shared" ref="Z26:Z34" si="15">Q26</f>
        <v>公共部分装修</v>
      </c>
      <c r="AA26" s="1813">
        <f t="shared" si="3"/>
        <v>1</v>
      </c>
      <c r="AB26" s="1813">
        <f t="shared" si="4"/>
        <v>1</v>
      </c>
      <c r="AC26" s="1813">
        <f t="shared" si="5"/>
        <v>1</v>
      </c>
    </row>
    <row r="27" spans="1:29" s="471" customFormat="1" ht="15">
      <c r="A27" s="468"/>
      <c r="B27" s="422" t="s">
        <v>2716</v>
      </c>
      <c r="C27" s="474">
        <v>0.85</v>
      </c>
      <c r="D27" s="136">
        <v>100</v>
      </c>
      <c r="E27" s="474">
        <v>0.85</v>
      </c>
      <c r="F27" s="461">
        <f>LOOKUP(E27,80:80,81:81)-LOOKUP(C27,80:80,81:81)+100</f>
        <v>100</v>
      </c>
      <c r="G27" s="474">
        <v>0.85</v>
      </c>
      <c r="H27" s="435">
        <f>LOOKUP(G27,80:80,81:81)-LOOKUP(C27,80:80,81:81)+100</f>
        <v>100</v>
      </c>
      <c r="I27" s="474">
        <v>0.85</v>
      </c>
      <c r="J27" s="435">
        <f>LOOKUP(I27,80:80,81:81)-LOOKUP(C27,80:80,81:81)+100</f>
        <v>100</v>
      </c>
      <c r="K27" s="612"/>
      <c r="L27" s="1140"/>
      <c r="M27" s="1143"/>
      <c r="N27" s="1143"/>
      <c r="O27" s="1144"/>
      <c r="P27" s="3248"/>
      <c r="Q27" s="776" t="str">
        <f t="shared" si="11"/>
        <v>成新率</v>
      </c>
      <c r="R27" s="777" t="s">
        <v>17</v>
      </c>
      <c r="S27" s="778">
        <f t="shared" si="12"/>
        <v>100</v>
      </c>
      <c r="T27" s="777" t="s">
        <v>17</v>
      </c>
      <c r="U27" s="778">
        <f t="shared" si="13"/>
        <v>100</v>
      </c>
      <c r="V27" s="777" t="s">
        <v>17</v>
      </c>
      <c r="W27" s="778">
        <f t="shared" si="14"/>
        <v>100</v>
      </c>
      <c r="X27" s="779"/>
      <c r="Y27" s="3248"/>
      <c r="Z27" s="780" t="str">
        <f t="shared" si="15"/>
        <v>成新率</v>
      </c>
      <c r="AA27" s="1813">
        <f t="shared" si="3"/>
        <v>1</v>
      </c>
      <c r="AB27" s="1813">
        <f t="shared" si="4"/>
        <v>1</v>
      </c>
      <c r="AC27" s="1813">
        <f t="shared" si="5"/>
        <v>1</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48"/>
      <c r="Q28" s="1812" t="str">
        <f t="shared" si="11"/>
        <v>物业等级</v>
      </c>
      <c r="R28" s="774" t="s">
        <v>17</v>
      </c>
      <c r="S28" s="775">
        <f t="shared" si="12"/>
        <v>100</v>
      </c>
      <c r="T28" s="774" t="s">
        <v>17</v>
      </c>
      <c r="U28" s="775">
        <f t="shared" si="13"/>
        <v>100</v>
      </c>
      <c r="V28" s="774" t="s">
        <v>17</v>
      </c>
      <c r="W28" s="775">
        <f t="shared" si="14"/>
        <v>100</v>
      </c>
      <c r="X28" s="1815"/>
      <c r="Y28" s="3248"/>
      <c r="Z28" s="1816" t="str">
        <f t="shared" si="15"/>
        <v>物业等级</v>
      </c>
      <c r="AA28" s="1813">
        <f t="shared" si="3"/>
        <v>1</v>
      </c>
      <c r="AB28" s="1813">
        <f t="shared" si="4"/>
        <v>1</v>
      </c>
      <c r="AC28" s="1813">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48"/>
      <c r="Q29" s="1812" t="str">
        <f t="shared" si="11"/>
        <v>有无电梯</v>
      </c>
      <c r="R29" s="774" t="s">
        <v>17</v>
      </c>
      <c r="S29" s="775">
        <f t="shared" si="12"/>
        <v>100</v>
      </c>
      <c r="T29" s="774" t="s">
        <v>17</v>
      </c>
      <c r="U29" s="775">
        <f t="shared" si="13"/>
        <v>100</v>
      </c>
      <c r="V29" s="774" t="s">
        <v>17</v>
      </c>
      <c r="W29" s="775">
        <f t="shared" si="14"/>
        <v>100</v>
      </c>
      <c r="X29" s="1815"/>
      <c r="Y29" s="3248"/>
      <c r="Z29" s="1816" t="str">
        <f t="shared" si="15"/>
        <v>有无电梯</v>
      </c>
      <c r="AA29" s="1813">
        <f t="shared" si="3"/>
        <v>1</v>
      </c>
      <c r="AB29" s="1813">
        <f t="shared" si="4"/>
        <v>1</v>
      </c>
      <c r="AC29" s="1813">
        <f t="shared" si="5"/>
        <v>1</v>
      </c>
    </row>
    <row r="30" spans="1:29" ht="15">
      <c r="A30" s="472"/>
      <c r="B30" s="422" t="s">
        <v>2739</v>
      </c>
      <c r="C30" s="469">
        <f>'数据-汇总表'!G21</f>
        <v>323.76000000000005</v>
      </c>
      <c r="D30" s="435">
        <v>100</v>
      </c>
      <c r="E30" s="469">
        <v>300</v>
      </c>
      <c r="F30" s="461">
        <f>LOOKUP(E30,87:87,88:88)-LOOKUP(C30,87:87,88:88)+100</f>
        <v>100</v>
      </c>
      <c r="G30" s="469">
        <v>160</v>
      </c>
      <c r="H30" s="435">
        <f>LOOKUP(G30,87:87,88:88)-LOOKUP(C30,87:87,88:88)+100</f>
        <v>101</v>
      </c>
      <c r="I30" s="469">
        <v>30</v>
      </c>
      <c r="J30" s="435">
        <f>LOOKUP(I30,87:87,88:88)-LOOKUP(C30,87:87,88:88)+100</f>
        <v>102</v>
      </c>
      <c r="K30" s="613"/>
      <c r="L30" s="1142"/>
      <c r="M30" s="1133"/>
      <c r="N30" s="1133"/>
      <c r="O30" s="1141"/>
      <c r="P30" s="3248"/>
      <c r="Q30" s="1812" t="str">
        <f t="shared" si="11"/>
        <v>建筑面积</v>
      </c>
      <c r="R30" s="774" t="s">
        <v>17</v>
      </c>
      <c r="S30" s="775">
        <f t="shared" si="12"/>
        <v>100</v>
      </c>
      <c r="T30" s="774" t="s">
        <v>17</v>
      </c>
      <c r="U30" s="775">
        <f t="shared" si="13"/>
        <v>101</v>
      </c>
      <c r="V30" s="774" t="s">
        <v>17</v>
      </c>
      <c r="W30" s="775">
        <f t="shared" si="14"/>
        <v>102</v>
      </c>
      <c r="X30" s="1815"/>
      <c r="Y30" s="3248"/>
      <c r="Z30" s="1816" t="str">
        <f t="shared" si="15"/>
        <v>建筑面积</v>
      </c>
      <c r="AA30" s="1813">
        <f t="shared" si="3"/>
        <v>1</v>
      </c>
      <c r="AB30" s="1813">
        <f t="shared" si="4"/>
        <v>0.99009900990099009</v>
      </c>
      <c r="AC30" s="1813">
        <f t="shared" si="5"/>
        <v>0.98039215686274506</v>
      </c>
    </row>
    <row r="31" spans="1:29" s="117" customFormat="1" ht="15.75" thickBot="1">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48"/>
      <c r="Q31" s="1797" t="str">
        <f t="shared" si="11"/>
        <v>是否封闭</v>
      </c>
      <c r="R31" s="770" t="s">
        <v>17</v>
      </c>
      <c r="S31" s="771">
        <f t="shared" si="12"/>
        <v>100</v>
      </c>
      <c r="T31" s="770" t="s">
        <v>17</v>
      </c>
      <c r="U31" s="771">
        <f t="shared" si="13"/>
        <v>100</v>
      </c>
      <c r="V31" s="770" t="s">
        <v>17</v>
      </c>
      <c r="W31" s="771">
        <f t="shared" si="14"/>
        <v>100</v>
      </c>
      <c r="X31" s="772"/>
      <c r="Y31" s="3248"/>
      <c r="Z31" s="55" t="str">
        <f t="shared" si="15"/>
        <v>是否封闭</v>
      </c>
      <c r="AA31" s="773">
        <f t="shared" si="3"/>
        <v>1</v>
      </c>
      <c r="AB31" s="773">
        <f t="shared" si="4"/>
        <v>1</v>
      </c>
      <c r="AC31" s="773">
        <f t="shared" si="5"/>
        <v>1</v>
      </c>
    </row>
    <row r="32" spans="1:29" ht="15" hidden="1">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48" t="s">
        <v>2566</v>
      </c>
      <c r="Q32" s="1812">
        <f t="shared" si="11"/>
        <v>111</v>
      </c>
      <c r="R32" s="774" t="s">
        <v>17</v>
      </c>
      <c r="S32" s="775">
        <f t="shared" si="12"/>
        <v>100</v>
      </c>
      <c r="T32" s="774" t="s">
        <v>17</v>
      </c>
      <c r="U32" s="775">
        <f t="shared" si="13"/>
        <v>100</v>
      </c>
      <c r="V32" s="774" t="s">
        <v>17</v>
      </c>
      <c r="W32" s="775">
        <f t="shared" si="14"/>
        <v>100</v>
      </c>
      <c r="X32" s="1815"/>
      <c r="Y32" s="3248" t="s">
        <v>2566</v>
      </c>
      <c r="Z32" s="1816">
        <f t="shared" si="15"/>
        <v>111</v>
      </c>
      <c r="AA32" s="1813">
        <f t="shared" si="3"/>
        <v>1</v>
      </c>
      <c r="AB32" s="1813">
        <f t="shared" si="4"/>
        <v>1</v>
      </c>
      <c r="AC32" s="1813">
        <f t="shared" si="5"/>
        <v>1</v>
      </c>
    </row>
    <row r="33" spans="1:29" ht="15" hidden="1">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48"/>
      <c r="Q33" s="1812">
        <f t="shared" si="11"/>
        <v>111</v>
      </c>
      <c r="R33" s="774" t="s">
        <v>17</v>
      </c>
      <c r="S33" s="775">
        <f t="shared" si="12"/>
        <v>100</v>
      </c>
      <c r="T33" s="774" t="s">
        <v>17</v>
      </c>
      <c r="U33" s="775">
        <f t="shared" si="13"/>
        <v>100</v>
      </c>
      <c r="V33" s="774" t="s">
        <v>17</v>
      </c>
      <c r="W33" s="775">
        <f t="shared" si="14"/>
        <v>100</v>
      </c>
      <c r="X33" s="1815"/>
      <c r="Y33" s="3248"/>
      <c r="Z33" s="1816">
        <f t="shared" si="15"/>
        <v>111</v>
      </c>
      <c r="AA33" s="1813">
        <f t="shared" si="3"/>
        <v>1</v>
      </c>
      <c r="AB33" s="1813">
        <f t="shared" si="4"/>
        <v>1</v>
      </c>
      <c r="AC33" s="1813">
        <f t="shared" si="5"/>
        <v>1</v>
      </c>
    </row>
    <row r="34" spans="1:29" ht="15.75" hidden="1"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2"/>
      <c r="M34" s="1133"/>
      <c r="N34" s="1133"/>
      <c r="O34" s="1141"/>
      <c r="P34" s="3248"/>
      <c r="Q34" s="1812">
        <f t="shared" si="11"/>
        <v>111</v>
      </c>
      <c r="R34" s="774" t="s">
        <v>17</v>
      </c>
      <c r="S34" s="775">
        <f t="shared" si="12"/>
        <v>100</v>
      </c>
      <c r="T34" s="774" t="s">
        <v>17</v>
      </c>
      <c r="U34" s="775">
        <f t="shared" si="13"/>
        <v>100</v>
      </c>
      <c r="V34" s="774" t="s">
        <v>17</v>
      </c>
      <c r="W34" s="775">
        <f t="shared" si="14"/>
        <v>100</v>
      </c>
      <c r="X34" s="1815"/>
      <c r="Y34" s="3248"/>
      <c r="Z34" s="1816">
        <f t="shared" si="15"/>
        <v>111</v>
      </c>
      <c r="AA34" s="1813">
        <f t="shared" si="3"/>
        <v>1</v>
      </c>
      <c r="AB34" s="1813">
        <f t="shared" si="4"/>
        <v>1</v>
      </c>
      <c r="AC34" s="1813">
        <f t="shared" si="5"/>
        <v>1</v>
      </c>
    </row>
    <row r="35" spans="1:29" ht="15">
      <c r="A35" s="479" t="s">
        <v>2578</v>
      </c>
      <c r="B35" s="480"/>
      <c r="C35" s="1409" t="s">
        <v>1</v>
      </c>
      <c r="D35" s="1410"/>
      <c r="E35" s="1411">
        <v>2</v>
      </c>
      <c r="F35" s="1412"/>
      <c r="G35" s="1413">
        <v>1.5</v>
      </c>
      <c r="H35" s="1414"/>
      <c r="I35" s="1411">
        <v>2</v>
      </c>
      <c r="J35" s="1414"/>
      <c r="K35" s="783"/>
      <c r="L35" s="1145"/>
      <c r="M35" s="1146"/>
      <c r="N35" s="1133"/>
      <c r="O35" s="1146"/>
      <c r="P35" s="3250" t="str">
        <f>A35</f>
        <v>成交单价（元/平方米）</v>
      </c>
      <c r="Q35" s="3250"/>
      <c r="R35" s="3251">
        <f>E35</f>
        <v>2</v>
      </c>
      <c r="S35" s="3251"/>
      <c r="T35" s="3251">
        <f>G35</f>
        <v>1.5</v>
      </c>
      <c r="U35" s="3251"/>
      <c r="V35" s="3251">
        <f>I35</f>
        <v>2</v>
      </c>
      <c r="W35" s="3251"/>
      <c r="X35" s="759"/>
      <c r="Y35" s="781"/>
      <c r="Z35" s="759"/>
      <c r="AA35" s="759"/>
      <c r="AB35" s="759"/>
      <c r="AC35" s="759"/>
    </row>
    <row r="36" spans="1:29" ht="15.75" thickBot="1">
      <c r="A36" s="486" t="s">
        <v>2670</v>
      </c>
      <c r="B36" s="487"/>
      <c r="C36" s="1415">
        <f>R37</f>
        <v>1.8</v>
      </c>
      <c r="D36" s="1416"/>
      <c r="E36" s="1417">
        <f>R36</f>
        <v>2</v>
      </c>
      <c r="F36" s="1417"/>
      <c r="G36" s="1415">
        <f>T36</f>
        <v>1.5</v>
      </c>
      <c r="H36" s="1416"/>
      <c r="I36" s="1417">
        <f>V36</f>
        <v>2</v>
      </c>
      <c r="J36" s="1416"/>
      <c r="K36" s="784"/>
      <c r="L36" s="1145"/>
      <c r="M36" s="1146"/>
      <c r="N36" s="1133"/>
      <c r="O36" s="1146"/>
      <c r="P36" s="3250" t="str">
        <f>A36</f>
        <v>比较价值（元/平方米）</v>
      </c>
      <c r="Q36" s="3250"/>
      <c r="R36" s="3251">
        <f>IF(F1="售价",ROUND(PRODUCT(R35,AA7:AA34),0),ROUND(PRODUCT(R35,AA7:AA34),1))</f>
        <v>2</v>
      </c>
      <c r="S36" s="3251"/>
      <c r="T36" s="3251">
        <f>IF(F1="售价",ROUND(PRODUCT(T35,AB7:AB34),0),ROUND(PRODUCT(T35,AB7:AB34),1))</f>
        <v>1.5</v>
      </c>
      <c r="U36" s="3251"/>
      <c r="V36" s="3251">
        <f>IF(F1="售价",ROUND(PRODUCT(V35,AC7:AC34),0),ROUND(PRODUCT(V35,AC7:AC34),1))</f>
        <v>2</v>
      </c>
      <c r="W36" s="3251"/>
      <c r="X36" s="759"/>
      <c r="Y36" s="759"/>
      <c r="Z36" s="759"/>
      <c r="AA36" s="759"/>
      <c r="AB36" s="759"/>
      <c r="AC36" s="759"/>
    </row>
    <row r="37" spans="1:29" ht="15.75" thickBot="1">
      <c r="A37" s="492" t="s">
        <v>2671</v>
      </c>
      <c r="B37" s="493"/>
      <c r="C37" s="1419">
        <f>R37</f>
        <v>1.8</v>
      </c>
      <c r="D37" s="1419"/>
      <c r="E37" s="1419"/>
      <c r="F37" s="1419"/>
      <c r="G37" s="1419"/>
      <c r="H37" s="1419"/>
      <c r="I37" s="1419"/>
      <c r="J37" s="1419"/>
      <c r="K37" s="785"/>
      <c r="L37" s="1145"/>
      <c r="M37" s="1146"/>
      <c r="N37" s="1146"/>
      <c r="O37" s="1146"/>
      <c r="P37" s="3290" t="str">
        <f>A37</f>
        <v>估价对象XX用房的比较价值（楼面单价，元/平方米）</v>
      </c>
      <c r="Q37" s="3291"/>
      <c r="R37" s="3292">
        <f>IF(F1="售价",ROUND(AVERAGE(R36:V36),0),ROUND(AVERAGE(R36:V36),1))</f>
        <v>1.8</v>
      </c>
      <c r="S37" s="3292"/>
      <c r="T37" s="3292"/>
      <c r="U37" s="3292"/>
      <c r="V37" s="3292"/>
      <c r="W37" s="3292"/>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2672</v>
      </c>
      <c r="D40" s="498"/>
      <c r="E40" s="499">
        <f>IF(E35&lt;E36,E36/E35-1,E35/E36-1)</f>
        <v>0</v>
      </c>
      <c r="F40" s="500" t="str">
        <f>IF(OR(E40&gt;=0.3,E40&lt;=-0.3),"超过30%","")</f>
        <v/>
      </c>
      <c r="G40" s="499">
        <f>IF(G35&lt;G36,G36/G35-1,G35/G36-1)</f>
        <v>0</v>
      </c>
      <c r="H40" s="500" t="str">
        <f>IF(OR(G40&gt;=0.3,G40&lt;=-0.3),"超过30%","")</f>
        <v/>
      </c>
      <c r="I40" s="499">
        <f>IF(I35&lt;I36,I36/I35-1,I35/I36-1)</f>
        <v>0</v>
      </c>
      <c r="J40" s="500" t="str">
        <f>IF(OR(I40&gt;=0.3,I40&lt;=-0.3),"超过30%","")</f>
        <v/>
      </c>
      <c r="K40" s="1107"/>
      <c r="L40" s="1108"/>
      <c r="M40" s="1146"/>
      <c r="N40" s="1146"/>
      <c r="O40" s="1146"/>
    </row>
    <row r="41" spans="1:29" ht="13.5" customHeight="1">
      <c r="A41" s="1146"/>
      <c r="B41" s="1146"/>
      <c r="C41" s="497" t="s">
        <v>2673</v>
      </c>
      <c r="D41" s="501"/>
      <c r="E41" s="499">
        <f>IF(E36&lt;G36,G36/E36-1,E36/G36-1)</f>
        <v>0.33333333333333326</v>
      </c>
      <c r="F41" s="500" t="str">
        <f>IF(OR(E41&gt;=0.2,E41&lt;=-0.2),"超过20%","")</f>
        <v>超过20%</v>
      </c>
      <c r="G41" s="499">
        <f>IF(G36&lt;I36,I36/G36-1,G36/I36-1)</f>
        <v>0.33333333333333326</v>
      </c>
      <c r="H41" s="500" t="str">
        <f>IF(OR(G41&gt;=0.2,G41&lt;=-0.2),"超过20%","")</f>
        <v>超过20%</v>
      </c>
      <c r="I41" s="499">
        <f>IF(I36&lt;E36,E36/I36-1,I36/E36-1)</f>
        <v>0</v>
      </c>
      <c r="J41" s="500" t="str">
        <f>IF(OR(I41&gt;=0.2,I41&lt;=-0.2),"超过20%","")</f>
        <v/>
      </c>
      <c r="K41" s="1107"/>
      <c r="L41" s="1108"/>
      <c r="M41" s="1146"/>
      <c r="N41" s="1146"/>
      <c r="O41" s="1146"/>
    </row>
    <row r="42" spans="1:29" s="502" customFormat="1" ht="13.5" customHeight="1">
      <c r="A42" s="1147"/>
      <c r="B42" s="1147"/>
      <c r="C42" s="497" t="s">
        <v>2674</v>
      </c>
      <c r="D42" s="501"/>
      <c r="E42" s="499">
        <f>IF(E35&lt;G35,G35/E35-1,E35/G35-1)</f>
        <v>0.33333333333333326</v>
      </c>
      <c r="F42" s="500" t="str">
        <f>IF(OR(E42&gt;=0.3,E42&lt;=-0.3),"超过30%","")</f>
        <v>超过30%</v>
      </c>
      <c r="G42" s="499">
        <f>IF(G35&lt;I35,I35/G35-1,G35/I35-1)</f>
        <v>0.33333333333333326</v>
      </c>
      <c r="H42" s="500" t="str">
        <f>IF(OR(G42&gt;=0.3,G42&lt;=-0.3),"超过30%","")</f>
        <v>超过30%</v>
      </c>
      <c r="I42" s="499">
        <f>IF(I35&lt;E35,E35/I35-1,I35/E35-1)</f>
        <v>0</v>
      </c>
      <c r="J42" s="500" t="str">
        <f>IF(OR(I42&gt;=0.3,I42&lt;=-0.3),"超过30%","")</f>
        <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6" t="str">
        <f>YEAR(C7)&amp;"-"&amp;MONTH(C7)</f>
        <v>2017-12</v>
      </c>
      <c r="D46" s="1577">
        <f>EDATE(C46,-1)</f>
        <v>43040</v>
      </c>
      <c r="E46" s="1577">
        <f t="shared" ref="E46:O46" si="16">EDATE(D46,-1)</f>
        <v>43009</v>
      </c>
      <c r="F46" s="1577">
        <f t="shared" si="16"/>
        <v>42979</v>
      </c>
      <c r="G46" s="1577">
        <f t="shared" si="16"/>
        <v>42948</v>
      </c>
      <c r="H46" s="1577">
        <f t="shared" si="16"/>
        <v>42917</v>
      </c>
      <c r="I46" s="1577">
        <f t="shared" si="16"/>
        <v>42887</v>
      </c>
      <c r="J46" s="1577">
        <f t="shared" si="16"/>
        <v>42856</v>
      </c>
      <c r="K46" s="1577">
        <f t="shared" si="16"/>
        <v>42826</v>
      </c>
      <c r="L46" s="1577">
        <f t="shared" si="16"/>
        <v>42795</v>
      </c>
      <c r="M46" s="1577">
        <f t="shared" si="16"/>
        <v>42767</v>
      </c>
      <c r="N46" s="1577">
        <f t="shared" si="16"/>
        <v>42736</v>
      </c>
      <c r="O46" s="1577">
        <f t="shared" si="16"/>
        <v>42705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2589</v>
      </c>
      <c r="B51" s="528" t="s">
        <v>2555</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2730</v>
      </c>
      <c r="C69" s="2991" t="s">
        <v>3255</v>
      </c>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2564</v>
      </c>
      <c r="B77" s="528" t="s">
        <v>2617</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2734</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2742</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2743</v>
      </c>
      <c r="C86" s="578" t="str">
        <f t="shared" ref="C86:L86" si="21">C87&amp;"(含)"&amp;"-"&amp;D87</f>
        <v>0(含)-150</v>
      </c>
      <c r="D86" s="578" t="str">
        <f t="shared" si="21"/>
        <v>150(含)-300</v>
      </c>
      <c r="E86" s="578" t="str">
        <f t="shared" si="21"/>
        <v>300(含)-450</v>
      </c>
      <c r="F86" s="578" t="str">
        <f t="shared" si="21"/>
        <v>450(含)-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v>0</v>
      </c>
      <c r="D87" s="595">
        <v>150</v>
      </c>
      <c r="E87" s="595">
        <v>300</v>
      </c>
      <c r="F87" s="595">
        <v>450</v>
      </c>
      <c r="G87" s="595"/>
      <c r="H87" s="595"/>
      <c r="I87" s="595"/>
      <c r="J87" s="596"/>
      <c r="K87" s="596"/>
      <c r="L87" s="597"/>
      <c r="M87" s="598"/>
      <c r="N87" s="1154"/>
      <c r="O87" s="1154"/>
      <c r="P87" s="45"/>
      <c r="Q87" s="504"/>
    </row>
    <row r="88" spans="1:17" ht="15.75" thickBot="1">
      <c r="A88" s="534"/>
      <c r="B88" s="543"/>
      <c r="C88" s="560">
        <v>100</v>
      </c>
      <c r="D88" s="536">
        <v>99</v>
      </c>
      <c r="E88" s="536">
        <v>98</v>
      </c>
      <c r="F88" s="536">
        <v>97</v>
      </c>
      <c r="G88" s="536"/>
      <c r="H88" s="536"/>
      <c r="I88" s="536"/>
      <c r="J88" s="536"/>
      <c r="K88" s="536"/>
      <c r="L88" s="536"/>
      <c r="M88" s="536"/>
      <c r="N88" s="1155"/>
      <c r="O88" s="1155"/>
      <c r="P88" s="45"/>
      <c r="Q88" s="504"/>
    </row>
    <row r="89" spans="1:17" s="471" customFormat="1" ht="15" thickTop="1">
      <c r="A89" s="593"/>
      <c r="B89" s="538" t="s">
        <v>2744</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3"/>
  <sheetViews>
    <sheetView topLeftCell="A10" workbookViewId="0">
      <selection activeCell="B35" sqref="B35"/>
    </sheetView>
  </sheetViews>
  <sheetFormatPr defaultRowHeight="13.5"/>
  <cols>
    <col min="1" max="1" width="9" style="2972"/>
    <col min="2" max="2" width="21.25" style="2972" customWidth="1"/>
    <col min="3" max="3" width="24.25" style="2972" customWidth="1"/>
    <col min="4" max="4" width="25.75" style="2972" customWidth="1"/>
    <col min="5" max="5" width="10.75" style="2972" bestFit="1" customWidth="1"/>
    <col min="6" max="6" width="9" style="2972"/>
    <col min="7" max="7" width="13.5" customWidth="1"/>
    <col min="9" max="9" width="12.625" customWidth="1"/>
  </cols>
  <sheetData>
    <row r="2" spans="1:10">
      <c r="A2" s="2963" t="s">
        <v>3046</v>
      </c>
      <c r="B2" s="2963" t="s">
        <v>3047</v>
      </c>
      <c r="C2" s="2963" t="s">
        <v>3048</v>
      </c>
      <c r="D2" s="2963" t="s">
        <v>3049</v>
      </c>
      <c r="E2" s="2963" t="s">
        <v>3050</v>
      </c>
      <c r="F2" s="2963" t="s">
        <v>3051</v>
      </c>
      <c r="G2" s="2964" t="s">
        <v>3052</v>
      </c>
      <c r="I2" s="2965" t="s">
        <v>3053</v>
      </c>
      <c r="J2">
        <v>13510.31</v>
      </c>
    </row>
    <row r="3" spans="1:10">
      <c r="A3" s="2966">
        <v>1</v>
      </c>
      <c r="B3" s="3343" t="s">
        <v>3054</v>
      </c>
      <c r="C3" s="2966" t="s">
        <v>3055</v>
      </c>
      <c r="D3" s="2967" t="s">
        <v>3056</v>
      </c>
      <c r="E3" s="2968">
        <v>47.48</v>
      </c>
      <c r="F3" s="3346" t="s">
        <v>3057</v>
      </c>
      <c r="G3" s="2967"/>
      <c r="I3" s="2969" t="s">
        <v>3058</v>
      </c>
      <c r="J3">
        <v>47270.46</v>
      </c>
    </row>
    <row r="4" spans="1:10">
      <c r="A4" s="2966">
        <v>2</v>
      </c>
      <c r="B4" s="3344"/>
      <c r="C4" s="2966" t="s">
        <v>3059</v>
      </c>
      <c r="D4" s="2967" t="s">
        <v>3060</v>
      </c>
      <c r="E4" s="2968">
        <v>110.32</v>
      </c>
      <c r="F4" s="3347"/>
      <c r="G4" s="2967"/>
    </row>
    <row r="5" spans="1:10">
      <c r="A5" s="2966">
        <v>3</v>
      </c>
      <c r="B5" s="3344"/>
      <c r="C5" s="2966" t="s">
        <v>3061</v>
      </c>
      <c r="D5" s="2967" t="s">
        <v>3062</v>
      </c>
      <c r="E5" s="2968">
        <v>57.94</v>
      </c>
      <c r="F5" s="3347"/>
      <c r="G5" s="2967"/>
    </row>
    <row r="6" spans="1:10">
      <c r="A6" s="2966">
        <v>4</v>
      </c>
      <c r="B6" s="3344"/>
      <c r="C6" s="2966" t="s">
        <v>3063</v>
      </c>
      <c r="D6" s="2967" t="s">
        <v>3064</v>
      </c>
      <c r="E6" s="2968">
        <v>55.4</v>
      </c>
      <c r="F6" s="3348"/>
      <c r="G6" s="2967"/>
    </row>
    <row r="7" spans="1:10">
      <c r="A7" s="2966"/>
      <c r="B7" s="3344"/>
      <c r="C7" s="3349" t="s">
        <v>3065</v>
      </c>
      <c r="D7" s="3350"/>
      <c r="E7" s="3351">
        <f>SUM(E3:E6)</f>
        <v>271.14</v>
      </c>
      <c r="F7" s="3352"/>
      <c r="G7" s="2970">
        <f>ROUND(E7/J3*J2,2)</f>
        <v>77.489999999999995</v>
      </c>
    </row>
    <row r="8" spans="1:10">
      <c r="A8" s="2966">
        <v>5</v>
      </c>
      <c r="B8" s="3344"/>
      <c r="C8" s="2967" t="s">
        <v>3066</v>
      </c>
      <c r="D8" s="2967" t="s">
        <v>3067</v>
      </c>
      <c r="E8" s="2971">
        <v>3052.4</v>
      </c>
      <c r="F8" s="2963" t="s">
        <v>3068</v>
      </c>
      <c r="G8" s="2967"/>
    </row>
    <row r="9" spans="1:10">
      <c r="A9" s="2966"/>
      <c r="B9" s="3344"/>
      <c r="C9" s="3349" t="s">
        <v>3069</v>
      </c>
      <c r="D9" s="3350"/>
      <c r="E9" s="3353">
        <v>3052.4</v>
      </c>
      <c r="F9" s="3354"/>
      <c r="G9" s="2970">
        <f>ROUND(E9/J3*J2,2)</f>
        <v>872.4</v>
      </c>
    </row>
    <row r="10" spans="1:10">
      <c r="A10" s="2966">
        <v>6</v>
      </c>
      <c r="B10" s="3344"/>
      <c r="C10" s="2967" t="s">
        <v>3070</v>
      </c>
      <c r="D10" s="2967" t="s">
        <v>3071</v>
      </c>
      <c r="E10" s="2968">
        <v>25.33</v>
      </c>
      <c r="F10" s="3346" t="s">
        <v>3072</v>
      </c>
      <c r="G10" s="2967"/>
    </row>
    <row r="11" spans="1:10">
      <c r="A11" s="2966">
        <v>7</v>
      </c>
      <c r="B11" s="3344"/>
      <c r="C11" s="2967" t="s">
        <v>3073</v>
      </c>
      <c r="D11" s="2967" t="s">
        <v>3074</v>
      </c>
      <c r="E11" s="2968">
        <v>68.33</v>
      </c>
      <c r="F11" s="3355"/>
      <c r="G11" s="2967"/>
    </row>
    <row r="12" spans="1:10">
      <c r="A12" s="2966">
        <v>8</v>
      </c>
      <c r="B12" s="3344"/>
      <c r="C12" s="2967" t="s">
        <v>3075</v>
      </c>
      <c r="D12" s="2967" t="s">
        <v>3076</v>
      </c>
      <c r="E12" s="2968">
        <v>42.5</v>
      </c>
      <c r="F12" s="3355"/>
      <c r="G12" s="2967"/>
    </row>
    <row r="13" spans="1:10">
      <c r="A13" s="2966">
        <v>9</v>
      </c>
      <c r="B13" s="3344"/>
      <c r="C13" s="2967" t="s">
        <v>3077</v>
      </c>
      <c r="D13" s="2967" t="s">
        <v>3078</v>
      </c>
      <c r="E13" s="2968">
        <v>26.21</v>
      </c>
      <c r="F13" s="3355"/>
      <c r="G13" s="2967"/>
    </row>
    <row r="14" spans="1:10">
      <c r="A14" s="2966">
        <v>10</v>
      </c>
      <c r="B14" s="3344"/>
      <c r="C14" s="2967" t="s">
        <v>3079</v>
      </c>
      <c r="D14" s="2967" t="s">
        <v>3080</v>
      </c>
      <c r="E14" s="2968">
        <v>37.619999999999997</v>
      </c>
      <c r="F14" s="3355"/>
      <c r="G14" s="2967"/>
    </row>
    <row r="15" spans="1:10">
      <c r="A15" s="2966">
        <v>11</v>
      </c>
      <c r="B15" s="3344"/>
      <c r="C15" s="2967" t="s">
        <v>3081</v>
      </c>
      <c r="D15" s="2967" t="s">
        <v>3082</v>
      </c>
      <c r="E15" s="2968">
        <v>61.13</v>
      </c>
      <c r="F15" s="3355"/>
      <c r="G15" s="2967"/>
    </row>
    <row r="16" spans="1:10">
      <c r="A16" s="2966">
        <v>12</v>
      </c>
      <c r="B16" s="3344"/>
      <c r="C16" s="2967" t="s">
        <v>3083</v>
      </c>
      <c r="D16" s="2967" t="s">
        <v>3084</v>
      </c>
      <c r="E16" s="2968">
        <v>41.84</v>
      </c>
      <c r="F16" s="3355"/>
      <c r="G16" s="2967"/>
    </row>
    <row r="17" spans="1:7">
      <c r="A17" s="2966">
        <v>13</v>
      </c>
      <c r="B17" s="3344"/>
      <c r="C17" s="2967" t="s">
        <v>3085</v>
      </c>
      <c r="D17" s="2967" t="s">
        <v>3086</v>
      </c>
      <c r="E17" s="2968">
        <v>20.8</v>
      </c>
      <c r="F17" s="3104"/>
      <c r="G17" s="2967"/>
    </row>
    <row r="18" spans="1:7">
      <c r="A18" s="2966"/>
      <c r="B18" s="3345"/>
      <c r="C18" s="3349" t="s">
        <v>3087</v>
      </c>
      <c r="D18" s="3350"/>
      <c r="E18" s="3351">
        <f>SUM(E10:E17)</f>
        <v>323.76000000000005</v>
      </c>
      <c r="F18" s="3352"/>
      <c r="G18" s="2970">
        <f>ROUND(E18/J3*J2,2)</f>
        <v>92.53</v>
      </c>
    </row>
    <row r="19" spans="1:7">
      <c r="E19" s="3341">
        <f>E7+E9+E18</f>
        <v>3647.3</v>
      </c>
      <c r="F19" s="3342"/>
      <c r="G19" s="2973">
        <f>G7+G9+G18</f>
        <v>1042.42</v>
      </c>
    </row>
    <row r="23" spans="1:7">
      <c r="E23" s="2972">
        <f ca="1">'结果表-办公'!G19+'结果表-地下商业'!G19+'收益法 (仓储)'!B2</f>
        <v>9973</v>
      </c>
    </row>
  </sheetData>
  <mergeCells count="10">
    <mergeCell ref="E19:F19"/>
    <mergeCell ref="B3:B18"/>
    <mergeCell ref="F3:F6"/>
    <mergeCell ref="C7:D7"/>
    <mergeCell ref="E7:F7"/>
    <mergeCell ref="C9:D9"/>
    <mergeCell ref="E9:F9"/>
    <mergeCell ref="F10:F17"/>
    <mergeCell ref="C18:D18"/>
    <mergeCell ref="E18:F18"/>
  </mergeCells>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5"/>
  <sheetViews>
    <sheetView workbookViewId="0">
      <selection activeCell="L125" sqref="L125"/>
    </sheetView>
  </sheetViews>
  <sheetFormatPr defaultRowHeight="13.5"/>
  <sheetData>
    <row r="1" spans="1:2">
      <c r="A1" s="2993" t="s">
        <v>3152</v>
      </c>
      <c r="B1" s="2993" t="s">
        <v>3153</v>
      </c>
    </row>
    <row r="47" spans="1:18">
      <c r="A47" s="2993" t="s">
        <v>3186</v>
      </c>
      <c r="B47" s="2993" t="s">
        <v>3187</v>
      </c>
      <c r="R47" s="2993" t="s">
        <v>3227</v>
      </c>
    </row>
    <row r="95" spans="1:1">
      <c r="A95" s="2993" t="s">
        <v>3219</v>
      </c>
    </row>
  </sheetData>
  <phoneticPr fontId="14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30" t="s">
        <v>1663</v>
      </c>
      <c r="B1" s="3030"/>
      <c r="C1" s="3030"/>
      <c r="D1" s="3030"/>
    </row>
    <row r="2" spans="1:4" ht="18">
      <c r="A2" s="3031" t="s">
        <v>1647</v>
      </c>
      <c r="B2" s="3031"/>
      <c r="C2" s="3031"/>
      <c r="D2" s="3031"/>
    </row>
    <row r="3" spans="1:4" ht="18.75">
      <c r="A3" s="1979" t="s">
        <v>1648</v>
      </c>
      <c r="B3" s="1979" t="s">
        <v>1649</v>
      </c>
      <c r="C3" s="1979" t="s">
        <v>1650</v>
      </c>
      <c r="D3" s="1979" t="s">
        <v>1651</v>
      </c>
    </row>
    <row r="4" spans="1:4" ht="56.25" customHeight="1">
      <c r="A4" s="1980">
        <f>项目基本情况!B4</f>
        <v>0</v>
      </c>
      <c r="B4" s="1981">
        <f>项目基本情况!C4</f>
        <v>0</v>
      </c>
      <c r="C4" s="1982"/>
      <c r="D4" s="1983" t="s">
        <v>1652</v>
      </c>
    </row>
    <row r="5" spans="1:4" ht="56.25" customHeight="1">
      <c r="A5" s="1980">
        <f>项目基本情况!D4</f>
        <v>0</v>
      </c>
      <c r="B5" s="1981">
        <f>项目基本情况!E4</f>
        <v>0</v>
      </c>
      <c r="C5" s="1984"/>
      <c r="D5" s="1983" t="s">
        <v>1652</v>
      </c>
    </row>
    <row r="6" spans="1:4" ht="18">
      <c r="A6" s="3031" t="s">
        <v>1653</v>
      </c>
      <c r="B6" s="3031"/>
      <c r="C6" s="3031"/>
      <c r="D6" s="3031"/>
    </row>
    <row r="7" spans="1:4" ht="18.75">
      <c r="A7" s="1979" t="s">
        <v>1648</v>
      </c>
      <c r="B7" s="1981" t="s">
        <v>1654</v>
      </c>
      <c r="C7" s="1979" t="s">
        <v>1650</v>
      </c>
      <c r="D7" s="1979" t="s">
        <v>1651</v>
      </c>
    </row>
    <row r="8" spans="1:4" ht="56.25" customHeight="1">
      <c r="A8" s="1985" t="s">
        <v>869</v>
      </c>
      <c r="B8" s="1985" t="s">
        <v>1</v>
      </c>
      <c r="C8" s="1982"/>
      <c r="D8" s="1983" t="s">
        <v>1652</v>
      </c>
    </row>
    <row r="9" spans="1:4">
      <c r="A9" s="728"/>
      <c r="B9" s="728"/>
      <c r="C9" s="728"/>
      <c r="D9" s="728"/>
    </row>
    <row r="10" spans="1:4" ht="18.75">
      <c r="A10" s="1986" t="s">
        <v>1655</v>
      </c>
      <c r="B10" s="728"/>
      <c r="C10" s="728"/>
      <c r="D10" s="728"/>
    </row>
    <row r="11" spans="1:4" ht="30" customHeight="1">
      <c r="A11" s="3032" t="s">
        <v>1656</v>
      </c>
      <c r="B11" s="3033"/>
      <c r="C11" s="3033"/>
      <c r="D11" s="3033"/>
    </row>
    <row r="12" spans="1:4" ht="15.75">
      <c r="A12" s="30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34"/>
      <c r="C12" s="3034"/>
      <c r="D12" s="3034"/>
    </row>
    <row r="13" spans="1:4" ht="30" customHeight="1">
      <c r="A13" s="3033" t="str">
        <f>IF(项目基本情况!B8="抵押","3.抵押双方在办理抵押登记手续时，应使用本公司出具的正式《房地产评估报告》，特提醒报告使用者注意。","——")</f>
        <v>——</v>
      </c>
      <c r="B13" s="3034"/>
      <c r="C13" s="3034"/>
      <c r="D13" s="3034"/>
    </row>
    <row r="14" spans="1:4" ht="15.75" customHeight="1">
      <c r="A14" s="3033" t="str">
        <f>IF(项目基本情况!B8="抵押","4.本次评估估价师所知悉的法定优先受偿款情况说明如下：","——")</f>
        <v>——</v>
      </c>
      <c r="B14" s="3034"/>
      <c r="C14" s="3034"/>
      <c r="D14" s="3034"/>
    </row>
    <row r="15" spans="1:4" ht="42" customHeight="1">
      <c r="A15" s="3033" t="str">
        <f>IF(项目基本情况!B8="抵押","（1）"&amp;CONCATENATE(项目基本情况!L20,项目基本情况!L21,项目基本情况!L22),"——")</f>
        <v>——</v>
      </c>
      <c r="B15" s="3033"/>
      <c r="C15" s="3033"/>
      <c r="D15" s="3033"/>
    </row>
    <row r="16" spans="1:4" ht="30" customHeight="1">
      <c r="A16" s="3036" t="s">
        <v>1657</v>
      </c>
      <c r="B16" s="3036"/>
      <c r="C16" s="3036"/>
      <c r="D16" s="3036"/>
    </row>
    <row r="17" spans="1:4" ht="144" customHeight="1">
      <c r="A17" s="3036" t="s">
        <v>1658</v>
      </c>
      <c r="B17" s="3036"/>
      <c r="C17" s="3036"/>
      <c r="D17" s="3036"/>
    </row>
    <row r="18" spans="1:4" ht="15.75" customHeight="1">
      <c r="A18" s="3033" t="str">
        <f>IF(项目基本情况!B8="抵押",'结果表-办公'!K120,"——")</f>
        <v>——</v>
      </c>
      <c r="B18" s="3033"/>
      <c r="C18" s="3033"/>
      <c r="D18" s="3033"/>
    </row>
    <row r="19" spans="1:4" ht="46.5" customHeight="1">
      <c r="A19" s="30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3"/>
      <c r="C19" s="3033"/>
      <c r="D19" s="3033"/>
    </row>
    <row r="20" spans="1:4" ht="57.75" customHeight="1">
      <c r="A20" s="3033"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3"/>
      <c r="C20" s="3033"/>
      <c r="D20" s="3033"/>
    </row>
    <row r="21" spans="1:4" ht="57.75" customHeight="1">
      <c r="A21" s="3037"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7"/>
      <c r="C21" s="3037"/>
      <c r="D21" s="3037"/>
    </row>
    <row r="22" spans="1:4" ht="18.75" customHeight="1">
      <c r="A22" s="3038" t="s">
        <v>1659</v>
      </c>
      <c r="B22" s="3038"/>
      <c r="C22" s="3038"/>
      <c r="D22" s="3038"/>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3035">
        <v>42551</v>
      </c>
      <c r="D31" s="30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044" t="s">
        <v>1670</v>
      </c>
      <c r="B15" s="3039" t="s">
        <v>136</v>
      </c>
      <c r="C15" s="3040"/>
    </row>
    <row r="16" spans="1:7" ht="13.5">
      <c r="A16" s="3045"/>
      <c r="B16" s="3039" t="s">
        <v>69</v>
      </c>
      <c r="C16" s="3040"/>
    </row>
    <row r="17" spans="1:3" ht="13.5">
      <c r="A17" s="3045"/>
      <c r="B17" s="3042" t="s">
        <v>1671</v>
      </c>
      <c r="C17" s="2002" t="s">
        <v>1670</v>
      </c>
    </row>
    <row r="18" spans="1:3" ht="13.5">
      <c r="A18" s="3045"/>
      <c r="B18" s="3042"/>
      <c r="C18" s="2002" t="s">
        <v>1672</v>
      </c>
    </row>
    <row r="19" spans="1:3" ht="13.5">
      <c r="A19" s="3045"/>
      <c r="B19" s="3042"/>
      <c r="C19" s="2002" t="s">
        <v>1673</v>
      </c>
    </row>
    <row r="20" spans="1:3" ht="13.5">
      <c r="A20" s="3046"/>
      <c r="B20" s="3041" t="s">
        <v>1674</v>
      </c>
      <c r="C20" s="3040"/>
    </row>
    <row r="21" spans="1:3" ht="13.5">
      <c r="A21" s="2003" t="s">
        <v>1675</v>
      </c>
      <c r="B21" s="2004"/>
      <c r="C21" s="2005"/>
    </row>
    <row r="22" spans="1:3" ht="13.5">
      <c r="A22" s="3043" t="s">
        <v>1676</v>
      </c>
      <c r="B22" s="3041" t="s">
        <v>1677</v>
      </c>
      <c r="C22" s="3040"/>
    </row>
    <row r="23" spans="1:3" ht="13.5">
      <c r="A23" s="3043"/>
      <c r="B23" s="3041" t="s">
        <v>1678</v>
      </c>
      <c r="C23" s="3040"/>
    </row>
    <row r="24" spans="1:3" ht="13.5">
      <c r="A24" s="3043"/>
      <c r="B24" s="3041" t="s">
        <v>1679</v>
      </c>
      <c r="C24" s="3040"/>
    </row>
    <row r="25" spans="1:3" ht="13.5">
      <c r="A25" s="3043"/>
      <c r="B25" s="3042" t="s">
        <v>1680</v>
      </c>
      <c r="C25" s="2002" t="s">
        <v>1681</v>
      </c>
    </row>
    <row r="26" spans="1:3" ht="13.5">
      <c r="A26" s="3043"/>
      <c r="B26" s="3042"/>
      <c r="C26" s="2002" t="s">
        <v>1682</v>
      </c>
    </row>
    <row r="27" spans="1:3" ht="13.5">
      <c r="A27" s="3043"/>
      <c r="B27" s="3042"/>
      <c r="C27" s="2002" t="s">
        <v>1683</v>
      </c>
    </row>
    <row r="28" spans="1:3" ht="13.5">
      <c r="A28" s="3043"/>
      <c r="B28" s="3042"/>
      <c r="C28" s="2002" t="s">
        <v>1684</v>
      </c>
    </row>
    <row r="29" spans="1:3" ht="13.5">
      <c r="A29" s="3043"/>
      <c r="B29" s="3042"/>
      <c r="C29" s="2002" t="s">
        <v>1685</v>
      </c>
    </row>
    <row r="30" spans="1:3" ht="13.5">
      <c r="A30" s="3043"/>
      <c r="B30" s="3042"/>
      <c r="C30" s="2002" t="s">
        <v>1686</v>
      </c>
    </row>
    <row r="31" spans="1:3" ht="13.5">
      <c r="A31" s="3043"/>
      <c r="B31" s="3042"/>
      <c r="C31" s="2002" t="s">
        <v>1687</v>
      </c>
    </row>
    <row r="32" spans="1:3" ht="13.5">
      <c r="A32" s="3043"/>
      <c r="B32" s="3042"/>
      <c r="C32" s="2002" t="s">
        <v>1688</v>
      </c>
    </row>
    <row r="33" spans="1:3" ht="13.5">
      <c r="A33" s="3043"/>
      <c r="B33" s="3042"/>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43167</v>
      </c>
      <c r="C2" s="1021" t="s">
        <v>826</v>
      </c>
      <c r="D2" s="1021"/>
    </row>
    <row r="3" spans="1:6" ht="24" customHeight="1">
      <c r="A3" s="1022" t="s">
        <v>827</v>
      </c>
      <c r="B3" s="1023" t="s">
        <v>828</v>
      </c>
      <c r="C3" s="2347" t="s">
        <v>829</v>
      </c>
      <c r="D3" s="2350" t="s">
        <v>830</v>
      </c>
      <c r="E3" s="1024" t="s">
        <v>831</v>
      </c>
      <c r="F3" s="1023" t="s">
        <v>829</v>
      </c>
    </row>
    <row r="4" spans="1:6" ht="24" customHeight="1">
      <c r="A4" s="1704" t="s">
        <v>832</v>
      </c>
      <c r="B4" s="1024">
        <f ca="1">IF(C4&lt;B2,"已过期",1119970066)</f>
        <v>1119970066</v>
      </c>
      <c r="C4" s="2348">
        <v>43849</v>
      </c>
      <c r="D4" s="2351" t="s">
        <v>832</v>
      </c>
      <c r="E4" s="1024">
        <f ca="1">IF(F4&lt;B2,"已过期",96010014)</f>
        <v>96010014</v>
      </c>
      <c r="F4" s="1032">
        <v>47118</v>
      </c>
    </row>
    <row r="5" spans="1:6" ht="24" customHeight="1">
      <c r="A5" s="1704" t="s">
        <v>833</v>
      </c>
      <c r="B5" s="1024">
        <f ca="1">IF(C5&lt;B2,"已过期",1119970074)</f>
        <v>1119970074</v>
      </c>
      <c r="C5" s="2348">
        <v>43849</v>
      </c>
      <c r="D5" s="2351" t="s">
        <v>833</v>
      </c>
      <c r="E5" s="1024">
        <f ca="1">IF(F5&lt;B2,"已过期",2002110027)</f>
        <v>2002110027</v>
      </c>
      <c r="F5" s="1032">
        <v>46752</v>
      </c>
    </row>
    <row r="6" spans="1:6" ht="24" customHeight="1">
      <c r="A6" s="1704" t="s">
        <v>834</v>
      </c>
      <c r="B6" s="1024">
        <f ca="1">IF(C6&lt;B2,"已过期",1119970111)</f>
        <v>1119970111</v>
      </c>
      <c r="C6" s="2348">
        <v>43849</v>
      </c>
      <c r="D6" s="2351" t="s">
        <v>834</v>
      </c>
      <c r="E6" s="1024">
        <f ca="1">IF(F6&lt;B2,"已过期",94010078)</f>
        <v>94010078</v>
      </c>
      <c r="F6" s="1032">
        <v>46387</v>
      </c>
    </row>
    <row r="7" spans="1:6" ht="24" customHeight="1">
      <c r="A7" s="1704" t="s">
        <v>835</v>
      </c>
      <c r="B7" s="1024">
        <f ca="1">IF(C7&lt;B2,"已过期",1120050019)</f>
        <v>1120050019</v>
      </c>
      <c r="C7" s="2348">
        <v>43359</v>
      </c>
      <c r="D7" s="2351" t="s">
        <v>835</v>
      </c>
      <c r="E7" s="1024">
        <f ca="1">IF(F7&lt;B2,"已过期",2002110030)</f>
        <v>2002110030</v>
      </c>
      <c r="F7" s="1032">
        <v>46387</v>
      </c>
    </row>
    <row r="8" spans="1:6" ht="24" customHeight="1">
      <c r="A8" s="1704" t="s">
        <v>836</v>
      </c>
      <c r="B8" s="1024">
        <f ca="1">IF(C8&lt;B2,"已过期",1120000080)</f>
        <v>1120000080</v>
      </c>
      <c r="C8" s="2348">
        <v>43849</v>
      </c>
      <c r="D8" s="2351" t="s">
        <v>836</v>
      </c>
      <c r="E8" s="1024">
        <f ca="1">IF(F8&lt;B2,"已过期",2000110082)</f>
        <v>2000110082</v>
      </c>
      <c r="F8" s="1032">
        <v>46387</v>
      </c>
    </row>
    <row r="9" spans="1:6" ht="24" customHeight="1">
      <c r="A9" s="1704" t="s">
        <v>837</v>
      </c>
      <c r="B9" s="1024">
        <f ca="1">IF(C9&lt;B2,"已过期",1419970001)</f>
        <v>1419970001</v>
      </c>
      <c r="C9" s="2348">
        <v>43867</v>
      </c>
      <c r="D9" s="2351" t="s">
        <v>837</v>
      </c>
      <c r="E9" s="1024">
        <f ca="1">IF(F9&lt;B2,"已过期",2002110125)</f>
        <v>2002110125</v>
      </c>
      <c r="F9" s="1032">
        <v>47118</v>
      </c>
    </row>
    <row r="10" spans="1:6" ht="24" customHeight="1">
      <c r="A10" s="1704" t="s">
        <v>838</v>
      </c>
      <c r="B10" s="1024">
        <f ca="1">IF(C10&lt;B2,"已过期",1120060040)</f>
        <v>1120060040</v>
      </c>
      <c r="C10" s="2348">
        <v>43483</v>
      </c>
      <c r="D10" s="2351" t="s">
        <v>838</v>
      </c>
      <c r="E10" s="1024">
        <f ca="1">IF(F10&lt;B2,"已过期",2004110096)</f>
        <v>2004110096</v>
      </c>
      <c r="F10" s="1032">
        <v>47118</v>
      </c>
    </row>
    <row r="11" spans="1:6" ht="24" customHeight="1">
      <c r="A11" s="1704" t="s">
        <v>839</v>
      </c>
      <c r="B11" s="1024">
        <f ca="1">IF(C11&lt;B2,"已过期",1120100036)</f>
        <v>1120100036</v>
      </c>
      <c r="C11" s="2348">
        <v>43622</v>
      </c>
      <c r="D11" s="2351" t="s">
        <v>839</v>
      </c>
      <c r="E11" s="1024">
        <f ca="1">IF(F11&lt;B2,"已过期",2010110070)</f>
        <v>2010110070</v>
      </c>
      <c r="F11" s="1032">
        <v>47907</v>
      </c>
    </row>
    <row r="12" spans="1:6" ht="24" customHeight="1">
      <c r="A12" s="1704"/>
      <c r="B12" s="1024"/>
      <c r="C12" s="2348"/>
      <c r="D12" s="2351"/>
      <c r="E12" s="1024"/>
      <c r="F12" s="1024"/>
    </row>
    <row r="13" spans="1:6" ht="24" customHeight="1">
      <c r="A13" s="1704" t="s">
        <v>840</v>
      </c>
      <c r="B13" s="1024">
        <f ca="1">IF(C13&lt;B2,"已过期",1120070131)</f>
        <v>1120070131</v>
      </c>
      <c r="C13" s="2348">
        <v>43814</v>
      </c>
      <c r="D13" s="2351" t="s">
        <v>840</v>
      </c>
      <c r="E13" s="1024">
        <v>2014110011</v>
      </c>
      <c r="F13" s="1032">
        <v>49302</v>
      </c>
    </row>
    <row r="14" spans="1:6" ht="24" customHeight="1">
      <c r="A14" s="1704" t="s">
        <v>841</v>
      </c>
      <c r="B14" s="1024">
        <f ca="1">IF(C14&lt;B2,"已过期",1120130020)</f>
        <v>1120130020</v>
      </c>
      <c r="C14" s="2348">
        <v>43622</v>
      </c>
      <c r="D14" s="2351"/>
      <c r="E14" s="1024"/>
      <c r="F14" s="1024"/>
    </row>
    <row r="15" spans="1:6" ht="24" customHeight="1">
      <c r="A15" s="1705" t="s">
        <v>1149</v>
      </c>
      <c r="B15" s="1024">
        <v>1120070085</v>
      </c>
      <c r="C15" s="2348">
        <v>43814</v>
      </c>
      <c r="D15" s="2352" t="s">
        <v>1149</v>
      </c>
      <c r="E15" s="1024">
        <v>2004110128</v>
      </c>
      <c r="F15" s="1025">
        <v>47118</v>
      </c>
    </row>
    <row r="16" spans="1:6" ht="24" customHeight="1">
      <c r="A16" s="1704" t="s">
        <v>842</v>
      </c>
      <c r="B16" s="1024">
        <f ca="1">IF(C16&lt;B2,"已过期",1120140022)</f>
        <v>1120140022</v>
      </c>
      <c r="C16" s="2348">
        <v>44029</v>
      </c>
      <c r="D16" s="2351" t="s">
        <v>842</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843</v>
      </c>
      <c r="E21" s="1024">
        <f ca="1">IF(F21&lt;B2,"已过期",2011110090)</f>
        <v>2011110090</v>
      </c>
      <c r="F21" s="1032">
        <v>48302</v>
      </c>
    </row>
    <row r="22" spans="1:7" ht="24" customHeight="1">
      <c r="A22" s="1704" t="s">
        <v>844</v>
      </c>
      <c r="B22" s="1024">
        <f ca="1">IF(C22&lt;B2,"已过期",1120020033)</f>
        <v>1120020033</v>
      </c>
      <c r="C22" s="2348">
        <v>43304</v>
      </c>
      <c r="D22" s="2351" t="s">
        <v>844</v>
      </c>
      <c r="E22" s="1024">
        <f ca="1">IF(F22&lt;B2,"已过期",2000110137)</f>
        <v>2000110137</v>
      </c>
      <c r="F22" s="1032">
        <v>46387</v>
      </c>
    </row>
    <row r="23" spans="1:7" ht="24" customHeight="1">
      <c r="A23" s="1704" t="s">
        <v>845</v>
      </c>
      <c r="B23" s="1024">
        <f ca="1">IF(C23&lt;B2,"已过期",1120130048)</f>
        <v>1120130048</v>
      </c>
      <c r="C23" s="2348">
        <v>43686</v>
      </c>
      <c r="D23" s="2351"/>
      <c r="E23" s="1024"/>
      <c r="F23" s="1024"/>
    </row>
    <row r="24" spans="1:7" s="1026" customFormat="1" ht="24" customHeight="1">
      <c r="A24" s="1705" t="s">
        <v>1333</v>
      </c>
      <c r="B24" s="1705" t="s">
        <v>1333</v>
      </c>
      <c r="C24" s="2349" t="s">
        <v>1333</v>
      </c>
      <c r="D24" s="2352" t="s">
        <v>1333</v>
      </c>
      <c r="E24" s="1705" t="s">
        <v>1333</v>
      </c>
      <c r="F24" s="1705" t="s">
        <v>1333</v>
      </c>
    </row>
    <row r="25" spans="1:7" ht="24" customHeight="1">
      <c r="A25" s="3047" t="s">
        <v>846</v>
      </c>
      <c r="B25" s="3047"/>
      <c r="C25" s="3047"/>
      <c r="D25" s="3047"/>
      <c r="E25" s="3047"/>
      <c r="F25" s="3047"/>
      <c r="G25" s="3047"/>
    </row>
    <row r="26" spans="1:7" s="1027" customFormat="1" ht="24" customHeight="1">
      <c r="A26" s="3048" t="s">
        <v>847</v>
      </c>
      <c r="B26" s="3048"/>
      <c r="C26" s="3049"/>
      <c r="D26" s="3050" t="s">
        <v>848</v>
      </c>
      <c r="E26" s="3048"/>
      <c r="F26" s="3048"/>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60">
        <v>44377</v>
      </c>
    </row>
    <row r="29" spans="1:7" s="1029" customFormat="1" ht="24" customHeight="1">
      <c r="A29" s="1030"/>
      <c r="B29" s="1030"/>
      <c r="C29" s="2354"/>
      <c r="D29" s="2356"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237" priority="55">
      <formula>AND($C28-TODAY()&lt;30,TODAY()&lt;$C28)</formula>
    </cfRule>
  </conditionalFormatting>
  <conditionalFormatting sqref="C28 F4">
    <cfRule type="cellIs" dxfId="236" priority="57" stopIfTrue="1" operator="lessThan">
      <formula>$B$2</formula>
    </cfRule>
  </conditionalFormatting>
  <conditionalFormatting sqref="C5">
    <cfRule type="expression" dxfId="235" priority="52">
      <formula>AND($C5-TODAY()&lt;30,TODAY()&lt;$C5)</formula>
    </cfRule>
  </conditionalFormatting>
  <conditionalFormatting sqref="C5 F5">
    <cfRule type="cellIs" dxfId="234" priority="53" stopIfTrue="1" operator="lessThan">
      <formula>$B$2</formula>
    </cfRule>
  </conditionalFormatting>
  <conditionalFormatting sqref="F6 F8 F10">
    <cfRule type="cellIs" dxfId="233" priority="51" stopIfTrue="1" operator="lessThan">
      <formula>$B$2</formula>
    </cfRule>
  </conditionalFormatting>
  <conditionalFormatting sqref="C4:C23">
    <cfRule type="expression" dxfId="232" priority="49">
      <formula>AND($C4-TODAY()&lt;30,TODAY()&lt;$C4)</formula>
    </cfRule>
  </conditionalFormatting>
  <conditionalFormatting sqref="F7 F9 F11 C4:C23">
    <cfRule type="cellIs" dxfId="231" priority="50" stopIfTrue="1" operator="lessThan">
      <formula>$B$2</formula>
    </cfRule>
  </conditionalFormatting>
  <conditionalFormatting sqref="C12">
    <cfRule type="expression" dxfId="230" priority="47">
      <formula>AND($C12-TODAY()&lt;30,TODAY()&lt;$C12)</formula>
    </cfRule>
  </conditionalFormatting>
  <conditionalFormatting sqref="C12">
    <cfRule type="cellIs" dxfId="229" priority="48" stopIfTrue="1" operator="lessThan">
      <formula>$B$2</formula>
    </cfRule>
  </conditionalFormatting>
  <conditionalFormatting sqref="C14">
    <cfRule type="expression" dxfId="228" priority="43">
      <formula>AND($C14-TODAY()&lt;30,TODAY()&lt;$C14)</formula>
    </cfRule>
  </conditionalFormatting>
  <conditionalFormatting sqref="C14">
    <cfRule type="cellIs" dxfId="227" priority="44" stopIfTrue="1" operator="lessThan">
      <formula>$B$2</formula>
    </cfRule>
  </conditionalFormatting>
  <conditionalFormatting sqref="C16">
    <cfRule type="expression" dxfId="226" priority="41">
      <formula>AND($C16-TODAY()&lt;30,TODAY()&lt;$C16)</formula>
    </cfRule>
  </conditionalFormatting>
  <conditionalFormatting sqref="C16">
    <cfRule type="cellIs" dxfId="225" priority="42" stopIfTrue="1" operator="lessThan">
      <formula>$B$2</formula>
    </cfRule>
  </conditionalFormatting>
  <conditionalFormatting sqref="C18">
    <cfRule type="expression" dxfId="224" priority="39">
      <formula>AND($C18-TODAY()&lt;30,TODAY()&lt;$C18)</formula>
    </cfRule>
  </conditionalFormatting>
  <conditionalFormatting sqref="C18">
    <cfRule type="cellIs" dxfId="223" priority="40" stopIfTrue="1" operator="lessThan">
      <formula>$B$2</formula>
    </cfRule>
  </conditionalFormatting>
  <conditionalFormatting sqref="C20">
    <cfRule type="expression" dxfId="222" priority="37">
      <formula>AND($C20-TODAY()&lt;30,TODAY()&lt;$C20)</formula>
    </cfRule>
  </conditionalFormatting>
  <conditionalFormatting sqref="C20">
    <cfRule type="cellIs" dxfId="221" priority="38" stopIfTrue="1" operator="lessThan">
      <formula>$B$2</formula>
    </cfRule>
  </conditionalFormatting>
  <conditionalFormatting sqref="C22">
    <cfRule type="expression" dxfId="220" priority="35">
      <formula>AND($C22-TODAY()&lt;30,TODAY()&lt;$C22)</formula>
    </cfRule>
  </conditionalFormatting>
  <conditionalFormatting sqref="C22">
    <cfRule type="cellIs" dxfId="219" priority="36" stopIfTrue="1" operator="lessThan">
      <formula>$B$2</formula>
    </cfRule>
  </conditionalFormatting>
  <conditionalFormatting sqref="C15">
    <cfRule type="expression" dxfId="218" priority="33">
      <formula>AND($C15-TODAY()&lt;30,TODAY()&lt;$C15)</formula>
    </cfRule>
  </conditionalFormatting>
  <conditionalFormatting sqref="C15">
    <cfRule type="cellIs" dxfId="217" priority="34" stopIfTrue="1" operator="lessThan">
      <formula>$B$2</formula>
    </cfRule>
  </conditionalFormatting>
  <conditionalFormatting sqref="C17">
    <cfRule type="expression" dxfId="216" priority="31">
      <formula>AND($C17-TODAY()&lt;30,TODAY()&lt;$C17)</formula>
    </cfRule>
  </conditionalFormatting>
  <conditionalFormatting sqref="C17">
    <cfRule type="cellIs" dxfId="215" priority="32" stopIfTrue="1" operator="lessThan">
      <formula>$B$2</formula>
    </cfRule>
  </conditionalFormatting>
  <conditionalFormatting sqref="C19">
    <cfRule type="expression" dxfId="214" priority="29">
      <formula>AND($C19-TODAY()&lt;30,TODAY()&lt;$C19)</formula>
    </cfRule>
  </conditionalFormatting>
  <conditionalFormatting sqref="C19">
    <cfRule type="cellIs" dxfId="213" priority="30" stopIfTrue="1" operator="lessThan">
      <formula>$B$2</formula>
    </cfRule>
  </conditionalFormatting>
  <conditionalFormatting sqref="C21">
    <cfRule type="expression" dxfId="212" priority="27">
      <formula>AND($C21-TODAY()&lt;30,TODAY()&lt;$C21)</formula>
    </cfRule>
  </conditionalFormatting>
  <conditionalFormatting sqref="C21">
    <cfRule type="cellIs" dxfId="211" priority="28" stopIfTrue="1" operator="lessThan">
      <formula>$B$2</formula>
    </cfRule>
  </conditionalFormatting>
  <conditionalFormatting sqref="C23">
    <cfRule type="expression" dxfId="210" priority="25">
      <formula>AND($C23-TODAY()&lt;30,TODAY()&lt;$C23)</formula>
    </cfRule>
  </conditionalFormatting>
  <conditionalFormatting sqref="C23">
    <cfRule type="cellIs" dxfId="209" priority="26" stopIfTrue="1" operator="lessThan">
      <formula>$B$2</formula>
    </cfRule>
  </conditionalFormatting>
  <conditionalFormatting sqref="F16">
    <cfRule type="cellIs" dxfId="208" priority="23" stopIfTrue="1" operator="lessThan">
      <formula>$B$2</formula>
    </cfRule>
  </conditionalFormatting>
  <conditionalFormatting sqref="F18">
    <cfRule type="cellIs" dxfId="207" priority="22" stopIfTrue="1" operator="lessThan">
      <formula>$B$2</formula>
    </cfRule>
  </conditionalFormatting>
  <conditionalFormatting sqref="F22">
    <cfRule type="cellIs" dxfId="206" priority="21" stopIfTrue="1" operator="lessThan">
      <formula>$B$2</formula>
    </cfRule>
  </conditionalFormatting>
  <conditionalFormatting sqref="F21">
    <cfRule type="cellIs" dxfId="205" priority="20" stopIfTrue="1" operator="lessThan">
      <formula>$B$2</formula>
    </cfRule>
  </conditionalFormatting>
  <conditionalFormatting sqref="F17">
    <cfRule type="cellIs" dxfId="204" priority="19" stopIfTrue="1" operator="lessThan">
      <formula>$B$2</formula>
    </cfRule>
  </conditionalFormatting>
  <conditionalFormatting sqref="B4:B14 E4:E14 B16:B23 E16:E23">
    <cfRule type="cellIs" dxfId="203" priority="18" stopIfTrue="1" operator="equal">
      <formula>"已过期"</formula>
    </cfRule>
  </conditionalFormatting>
  <conditionalFormatting sqref="A24:F24">
    <cfRule type="cellIs" dxfId="202" priority="14" stopIfTrue="1" operator="equal">
      <formula>"已过期"</formula>
    </cfRule>
  </conditionalFormatting>
  <conditionalFormatting sqref="F28">
    <cfRule type="expression" dxfId="201" priority="12">
      <formula>AND($E28-TODAY()&lt;30,TODAY()&lt;$E28)</formula>
    </cfRule>
  </conditionalFormatting>
  <conditionalFormatting sqref="F28">
    <cfRule type="cellIs" dxfId="200" priority="13" stopIfTrue="1" operator="lessThan">
      <formula>$B$2</formula>
    </cfRule>
  </conditionalFormatting>
  <conditionalFormatting sqref="F29">
    <cfRule type="expression" dxfId="199" priority="8" stopIfTrue="1">
      <formula>AND($E29-TODAY()&lt;30,TODAY()&lt;$E29)</formula>
    </cfRule>
  </conditionalFormatting>
  <conditionalFormatting sqref="F29">
    <cfRule type="cellIs" dxfId="198" priority="9" stopIfTrue="1" operator="lessThan">
      <formula>$B$2</formula>
    </cfRule>
  </conditionalFormatting>
  <conditionalFormatting sqref="B15">
    <cfRule type="cellIs" dxfId="197" priority="6" stopIfTrue="1" operator="equal">
      <formula>"已过期"</formula>
    </cfRule>
  </conditionalFormatting>
  <conditionalFormatting sqref="A15">
    <cfRule type="cellIs" dxfId="196" priority="5" stopIfTrue="1" operator="equal">
      <formula>"已过期"</formula>
    </cfRule>
  </conditionalFormatting>
  <conditionalFormatting sqref="C15">
    <cfRule type="expression" dxfId="195" priority="4">
      <formula>AND($C15-TODAY()&lt;30,TODAY()&lt;$C15)</formula>
    </cfRule>
  </conditionalFormatting>
  <conditionalFormatting sqref="E15">
    <cfRule type="cellIs" dxfId="194" priority="3" stopIfTrue="1" operator="equal">
      <formula>"已过期"</formula>
    </cfRule>
  </conditionalFormatting>
  <conditionalFormatting sqref="D15">
    <cfRule type="cellIs" dxfId="193" priority="2" stopIfTrue="1" operator="equal">
      <formula>"已过期"</formula>
    </cfRule>
  </conditionalFormatting>
  <conditionalFormatting sqref="F13">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150</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汇总</vt:lpstr>
      <vt:lpstr>结果表-办公</vt:lpstr>
      <vt:lpstr>成本法</vt:lpstr>
      <vt:lpstr>成本法 (元)</vt:lpstr>
      <vt:lpstr>假设开发法</vt:lpstr>
      <vt:lpstr>收益法（汇总）</vt:lpstr>
      <vt:lpstr>比较法-办公</vt:lpstr>
      <vt:lpstr>收益法（办公）</vt:lpstr>
      <vt:lpstr>收益法 (元)</vt:lpstr>
      <vt:lpstr>酒店收入计算</vt:lpstr>
      <vt:lpstr>比较法-住宅</vt:lpstr>
      <vt:lpstr>结果表-地下商业</vt:lpstr>
      <vt:lpstr>比较法-商业</vt:lpstr>
      <vt:lpstr>比较法-工业</vt:lpstr>
      <vt:lpstr>比较法-车位</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 (地下商业)</vt:lpstr>
      <vt:lpstr>典型户型修正</vt:lpstr>
      <vt:lpstr>比较法-商业租金</vt:lpstr>
      <vt:lpstr>结果表-仓储</vt:lpstr>
      <vt:lpstr>收益法 (仓储)</vt:lpstr>
      <vt:lpstr>比较法-仓储</vt:lpstr>
      <vt:lpstr>面积清单</vt:lpstr>
      <vt:lpstr>案例及位置图</vt:lpstr>
      <vt:lpstr>估价师及机构信息!Print_Area</vt:lpstr>
      <vt:lpstr>'收益法 (仓储)'!Print_Area</vt:lpstr>
      <vt:lpstr>'收益法 (地下商业)'!Print_Area</vt:lpstr>
      <vt:lpstr>'收益法 (元)'!Print_Area</vt:lpstr>
      <vt:lpstr>'收益法（办公）'!Print_Area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2018-03-08T09:23:49Z</dcterms:modified>
</cp:coreProperties>
</file>