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6" windowWidth="22296" windowHeight="5508"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工业" sheetId="40"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Sheet2" sheetId="81" r:id="rId47"/>
    <sheet name="土地案例" sheetId="82" r:id="rId48"/>
    <sheet name="企业提供总投数据" sheetId="83"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20"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20">'土地比较法-工业'!$A$1:$K$61,'土地比较法-工业'!$A$64:$M$121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7" i="1" l="1"/>
  <c r="L28" i="1" s="1"/>
  <c r="L21" i="1"/>
  <c r="L22" i="1"/>
  <c r="L24" i="1"/>
  <c r="K26" i="1"/>
  <c r="K25" i="1"/>
  <c r="K22" i="1"/>
  <c r="K24" i="1"/>
  <c r="K23" i="1"/>
  <c r="D5" i="83"/>
  <c r="D6" i="83"/>
  <c r="D7" i="83"/>
  <c r="D8" i="83"/>
  <c r="D9" i="83"/>
  <c r="D10" i="83"/>
  <c r="D11" i="83"/>
  <c r="D12" i="83"/>
  <c r="D13" i="83"/>
  <c r="D4" i="83"/>
  <c r="U22" i="1" l="1"/>
  <c r="N6" i="1" l="1"/>
  <c r="U24" i="1" l="1"/>
  <c r="C14" i="74"/>
  <c r="B14" i="74"/>
  <c r="D14" i="9" l="1"/>
  <c r="N20" i="1"/>
  <c r="O21" i="1" s="1"/>
  <c r="H109" i="40"/>
  <c r="G109" i="40"/>
  <c r="F109" i="40"/>
  <c r="E109" i="40"/>
  <c r="D109" i="40"/>
  <c r="I34" i="40"/>
  <c r="G34" i="40"/>
  <c r="E34" i="40"/>
  <c r="C34" i="40"/>
  <c r="K66" i="40"/>
  <c r="J66" i="40"/>
  <c r="I66" i="40"/>
  <c r="H66" i="40"/>
  <c r="G66" i="40"/>
  <c r="F66" i="40"/>
  <c r="E66" i="40"/>
  <c r="D66" i="40"/>
  <c r="I7" i="40"/>
  <c r="G7" i="40"/>
  <c r="E7" i="40"/>
  <c r="I41" i="40"/>
  <c r="G41" i="40"/>
  <c r="E41" i="40"/>
  <c r="B35" i="1"/>
  <c r="U6" i="1"/>
  <c r="T23" i="1"/>
  <c r="T24" i="1" s="1"/>
  <c r="T22" i="1"/>
  <c r="T21" i="1"/>
  <c r="T20" i="1"/>
  <c r="O20" i="1"/>
  <c r="O19" i="1"/>
  <c r="O18" i="1"/>
  <c r="G19" i="6"/>
  <c r="F19" i="6"/>
  <c r="K16" i="3"/>
  <c r="I16" i="3"/>
  <c r="D3" i="4"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T25" i="79"/>
  <c r="W25" i="79" s="1"/>
  <c r="N25" i="79"/>
  <c r="M25" i="79"/>
  <c r="P25" i="79" s="1"/>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Y3" i="79" l="1"/>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AA13" i="71" s="1"/>
  <c r="O20" i="71"/>
  <c r="N20" i="71"/>
  <c r="X13" i="71" s="1"/>
  <c r="L3" i="71"/>
  <c r="AH3" i="71" s="1"/>
  <c r="K3" i="71"/>
  <c r="AG3" i="71" s="1"/>
  <c r="J3" i="71"/>
  <c r="AE3" i="71" s="1"/>
  <c r="I3" i="71"/>
  <c r="AH21" i="71"/>
  <c r="AG21" i="71"/>
  <c r="AE21" i="71"/>
  <c r="AF21" i="71"/>
  <c r="AD21" i="71"/>
  <c r="Q21" i="71"/>
  <c r="Q22" i="71"/>
  <c r="P21" i="71"/>
  <c r="P22" i="71"/>
  <c r="O21" i="71"/>
  <c r="O22" i="71"/>
  <c r="Y12" i="71" s="1"/>
  <c r="Z12" i="71" s="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s="1"/>
  <c r="C23"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C91" i="9"/>
  <c r="B8" i="72"/>
  <c r="O27" i="71"/>
  <c r="P27" i="71"/>
  <c r="AA25" i="71" s="1"/>
  <c r="Q27" i="71"/>
  <c r="N27" i="71"/>
  <c r="X25" i="71" s="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8" i="51"/>
  <c r="B13" i="72" s="1"/>
  <c r="C8" i="68"/>
  <c r="B49" i="48"/>
  <c r="B5" i="72" s="1"/>
  <c r="D89" i="71"/>
  <c r="F88" i="71"/>
  <c r="F87" i="71" s="1"/>
  <c r="F86" i="71" s="1"/>
  <c r="E88" i="71"/>
  <c r="E87" i="71"/>
  <c r="E86" i="71" s="1"/>
  <c r="C88" i="71"/>
  <c r="D88" i="71" s="1"/>
  <c r="B88" i="71"/>
  <c r="B87" i="71" s="1"/>
  <c r="B86" i="71" s="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C63" i="71" s="1"/>
  <c r="N61" i="71"/>
  <c r="B62" i="71" s="1"/>
  <c r="B63" i="71"/>
  <c r="B64" i="71" s="1"/>
  <c r="S64" i="71" s="1"/>
  <c r="D61" i="71"/>
  <c r="Q60" i="71"/>
  <c r="P60" i="71"/>
  <c r="O60" i="71"/>
  <c r="N60" i="71"/>
  <c r="Q59" i="71"/>
  <c r="P59" i="71"/>
  <c r="O59" i="71"/>
  <c r="N59" i="71"/>
  <c r="Q58" i="71"/>
  <c r="P58" i="71"/>
  <c r="O58" i="71"/>
  <c r="N58" i="71"/>
  <c r="Q57" i="71"/>
  <c r="F58" i="71" s="1"/>
  <c r="F59" i="71"/>
  <c r="F60" i="71" s="1"/>
  <c r="V60" i="71"/>
  <c r="P57" i="71"/>
  <c r="E58" i="71"/>
  <c r="E59" i="71" s="1"/>
  <c r="E60" i="71" s="1"/>
  <c r="U60" i="71" s="1"/>
  <c r="O57" i="71"/>
  <c r="C58" i="71"/>
  <c r="C59" i="71" s="1"/>
  <c r="N57" i="71"/>
  <c r="B58" i="7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C55" i="71" s="1"/>
  <c r="N53" i="71"/>
  <c r="B54" i="71" s="1"/>
  <c r="B55" i="7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C51" i="71" s="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D42" i="71" s="1"/>
  <c r="N41" i="71"/>
  <c r="B42" i="71"/>
  <c r="B43" i="71" s="1"/>
  <c r="B44" i="71" s="1"/>
  <c r="S44" i="71" s="1"/>
  <c r="D41" i="71"/>
  <c r="Q40" i="71"/>
  <c r="P40" i="71"/>
  <c r="O40" i="71"/>
  <c r="N40" i="71"/>
  <c r="Q39" i="71"/>
  <c r="P39" i="71"/>
  <c r="AA39" i="71"/>
  <c r="O39" i="71"/>
  <c r="Y39" i="71"/>
  <c r="Z39" i="71" s="1"/>
  <c r="N39" i="71"/>
  <c r="X37" i="71" s="1"/>
  <c r="Q38" i="71"/>
  <c r="AB38" i="71" s="1"/>
  <c r="P38" i="71"/>
  <c r="AA38" i="71" s="1"/>
  <c r="O38" i="71"/>
  <c r="Y38" i="71"/>
  <c r="Z38" i="71" s="1"/>
  <c r="N38" i="71"/>
  <c r="Q37" i="71"/>
  <c r="F38" i="71" s="1"/>
  <c r="F39" i="71" s="1"/>
  <c r="F40" i="71" s="1"/>
  <c r="V40" i="71" s="1"/>
  <c r="P37" i="71"/>
  <c r="O37" i="71"/>
  <c r="N37" i="71"/>
  <c r="D37" i="71"/>
  <c r="Q36" i="71"/>
  <c r="AB36" i="71" s="1"/>
  <c r="P36" i="71"/>
  <c r="AA34" i="71" s="1"/>
  <c r="O36" i="71"/>
  <c r="Y36" i="71"/>
  <c r="Z36" i="71" s="1"/>
  <c r="N36" i="71"/>
  <c r="Q35" i="71"/>
  <c r="AB35" i="71"/>
  <c r="P35" i="71"/>
  <c r="O35" i="71"/>
  <c r="Y35" i="71" s="1"/>
  <c r="Z35" i="7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29" i="71" s="1"/>
  <c r="Q31" i="71"/>
  <c r="AB31" i="71"/>
  <c r="P31" i="71"/>
  <c r="O31" i="71"/>
  <c r="Y31" i="71" s="1"/>
  <c r="Z31" i="71" s="1"/>
  <c r="N31" i="71"/>
  <c r="Q30" i="71"/>
  <c r="P30" i="71"/>
  <c r="O30" i="71"/>
  <c r="Y30" i="71"/>
  <c r="Z30" i="71" s="1"/>
  <c r="N30" i="71"/>
  <c r="Q29" i="71"/>
  <c r="F30" i="71" s="1"/>
  <c r="F31" i="71" s="1"/>
  <c r="F32" i="71" s="1"/>
  <c r="V32" i="71" s="1"/>
  <c r="P29" i="71"/>
  <c r="O29" i="71"/>
  <c r="N29" i="71"/>
  <c r="D29" i="71"/>
  <c r="O28" i="71"/>
  <c r="Y24" i="71" s="1"/>
  <c r="Z24" i="71" s="1"/>
  <c r="N28" i="71"/>
  <c r="B30" i="71"/>
  <c r="B31" i="71" s="1"/>
  <c r="B32" i="71"/>
  <c r="S32" i="71" s="1"/>
  <c r="B34" i="71"/>
  <c r="B35" i="71" s="1"/>
  <c r="B36" i="71" s="1"/>
  <c r="S36" i="71" s="1"/>
  <c r="X33" i="71"/>
  <c r="B38" i="71"/>
  <c r="B39" i="71"/>
  <c r="B40" i="71" s="1"/>
  <c r="S40" i="71" s="1"/>
  <c r="E38" i="71"/>
  <c r="E39" i="71" s="1"/>
  <c r="E40" i="71" s="1"/>
  <c r="U40" i="71" s="1"/>
  <c r="AA37" i="71"/>
  <c r="E34" i="71"/>
  <c r="E35" i="71" s="1"/>
  <c r="E36" i="71" s="1"/>
  <c r="U36" i="71" s="1"/>
  <c r="AA33" i="71"/>
  <c r="C30" i="71"/>
  <c r="Y29" i="71"/>
  <c r="Z29" i="71" s="1"/>
  <c r="AB29" i="71"/>
  <c r="AA30" i="71"/>
  <c r="AA31" i="71"/>
  <c r="AA32" i="71"/>
  <c r="C34" i="71"/>
  <c r="C35" i="71"/>
  <c r="C36" i="71" s="1"/>
  <c r="Y33" i="71"/>
  <c r="Z33" i="71"/>
  <c r="X34" i="71"/>
  <c r="X35" i="71"/>
  <c r="X36" i="71"/>
  <c r="C38" i="71"/>
  <c r="D38" i="71" s="1"/>
  <c r="Y37" i="71"/>
  <c r="Z37" i="71"/>
  <c r="AB37" i="71"/>
  <c r="X38" i="71"/>
  <c r="F51" i="71"/>
  <c r="F52" i="71" s="1"/>
  <c r="V52" i="71" s="1"/>
  <c r="C28" i="71"/>
  <c r="Y25" i="71"/>
  <c r="Z25" i="71" s="1"/>
  <c r="Y26" i="71"/>
  <c r="Z26" i="71" s="1"/>
  <c r="Y27" i="71"/>
  <c r="Z27" i="71" s="1"/>
  <c r="Y28" i="71"/>
  <c r="Z28" i="71" s="1"/>
  <c r="B28" i="71"/>
  <c r="B27" i="71" s="1"/>
  <c r="B26" i="71" s="1"/>
  <c r="X26" i="71"/>
  <c r="X28" i="71"/>
  <c r="C31" i="71"/>
  <c r="D30" i="71"/>
  <c r="D34" i="71"/>
  <c r="C39" i="71"/>
  <c r="C40" i="71" s="1"/>
  <c r="C43" i="71"/>
  <c r="C44" i="71" s="1"/>
  <c r="C47" i="71"/>
  <c r="D47" i="71" s="1"/>
  <c r="D46" i="71"/>
  <c r="D50" i="71"/>
  <c r="P28" i="71"/>
  <c r="E55" i="71"/>
  <c r="E56" i="71" s="1"/>
  <c r="U56" i="71" s="1"/>
  <c r="E63" i="71"/>
  <c r="E64" i="71" s="1"/>
  <c r="U64" i="71" s="1"/>
  <c r="Q65" i="71"/>
  <c r="U68" i="71"/>
  <c r="E67" i="71"/>
  <c r="Q28" i="71"/>
  <c r="AB25" i="71" s="1"/>
  <c r="D54" i="71"/>
  <c r="D58" i="71"/>
  <c r="D62" i="71"/>
  <c r="Q67" i="71"/>
  <c r="T68" i="71"/>
  <c r="O68" i="71"/>
  <c r="D68" i="71"/>
  <c r="C67" i="71"/>
  <c r="Q68" i="71"/>
  <c r="E71" i="71"/>
  <c r="E70" i="71" s="1"/>
  <c r="D72" i="71"/>
  <c r="C75" i="71"/>
  <c r="E75" i="71"/>
  <c r="E74" i="71" s="1"/>
  <c r="D76" i="71"/>
  <c r="E79" i="71"/>
  <c r="E78" i="71" s="1"/>
  <c r="D80" i="71"/>
  <c r="C83" i="71"/>
  <c r="C87" i="71"/>
  <c r="C86" i="71" s="1"/>
  <c r="D86" i="71" s="1"/>
  <c r="T28" i="71"/>
  <c r="C27" i="71"/>
  <c r="C26" i="71" s="1"/>
  <c r="D26" i="71" s="1"/>
  <c r="F28" i="71"/>
  <c r="F27" i="71" s="1"/>
  <c r="F26" i="71" s="1"/>
  <c r="AB26" i="71"/>
  <c r="AB28" i="71"/>
  <c r="E28" i="71"/>
  <c r="E27" i="71"/>
  <c r="E26" i="71" s="1"/>
  <c r="AA3" i="71"/>
  <c r="AA26" i="71"/>
  <c r="AA28" i="71"/>
  <c r="D28" i="71"/>
  <c r="U28" i="71"/>
  <c r="C66" i="71"/>
  <c r="O67" i="71"/>
  <c r="D67" i="71"/>
  <c r="D83" i="71"/>
  <c r="C82" i="71"/>
  <c r="D82" i="71"/>
  <c r="D75" i="71"/>
  <c r="C74" i="71"/>
  <c r="D74" i="71" s="1"/>
  <c r="D87" i="71"/>
  <c r="P67" i="71"/>
  <c r="E66" i="71"/>
  <c r="P65" i="71" s="1"/>
  <c r="D43" i="71"/>
  <c r="D39" i="71"/>
  <c r="D35" i="71"/>
  <c r="D31" i="71"/>
  <c r="V28" i="71"/>
  <c r="P66" i="71"/>
  <c r="O66" i="71"/>
  <c r="D66" i="71"/>
  <c r="O6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F18" i="35"/>
  <c r="AA18" i="35"/>
  <c r="C18" i="35"/>
  <c r="Z21" i="37"/>
  <c r="Q21" i="37"/>
  <c r="D77" i="37"/>
  <c r="E77" i="37" s="1"/>
  <c r="C21" i="37"/>
  <c r="Q21" i="34"/>
  <c r="Z21" i="34" s="1"/>
  <c r="D84" i="34"/>
  <c r="E84" i="34"/>
  <c r="F84" i="34" s="1"/>
  <c r="G84" i="34" s="1"/>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18" i="36"/>
  <c r="S21" i="34"/>
  <c r="H25" i="40"/>
  <c r="AB25" i="40" s="1"/>
  <c r="J25" i="40"/>
  <c r="AC25" i="40" s="1"/>
  <c r="H29" i="39"/>
  <c r="AB29" i="39" s="1"/>
  <c r="J29" i="39"/>
  <c r="AC29" i="39" s="1"/>
  <c r="J18" i="36"/>
  <c r="AC18" i="36" s="1"/>
  <c r="H18" i="35"/>
  <c r="AB18" i="35" s="1"/>
  <c r="S18" i="35"/>
  <c r="G68" i="35"/>
  <c r="J18" i="35"/>
  <c r="F77" i="37"/>
  <c r="G77" i="37" s="1"/>
  <c r="H21" i="37"/>
  <c r="F21" i="37"/>
  <c r="AA21" i="37" s="1"/>
  <c r="H21" i="34"/>
  <c r="AB21" i="34" s="1"/>
  <c r="H21" i="33"/>
  <c r="U21" i="33" s="1"/>
  <c r="F21" i="33"/>
  <c r="E83" i="21"/>
  <c r="F83" i="21" s="1"/>
  <c r="H1" i="69"/>
  <c r="W25" i="40"/>
  <c r="U25" i="40"/>
  <c r="U29" i="39"/>
  <c r="W29" i="39"/>
  <c r="W18" i="36"/>
  <c r="AB21" i="37"/>
  <c r="U21" i="37"/>
  <c r="U21" i="34"/>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Z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A494" i="3" s="1"/>
  <c r="BD494" i="3"/>
  <c r="BE494" i="3"/>
  <c r="BF494" i="3"/>
  <c r="BG494" i="3"/>
  <c r="BH494" i="3"/>
  <c r="BI494" i="3"/>
  <c r="BJ494" i="3"/>
  <c r="BK494" i="3"/>
  <c r="BM494" i="3"/>
  <c r="BN494" i="3"/>
  <c r="BL494" i="3" s="1"/>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R499" i="3"/>
  <c r="BS499" i="3"/>
  <c r="BT499" i="3"/>
  <c r="H500" i="3"/>
  <c r="AC500" i="3"/>
  <c r="BB500" i="3"/>
  <c r="BA500" i="3" s="1"/>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A513" i="3" s="1"/>
  <c r="BD513" i="3"/>
  <c r="BE513" i="3"/>
  <c r="BF513" i="3"/>
  <c r="BG513" i="3"/>
  <c r="BH513" i="3"/>
  <c r="BI513" i="3"/>
  <c r="BJ513" i="3"/>
  <c r="BK513" i="3"/>
  <c r="BM513" i="3"/>
  <c r="BN513" i="3"/>
  <c r="BO513" i="3"/>
  <c r="BP513" i="3"/>
  <c r="BR513" i="3"/>
  <c r="BS513" i="3"/>
  <c r="BT513" i="3"/>
  <c r="H514" i="3"/>
  <c r="AC514" i="3"/>
  <c r="BB514" i="3"/>
  <c r="BA514" i="3" s="1"/>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O517" i="3"/>
  <c r="BP517" i="3"/>
  <c r="BR517" i="3"/>
  <c r="BS517" i="3"/>
  <c r="BT517" i="3"/>
  <c r="H518" i="3"/>
  <c r="G518" i="3" s="1"/>
  <c r="AC518" i="3"/>
  <c r="BB518" i="3"/>
  <c r="BA518" i="3" s="1"/>
  <c r="BC518" i="3"/>
  <c r="BD518" i="3"/>
  <c r="BE518" i="3"/>
  <c r="BF518" i="3"/>
  <c r="BG518" i="3"/>
  <c r="BH518" i="3"/>
  <c r="BI518" i="3"/>
  <c r="BJ518" i="3"/>
  <c r="BK518" i="3"/>
  <c r="BM518" i="3"/>
  <c r="BL518" i="3" s="1"/>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A522" i="3" s="1"/>
  <c r="BD522" i="3"/>
  <c r="BE522" i="3"/>
  <c r="BF522" i="3"/>
  <c r="BG522" i="3"/>
  <c r="BH522" i="3"/>
  <c r="BI522" i="3"/>
  <c r="BJ522" i="3"/>
  <c r="BK522" i="3"/>
  <c r="BM522" i="3"/>
  <c r="BN522" i="3"/>
  <c r="BL522" i="3" s="1"/>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A562" i="3" s="1"/>
  <c r="BC562" i="3"/>
  <c r="BD562" i="3"/>
  <c r="BE562" i="3"/>
  <c r="BF562" i="3"/>
  <c r="BG562" i="3"/>
  <c r="BH562" i="3"/>
  <c r="BI562" i="3"/>
  <c r="BJ562" i="3"/>
  <c r="BK562" i="3"/>
  <c r="BM562" i="3"/>
  <c r="BL562" i="3" s="1"/>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G564" i="3" s="1"/>
  <c r="BB564" i="3"/>
  <c r="BC564" i="3"/>
  <c r="BA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G580" i="3" s="1"/>
  <c r="BB580" i="3"/>
  <c r="BC580" i="3"/>
  <c r="BA580" i="3" s="1"/>
  <c r="BD580" i="3"/>
  <c r="BE580" i="3"/>
  <c r="BF580" i="3"/>
  <c r="BG580" i="3"/>
  <c r="BH580" i="3"/>
  <c r="BI580" i="3"/>
  <c r="BJ580" i="3"/>
  <c r="BK580" i="3"/>
  <c r="BM580" i="3"/>
  <c r="BN580" i="3"/>
  <c r="BO580" i="3"/>
  <c r="BP580" i="3"/>
  <c r="BQ580" i="3"/>
  <c r="BR580" i="3"/>
  <c r="BS580" i="3"/>
  <c r="BT580" i="3"/>
  <c r="H581" i="3"/>
  <c r="AC581" i="3"/>
  <c r="G581" i="3" s="1"/>
  <c r="BB581" i="3"/>
  <c r="BC581" i="3"/>
  <c r="BA581" i="3" s="1"/>
  <c r="BD581" i="3"/>
  <c r="BE581" i="3"/>
  <c r="BF581" i="3"/>
  <c r="BG581" i="3"/>
  <c r="BH581" i="3"/>
  <c r="BI581" i="3"/>
  <c r="BJ581" i="3"/>
  <c r="BK581" i="3"/>
  <c r="BM581" i="3"/>
  <c r="BN581" i="3"/>
  <c r="BO581" i="3"/>
  <c r="BP581" i="3"/>
  <c r="BR581" i="3"/>
  <c r="BS581" i="3"/>
  <c r="BT581" i="3"/>
  <c r="H582" i="3"/>
  <c r="AC582" i="3"/>
  <c r="G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F36" i="39" s="1"/>
  <c r="AA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AA42" i="34" s="1"/>
  <c r="J38" i="34"/>
  <c r="W38" i="34"/>
  <c r="D114" i="34"/>
  <c r="F38" i="34"/>
  <c r="S38" i="34" s="1"/>
  <c r="D112" i="34"/>
  <c r="E112" i="34" s="1"/>
  <c r="F112" i="34"/>
  <c r="G112" i="34" s="1"/>
  <c r="H112" i="34" s="1"/>
  <c r="I112" i="34" s="1"/>
  <c r="J112" i="34" s="1"/>
  <c r="K112" i="34" s="1"/>
  <c r="L112" i="34" s="1"/>
  <c r="M112" i="34" s="1"/>
  <c r="F40" i="33"/>
  <c r="AA40" i="33" s="1"/>
  <c r="J41" i="33"/>
  <c r="D113" i="33"/>
  <c r="E113" i="33" s="1"/>
  <c r="F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H14" i="40" s="1"/>
  <c r="B79" i="40"/>
  <c r="H13" i="40" s="1"/>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c r="Q36" i="40"/>
  <c r="Z36" i="40"/>
  <c r="Q35" i="40"/>
  <c r="Z35" i="40"/>
  <c r="Q34" i="40"/>
  <c r="Z34" i="40"/>
  <c r="J34" i="40"/>
  <c r="AC34" i="40" s="1"/>
  <c r="H34" i="40"/>
  <c r="AB34" i="40" s="1"/>
  <c r="F34" i="40"/>
  <c r="AA34" i="40" s="1"/>
  <c r="Q33" i="40"/>
  <c r="Z33" i="40" s="1"/>
  <c r="Q32" i="40"/>
  <c r="Z32" i="40" s="1"/>
  <c r="Q31" i="40"/>
  <c r="Z31" i="40" s="1"/>
  <c r="Q30" i="40"/>
  <c r="Z30" i="40"/>
  <c r="Q28" i="40"/>
  <c r="Z28" i="40"/>
  <c r="Q27" i="40"/>
  <c r="Z27" i="40"/>
  <c r="Q23" i="40"/>
  <c r="Z23" i="40"/>
  <c r="Q21" i="40"/>
  <c r="Z21" i="40"/>
  <c r="Q19" i="40"/>
  <c r="Z19" i="40"/>
  <c r="Q17" i="40"/>
  <c r="Z17" i="40"/>
  <c r="Q15" i="40"/>
  <c r="Z15" i="40"/>
  <c r="Q14" i="40"/>
  <c r="Z14" i="40" s="1"/>
  <c r="Q13" i="40"/>
  <c r="Z13" i="40" s="1"/>
  <c r="Q12" i="40"/>
  <c r="Z12" i="40" s="1"/>
  <c r="Q11" i="40"/>
  <c r="Z11" i="40"/>
  <c r="Q10" i="40"/>
  <c r="Z10" i="40"/>
  <c r="Q9" i="40"/>
  <c r="Z9" i="40"/>
  <c r="J9" i="40"/>
  <c r="W9" i="40"/>
  <c r="H9" i="40"/>
  <c r="AB9" i="40"/>
  <c r="F9" i="40"/>
  <c r="S9" i="40"/>
  <c r="J8" i="40"/>
  <c r="AC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c r="D92" i="39"/>
  <c r="E92" i="39"/>
  <c r="F92" i="39" s="1"/>
  <c r="G92" i="39" s="1"/>
  <c r="D90" i="39"/>
  <c r="E90" i="39"/>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F73" i="37" s="1"/>
  <c r="D71" i="37"/>
  <c r="E71" i="37" s="1"/>
  <c r="H15" i="37"/>
  <c r="AB15" i="37"/>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U33" i="36" s="1"/>
  <c r="B91" i="36"/>
  <c r="F32" i="36"/>
  <c r="AA32" i="36" s="1"/>
  <c r="B95" i="36"/>
  <c r="H34" i="36"/>
  <c r="U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c r="J120" i="34" s="1"/>
  <c r="K120" i="34" s="1"/>
  <c r="L120" i="34" s="1"/>
  <c r="M120" i="34" s="1"/>
  <c r="D90" i="34"/>
  <c r="E90" i="34"/>
  <c r="F90" i="34" s="1"/>
  <c r="G90" i="34" s="1"/>
  <c r="H90" i="34" s="1"/>
  <c r="I90" i="34"/>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D107" i="34"/>
  <c r="E107" i="34" s="1"/>
  <c r="F107" i="34" s="1"/>
  <c r="G107" i="34" s="1"/>
  <c r="H107" i="34"/>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D92" i="34"/>
  <c r="E92" i="34"/>
  <c r="F92" i="34" s="1"/>
  <c r="G92" i="34"/>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c r="G86" i="34" s="1"/>
  <c r="D82" i="34"/>
  <c r="E82" i="34" s="1"/>
  <c r="F82" i="34"/>
  <c r="G82" i="34" s="1"/>
  <c r="D80" i="34"/>
  <c r="E80" i="34" s="1"/>
  <c r="F80" i="34"/>
  <c r="G80" i="34" s="1"/>
  <c r="D78" i="34"/>
  <c r="E78" i="34" s="1"/>
  <c r="F78" i="34"/>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s="1"/>
  <c r="Q11" i="34"/>
  <c r="Z11" i="34"/>
  <c r="Q10" i="34"/>
  <c r="Z10" i="34"/>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AC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c r="B130" i="21"/>
  <c r="B128" i="21"/>
  <c r="B126" i="21"/>
  <c r="B98" i="2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c r="J45" i="39"/>
  <c r="W45" i="39"/>
  <c r="J44" i="39"/>
  <c r="AC44" i="39"/>
  <c r="S36"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c r="W28" i="36"/>
  <c r="J33" i="36"/>
  <c r="AC33" i="36" s="1"/>
  <c r="H22" i="35"/>
  <c r="AB22" i="35"/>
  <c r="AC27" i="35"/>
  <c r="W28" i="35"/>
  <c r="S34" i="35"/>
  <c r="W34" i="35"/>
  <c r="W36" i="35"/>
  <c r="W22" i="35"/>
  <c r="S31" i="35"/>
  <c r="F36" i="34"/>
  <c r="J35" i="34"/>
  <c r="W9" i="34"/>
  <c r="U34" i="34"/>
  <c r="H39" i="33"/>
  <c r="AB39" i="33" s="1"/>
  <c r="F26" i="33"/>
  <c r="U33" i="33"/>
  <c r="S40" i="33"/>
  <c r="W39" i="33"/>
  <c r="H39" i="37"/>
  <c r="AB39" i="37"/>
  <c r="S27" i="35"/>
  <c r="F11" i="40"/>
  <c r="H11" i="40"/>
  <c r="AB11" i="40" s="1"/>
  <c r="W8" i="40"/>
  <c r="AC40" i="40"/>
  <c r="AA9" i="40"/>
  <c r="AC9" i="40"/>
  <c r="U9" i="40"/>
  <c r="S34" i="40"/>
  <c r="S40"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AB31" i="39"/>
  <c r="E100" i="39"/>
  <c r="H19" i="39"/>
  <c r="AB19" i="39" s="1"/>
  <c r="F19" i="39"/>
  <c r="AA19" i="39" s="1"/>
  <c r="H17" i="39"/>
  <c r="AB17" i="39" s="1"/>
  <c r="F17" i="39"/>
  <c r="AA17" i="39" s="1"/>
  <c r="J23" i="40"/>
  <c r="AC23" i="40" s="1"/>
  <c r="F21" i="40"/>
  <c r="J21" i="40"/>
  <c r="H42" i="39"/>
  <c r="AB42" i="39" s="1"/>
  <c r="J34" i="39"/>
  <c r="AC34" i="39" s="1"/>
  <c r="F100" i="39"/>
  <c r="G100" i="39" s="1"/>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s="1"/>
  <c r="AB12" i="33"/>
  <c r="AA12" i="34"/>
  <c r="AB12" i="35"/>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W29" i="35" s="1"/>
  <c r="H33" i="35"/>
  <c r="AB33" i="35"/>
  <c r="J20" i="35"/>
  <c r="W20" i="35"/>
  <c r="F35" i="37"/>
  <c r="S35" i="37"/>
  <c r="E101" i="37"/>
  <c r="F101" i="37"/>
  <c r="G101" i="37" s="1"/>
  <c r="H101" i="37"/>
  <c r="I101" i="37" s="1"/>
  <c r="J101" i="37" s="1"/>
  <c r="K101" i="37" s="1"/>
  <c r="L101" i="37" s="1"/>
  <c r="M101" i="37" s="1"/>
  <c r="J34" i="37"/>
  <c r="W34" i="37" s="1"/>
  <c r="AA39" i="37"/>
  <c r="AB34" i="37"/>
  <c r="J33" i="37"/>
  <c r="AC33" i="37" s="1"/>
  <c r="U42" i="34"/>
  <c r="H40" i="34"/>
  <c r="U40" i="34" s="1"/>
  <c r="E114" i="34"/>
  <c r="F114" i="34" s="1"/>
  <c r="H36" i="34"/>
  <c r="U36" i="34"/>
  <c r="F37" i="34"/>
  <c r="AA37" i="34" s="1"/>
  <c r="S35" i="34"/>
  <c r="F28" i="34"/>
  <c r="AA28" i="34"/>
  <c r="F25" i="34"/>
  <c r="S25" i="34"/>
  <c r="H23" i="34"/>
  <c r="U23" i="34"/>
  <c r="J23" i="34"/>
  <c r="F19" i="34"/>
  <c r="H17" i="34"/>
  <c r="U17" i="34"/>
  <c r="F15" i="34"/>
  <c r="J15" i="34"/>
  <c r="AC15" i="34" s="1"/>
  <c r="H15" i="34"/>
  <c r="AB15" i="34"/>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AB42" i="34"/>
  <c r="J40" i="34"/>
  <c r="G114" i="34"/>
  <c r="H114" i="34" s="1"/>
  <c r="I114" i="34" s="1"/>
  <c r="J114" i="34" s="1"/>
  <c r="K114" i="34" s="1"/>
  <c r="L114" i="34" s="1"/>
  <c r="M114" i="34" s="1"/>
  <c r="H38" i="34"/>
  <c r="AB38" i="34"/>
  <c r="J36" i="34"/>
  <c r="W36" i="34"/>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s="1"/>
  <c r="F28" i="40"/>
  <c r="AA28" i="40" s="1"/>
  <c r="AA29" i="35"/>
  <c r="S42" i="34"/>
  <c r="AC38" i="34"/>
  <c r="AA38" i="34"/>
  <c r="J37" i="34"/>
  <c r="AC37" i="34" s="1"/>
  <c r="J11" i="33"/>
  <c r="W11" i="33" s="1"/>
  <c r="S28" i="34"/>
  <c r="U23" i="40"/>
  <c r="J42" i="21"/>
  <c r="AC42" i="21" s="1"/>
  <c r="H42" i="21"/>
  <c r="U42" i="21" s="1"/>
  <c r="J44" i="34"/>
  <c r="W44" i="34" s="1"/>
  <c r="F44" i="34"/>
  <c r="AA44" i="34"/>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W12" i="40"/>
  <c r="H14" i="33"/>
  <c r="U14" i="33"/>
  <c r="F14" i="33"/>
  <c r="S14" i="33"/>
  <c r="J14" i="33"/>
  <c r="H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43" i="39"/>
  <c r="AA43" i="39"/>
  <c r="H43" i="39"/>
  <c r="J14" i="39"/>
  <c r="AC14" i="39" s="1"/>
  <c r="H14" i="39"/>
  <c r="AB14" i="39" s="1"/>
  <c r="F12" i="40"/>
  <c r="S12" i="40" s="1"/>
  <c r="H12" i="40"/>
  <c r="H30" i="40"/>
  <c r="AB30" i="40" s="1"/>
  <c r="H33" i="40"/>
  <c r="J35" i="40"/>
  <c r="J37" i="40"/>
  <c r="AC37" i="40" s="1"/>
  <c r="J13" i="40"/>
  <c r="W13" i="40" s="1"/>
  <c r="F14" i="37"/>
  <c r="S14" i="37" s="1"/>
  <c r="F27" i="37"/>
  <c r="AA27" i="37" s="1"/>
  <c r="F13" i="39"/>
  <c r="J13" i="39"/>
  <c r="W13" i="39" s="1"/>
  <c r="H13" i="39"/>
  <c r="AB14" i="40"/>
  <c r="J14" i="37"/>
  <c r="AC14" i="37"/>
  <c r="J27" i="37"/>
  <c r="AC27" i="37"/>
  <c r="AA44" i="33"/>
  <c r="AA13" i="35"/>
  <c r="U31" i="34"/>
  <c r="U46" i="33"/>
  <c r="AA14" i="33"/>
  <c r="J36" i="37"/>
  <c r="AC36" i="37" s="1"/>
  <c r="G105" i="37"/>
  <c r="J10" i="36"/>
  <c r="AC10" i="36" s="1"/>
  <c r="AA14" i="37"/>
  <c r="W31" i="34"/>
  <c r="AC13" i="36"/>
  <c r="W13" i="36"/>
  <c r="S11" i="36"/>
  <c r="AB46" i="34"/>
  <c r="AC30" i="34"/>
  <c r="AA14" i="34"/>
  <c r="S45" i="33"/>
  <c r="AB45" i="33"/>
  <c r="AB31" i="33"/>
  <c r="U31" i="33"/>
  <c r="W29" i="33"/>
  <c r="S44" i="34"/>
  <c r="BA585" i="3"/>
  <c r="F17" i="21"/>
  <c r="AA17" i="21"/>
  <c r="H17" i="21"/>
  <c r="AB17" i="21"/>
  <c r="F15" i="21"/>
  <c r="S15" i="21"/>
  <c r="J41" i="39"/>
  <c r="W41" i="39" s="1"/>
  <c r="AC45" i="39"/>
  <c r="W44" i="39"/>
  <c r="W35" i="39"/>
  <c r="S35" i="39"/>
  <c r="G544" i="3"/>
  <c r="G540" i="3"/>
  <c r="G536" i="3"/>
  <c r="G535" i="3"/>
  <c r="G532" i="3"/>
  <c r="G531" i="3"/>
  <c r="G528" i="3"/>
  <c r="G527" i="3"/>
  <c r="G523" i="3"/>
  <c r="G514" i="3"/>
  <c r="G508" i="3"/>
  <c r="G500" i="3"/>
  <c r="G584" i="3"/>
  <c r="G576" i="3"/>
  <c r="G572" i="3"/>
  <c r="G568" i="3"/>
  <c r="G560" i="3"/>
  <c r="G550" i="3"/>
  <c r="BL580" i="3"/>
  <c r="AZ580" i="3" s="1"/>
  <c r="BL576" i="3"/>
  <c r="BL572" i="3"/>
  <c r="BL564" i="3"/>
  <c r="BL560" i="3"/>
  <c r="BL554" i="3"/>
  <c r="BL546" i="3"/>
  <c r="BL542" i="3"/>
  <c r="BL538" i="3"/>
  <c r="BL534" i="3"/>
  <c r="BL530" i="3"/>
  <c r="BL526" i="3"/>
  <c r="BL516" i="3"/>
  <c r="AZ516" i="3" s="1"/>
  <c r="BL506" i="3"/>
  <c r="BL498" i="3"/>
  <c r="BL582" i="3"/>
  <c r="BL574" i="3"/>
  <c r="BL570" i="3"/>
  <c r="BL566" i="3"/>
  <c r="BL556" i="3"/>
  <c r="BL544" i="3"/>
  <c r="BL540" i="3"/>
  <c r="BL536" i="3"/>
  <c r="G533" i="3"/>
  <c r="BL532" i="3"/>
  <c r="G529" i="3"/>
  <c r="BL528" i="3"/>
  <c r="AZ528" i="3" s="1"/>
  <c r="BL524" i="3"/>
  <c r="BL514" i="3"/>
  <c r="BL504" i="3"/>
  <c r="BL496" i="3"/>
  <c r="BA584" i="3"/>
  <c r="AZ582" i="3"/>
  <c r="AZ578" i="3"/>
  <c r="BA576" i="3"/>
  <c r="AZ576" i="3"/>
  <c r="BA574" i="3"/>
  <c r="AZ574" i="3"/>
  <c r="BA572" i="3"/>
  <c r="AZ572" i="3"/>
  <c r="BA570" i="3"/>
  <c r="AZ570" i="3"/>
  <c r="AZ568" i="3"/>
  <c r="AZ566" i="3"/>
  <c r="AZ564"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AZ530" i="3" s="1"/>
  <c r="BA528" i="3"/>
  <c r="BA526" i="3"/>
  <c r="AZ526" i="3"/>
  <c r="AZ524" i="3"/>
  <c r="BA520" i="3"/>
  <c r="AZ518" i="3"/>
  <c r="BA512" i="3"/>
  <c r="AZ512" i="3" s="1"/>
  <c r="BA510" i="3"/>
  <c r="AZ510" i="3" s="1"/>
  <c r="BA508" i="3"/>
  <c r="BA504" i="3"/>
  <c r="AZ504" i="3" s="1"/>
  <c r="BA502" i="3"/>
  <c r="BA498" i="3"/>
  <c r="BA496" i="3"/>
  <c r="AZ496" i="3" s="1"/>
  <c r="BA587" i="3"/>
  <c r="AZ587" i="3" s="1"/>
  <c r="BA583" i="3"/>
  <c r="AZ583" i="3" s="1"/>
  <c r="BA577" i="3"/>
  <c r="BA575" i="3"/>
  <c r="BA573" i="3"/>
  <c r="BA571" i="3"/>
  <c r="BA569" i="3"/>
  <c r="BA565" i="3"/>
  <c r="BA561" i="3"/>
  <c r="AZ561" i="3" s="1"/>
  <c r="BA559" i="3"/>
  <c r="BA555" i="3"/>
  <c r="BA549" i="3"/>
  <c r="BA547" i="3"/>
  <c r="BA545" i="3"/>
  <c r="BA543" i="3"/>
  <c r="BA541" i="3"/>
  <c r="BA539" i="3"/>
  <c r="BA537" i="3"/>
  <c r="BA535" i="3"/>
  <c r="BA533" i="3"/>
  <c r="BA531" i="3"/>
  <c r="BA529" i="3"/>
  <c r="BA527" i="3"/>
  <c r="BA525" i="3"/>
  <c r="BA519" i="3"/>
  <c r="BA515" i="3"/>
  <c r="BA511" i="3"/>
  <c r="BA505" i="3"/>
  <c r="BA501" i="3"/>
  <c r="BA497" i="3"/>
  <c r="BA493" i="3"/>
  <c r="AZ560" i="3"/>
  <c r="G583" i="3"/>
  <c r="G579" i="3"/>
  <c r="G577" i="3"/>
  <c r="G575" i="3"/>
  <c r="G573" i="3"/>
  <c r="G571" i="3"/>
  <c r="G567" i="3"/>
  <c r="G563" i="3"/>
  <c r="G561" i="3"/>
  <c r="BL558" i="3"/>
  <c r="BA557" i="3"/>
  <c r="AC557" i="3"/>
  <c r="G557" i="3"/>
  <c r="BQ557" i="3"/>
  <c r="BL557" i="3"/>
  <c r="AZ557" i="3" s="1"/>
  <c r="BQ583" i="3"/>
  <c r="BL583" i="3"/>
  <c r="BQ581" i="3"/>
  <c r="BQ579" i="3"/>
  <c r="BQ577" i="3"/>
  <c r="BL577" i="3"/>
  <c r="BQ575" i="3"/>
  <c r="BL575" i="3" s="1"/>
  <c r="AZ575" i="3"/>
  <c r="BQ573" i="3"/>
  <c r="BL573" i="3"/>
  <c r="BQ571" i="3"/>
  <c r="BL571" i="3" s="1"/>
  <c r="AZ571" i="3"/>
  <c r="BQ569" i="3"/>
  <c r="BL569" i="3"/>
  <c r="BQ567" i="3"/>
  <c r="BQ565" i="3"/>
  <c r="BL565" i="3"/>
  <c r="BQ563" i="3"/>
  <c r="BQ561" i="3"/>
  <c r="BL561" i="3" s="1"/>
  <c r="BQ559" i="3"/>
  <c r="BL559" i="3"/>
  <c r="AZ559" i="3" s="1"/>
  <c r="G559" i="3"/>
  <c r="G553" i="3"/>
  <c r="G547" i="3"/>
  <c r="G545" i="3"/>
  <c r="G543" i="3"/>
  <c r="G541" i="3"/>
  <c r="G539" i="3"/>
  <c r="G537" i="3"/>
  <c r="BQ555" i="3"/>
  <c r="BQ553" i="3"/>
  <c r="BL553" i="3"/>
  <c r="BQ551" i="3"/>
  <c r="BQ549" i="3"/>
  <c r="BQ547" i="3"/>
  <c r="BL547" i="3"/>
  <c r="AZ547" i="3" s="1"/>
  <c r="BQ545" i="3"/>
  <c r="BL545" i="3" s="1"/>
  <c r="AZ545" i="3" s="1"/>
  <c r="BQ543" i="3"/>
  <c r="BL543" i="3"/>
  <c r="AZ543" i="3" s="1"/>
  <c r="BQ541" i="3"/>
  <c r="BL541" i="3" s="1"/>
  <c r="AZ541" i="3" s="1"/>
  <c r="BQ539" i="3"/>
  <c r="BL539" i="3"/>
  <c r="AZ539" i="3" s="1"/>
  <c r="BQ537" i="3"/>
  <c r="BL537" i="3" s="1"/>
  <c r="AZ537" i="3" s="1"/>
  <c r="BQ535" i="3"/>
  <c r="BL535" i="3"/>
  <c r="AZ535" i="3" s="1"/>
  <c r="BQ533" i="3"/>
  <c r="BL533" i="3" s="1"/>
  <c r="AZ533" i="3" s="1"/>
  <c r="BQ531" i="3"/>
  <c r="BL531" i="3"/>
  <c r="AZ531" i="3" s="1"/>
  <c r="BQ529" i="3"/>
  <c r="BL529" i="3" s="1"/>
  <c r="AZ529" i="3" s="1"/>
  <c r="BQ527" i="3"/>
  <c r="BL527" i="3"/>
  <c r="AZ527" i="3" s="1"/>
  <c r="BQ525" i="3"/>
  <c r="BQ523" i="3"/>
  <c r="BL523" i="3"/>
  <c r="BA521" i="3"/>
  <c r="AC521" i="3"/>
  <c r="G521" i="3" s="1"/>
  <c r="BQ521" i="3"/>
  <c r="BL520" i="3"/>
  <c r="G519" i="3"/>
  <c r="G515" i="3"/>
  <c r="G511" i="3"/>
  <c r="BQ519" i="3"/>
  <c r="BL519" i="3"/>
  <c r="BQ517" i="3"/>
  <c r="BQ515" i="3"/>
  <c r="BL515" i="3"/>
  <c r="BQ513" i="3"/>
  <c r="BQ511" i="3"/>
  <c r="BL511" i="3"/>
  <c r="BA509" i="3"/>
  <c r="AC509" i="3"/>
  <c r="BQ509" i="3"/>
  <c r="BL508" i="3"/>
  <c r="G507" i="3"/>
  <c r="G503" i="3"/>
  <c r="G499" i="3"/>
  <c r="G495" i="3"/>
  <c r="BQ507" i="3"/>
  <c r="BL507" i="3"/>
  <c r="BQ505" i="3"/>
  <c r="BQ503" i="3"/>
  <c r="BL503" i="3"/>
  <c r="BQ501" i="3"/>
  <c r="BQ499" i="3"/>
  <c r="BQ497" i="3"/>
  <c r="BQ495" i="3"/>
  <c r="BQ5" i="3" s="1"/>
  <c r="BQ493" i="3"/>
  <c r="AZ584"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s="1"/>
  <c r="H43" i="33"/>
  <c r="AB43" i="33"/>
  <c r="H17" i="37"/>
  <c r="U17" i="37"/>
  <c r="U32" i="33"/>
  <c r="F39" i="33"/>
  <c r="AA39" i="33" s="1"/>
  <c r="E123" i="33"/>
  <c r="F123" i="33" s="1"/>
  <c r="F42" i="33"/>
  <c r="AA42" i="33"/>
  <c r="H28" i="34"/>
  <c r="AB28" i="34"/>
  <c r="F14" i="36"/>
  <c r="AA14" i="36"/>
  <c r="F22" i="36"/>
  <c r="S22" i="36"/>
  <c r="F26" i="36"/>
  <c r="S26" i="36"/>
  <c r="H35" i="34"/>
  <c r="U35" i="34"/>
  <c r="F41" i="34"/>
  <c r="S41" i="34"/>
  <c r="H41" i="34"/>
  <c r="U41" i="34"/>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AA41" i="34"/>
  <c r="H19" i="37"/>
  <c r="AB19" i="37"/>
  <c r="G123" i="33"/>
  <c r="H123" i="33" s="1"/>
  <c r="I123" i="33" s="1"/>
  <c r="J123" i="33" s="1"/>
  <c r="K123" i="33" s="1"/>
  <c r="L123" i="33" s="1"/>
  <c r="M123" i="33" s="1"/>
  <c r="H42" i="33"/>
  <c r="AB42" i="33"/>
  <c r="J43" i="33"/>
  <c r="AC43" i="33" s="1"/>
  <c r="U43" i="33"/>
  <c r="S28" i="31"/>
  <c r="S27" i="31"/>
  <c r="S26" i="31"/>
  <c r="U14" i="40"/>
  <c r="U35" i="35"/>
  <c r="AA12" i="35"/>
  <c r="W14" i="37"/>
  <c r="U33" i="37"/>
  <c r="U39" i="37"/>
  <c r="W47" i="34"/>
  <c r="AB13" i="34"/>
  <c r="AC36"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c r="F36" i="35"/>
  <c r="S36" i="35"/>
  <c r="J9" i="37"/>
  <c r="W9" i="37" s="1"/>
  <c r="H9" i="37"/>
  <c r="U9" i="37" s="1"/>
  <c r="F9" i="37"/>
  <c r="S9" i="37" s="1"/>
  <c r="J12" i="37"/>
  <c r="H12" i="37"/>
  <c r="AB12" i="37" s="1"/>
  <c r="F12" i="37"/>
  <c r="S12" i="37" s="1"/>
  <c r="F15" i="37"/>
  <c r="E94" i="37"/>
  <c r="F31" i="37"/>
  <c r="S31" i="37"/>
  <c r="J42" i="39"/>
  <c r="AC42" i="39" s="1"/>
  <c r="H21" i="40"/>
  <c r="AB21" i="40"/>
  <c r="F94" i="37"/>
  <c r="G94" i="37" s="1"/>
  <c r="H94" i="37"/>
  <c r="I94" i="37" s="1"/>
  <c r="J94" i="37" s="1"/>
  <c r="K94" i="37" s="1"/>
  <c r="L94" i="37" s="1"/>
  <c r="M94" i="37" s="1"/>
  <c r="H31" i="37"/>
  <c r="U31" i="37" s="1"/>
  <c r="F71" i="37"/>
  <c r="G71" i="37" s="1"/>
  <c r="J15" i="37"/>
  <c r="W15" i="37" s="1"/>
  <c r="AT6" i="3"/>
  <c r="AA25" i="21"/>
  <c r="H19" i="40"/>
  <c r="U19" i="40"/>
  <c r="F88" i="40"/>
  <c r="G88" i="40"/>
  <c r="F19" i="40"/>
  <c r="S19"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A118" i="9"/>
  <c r="A4" i="52"/>
  <c r="B41" i="72" s="1"/>
  <c r="J11" i="39"/>
  <c r="F11" i="39"/>
  <c r="AA11" i="39" s="1"/>
  <c r="S11" i="39"/>
  <c r="G4" i="4"/>
  <c r="I4" i="4"/>
  <c r="A2" i="9"/>
  <c r="F61" i="43"/>
  <c r="H64" i="43" s="1"/>
  <c r="AZ32" i="3"/>
  <c r="BL549" i="3"/>
  <c r="AZ502" i="3"/>
  <c r="AZ522" i="3"/>
  <c r="AZ546" i="3"/>
  <c r="G546" i="3"/>
  <c r="G524" i="3"/>
  <c r="G303" i="3"/>
  <c r="BL304" i="3"/>
  <c r="G305" i="3"/>
  <c r="BL306" i="3"/>
  <c r="BA308" i="3"/>
  <c r="AZ308" i="3"/>
  <c r="BA309" i="3"/>
  <c r="BL309" i="3"/>
  <c r="AZ309" i="3" s="1"/>
  <c r="G310" i="3"/>
  <c r="BA311" i="3"/>
  <c r="G319" i="3"/>
  <c r="BL320" i="3"/>
  <c r="AZ320" i="3" s="1"/>
  <c r="G321" i="3"/>
  <c r="BL322" i="3"/>
  <c r="BA324" i="3"/>
  <c r="AZ324" i="3"/>
  <c r="BA325" i="3"/>
  <c r="BL325" i="3"/>
  <c r="AZ325" i="3" s="1"/>
  <c r="G326" i="3"/>
  <c r="BA327" i="3"/>
  <c r="AZ327" i="3" s="1"/>
  <c r="G335" i="3"/>
  <c r="BL336" i="3"/>
  <c r="G337" i="3"/>
  <c r="BL338" i="3"/>
  <c r="BA340" i="3"/>
  <c r="AZ340" i="3"/>
  <c r="BA341" i="3"/>
  <c r="BL341" i="3"/>
  <c r="AZ341" i="3" s="1"/>
  <c r="BA343" i="3"/>
  <c r="BA345" i="3"/>
  <c r="AZ345" i="3" s="1"/>
  <c r="BL355" i="3"/>
  <c r="G356" i="3"/>
  <c r="BL357" i="3"/>
  <c r="BA359" i="3"/>
  <c r="AZ359" i="3" s="1"/>
  <c r="BA360" i="3"/>
  <c r="BL360" i="3"/>
  <c r="G361" i="3"/>
  <c r="BA362" i="3"/>
  <c r="G370" i="3"/>
  <c r="BL371" i="3"/>
  <c r="G372" i="3"/>
  <c r="BL373" i="3"/>
  <c r="BA375" i="3"/>
  <c r="AZ375" i="3"/>
  <c r="BA376" i="3"/>
  <c r="BL376" i="3"/>
  <c r="G377" i="3"/>
  <c r="BA378" i="3"/>
  <c r="BL378" i="3"/>
  <c r="G379" i="3"/>
  <c r="BA380" i="3"/>
  <c r="AZ380" i="3" s="1"/>
  <c r="G388" i="3"/>
  <c r="BL389" i="3"/>
  <c r="G390" i="3"/>
  <c r="BL391" i="3"/>
  <c r="AZ391" i="3" s="1"/>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43" i="3"/>
  <c r="AZ47" i="3"/>
  <c r="AZ51" i="3"/>
  <c r="AZ55" i="3"/>
  <c r="AZ59" i="3"/>
  <c r="AZ63" i="3"/>
  <c r="AZ67" i="3"/>
  <c r="AZ71" i="3"/>
  <c r="AZ75" i="3"/>
  <c r="AZ79" i="3"/>
  <c r="AZ83" i="3"/>
  <c r="AZ136" i="3"/>
  <c r="AZ152" i="3"/>
  <c r="AZ160" i="3"/>
  <c r="AZ168" i="3"/>
  <c r="AZ184" i="3"/>
  <c r="AZ192" i="3"/>
  <c r="AZ200" i="3"/>
  <c r="AZ85" i="3"/>
  <c r="AZ89" i="3"/>
  <c r="AZ93" i="3"/>
  <c r="AZ97" i="3"/>
  <c r="AZ101" i="3"/>
  <c r="AZ105" i="3"/>
  <c r="AZ109" i="3"/>
  <c r="AZ120" i="3"/>
  <c r="AZ128" i="3"/>
  <c r="G534" i="3"/>
  <c r="G530" i="3"/>
  <c r="G516" i="3"/>
  <c r="G506" i="3"/>
  <c r="G494" i="3"/>
  <c r="G16" i="3"/>
  <c r="G15" i="3"/>
  <c r="BA304" i="3"/>
  <c r="AZ304" i="3"/>
  <c r="BA305" i="3"/>
  <c r="AZ305" i="3"/>
  <c r="BL305" i="3"/>
  <c r="G306" i="3"/>
  <c r="G309" i="3"/>
  <c r="BL310" i="3"/>
  <c r="BA312" i="3"/>
  <c r="AZ312" i="3"/>
  <c r="BA313" i="3"/>
  <c r="BL313" i="3"/>
  <c r="AZ313" i="3" s="1"/>
  <c r="G314" i="3"/>
  <c r="G317" i="3"/>
  <c r="BL318" i="3"/>
  <c r="BA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AZ382" i="3" s="1"/>
  <c r="BL382" i="3"/>
  <c r="G383" i="3"/>
  <c r="G386" i="3"/>
  <c r="BL387" i="3"/>
  <c r="AZ387" i="3" s="1"/>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BL339" i="3"/>
  <c r="AZ339" i="3" s="1"/>
  <c r="G340" i="3"/>
  <c r="BL343" i="3"/>
  <c r="G344" i="3"/>
  <c r="G348" i="3"/>
  <c r="G355" i="3"/>
  <c r="AZ209" i="3"/>
  <c r="AZ214" i="3"/>
  <c r="AZ218" i="3"/>
  <c r="AZ222" i="3"/>
  <c r="AZ319" i="3"/>
  <c r="G342" i="3"/>
  <c r="BL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BL388" i="3"/>
  <c r="G389" i="3"/>
  <c r="BA391" i="3"/>
  <c r="BL392" i="3"/>
  <c r="G393" i="3"/>
  <c r="AZ263" i="3"/>
  <c r="AZ275" i="3"/>
  <c r="AZ279" i="3"/>
  <c r="AZ283" i="3"/>
  <c r="AZ287" i="3"/>
  <c r="AZ291" i="3"/>
  <c r="AZ295" i="3"/>
  <c r="AZ299" i="3"/>
  <c r="BM5" i="3"/>
  <c r="BH5" i="3"/>
  <c r="BD5" i="3"/>
  <c r="AZ317" i="3"/>
  <c r="AZ333" i="3"/>
  <c r="AZ549" i="3"/>
  <c r="G548" i="3"/>
  <c r="G538" i="3"/>
  <c r="G502" i="3"/>
  <c r="BP5" i="3"/>
  <c r="AZ343" i="3"/>
  <c r="BI5" i="3"/>
  <c r="BE5" i="3"/>
  <c r="G17" i="3"/>
  <c r="BA17" i="3"/>
  <c r="BT5" i="3"/>
  <c r="AZ350" i="3"/>
  <c r="AZ352" i="3"/>
  <c r="AZ360" i="3"/>
  <c r="AZ368" i="3"/>
  <c r="BA15" i="3"/>
  <c r="AZ15" i="3" s="1"/>
  <c r="BR5" i="3"/>
  <c r="AZ384" i="3"/>
  <c r="AZ388" i="3"/>
  <c r="AZ392" i="3"/>
  <c r="AZ396" i="3"/>
  <c r="G509" i="3"/>
  <c r="BL493" i="3"/>
  <c r="AZ491" i="3"/>
  <c r="AZ376" i="3"/>
  <c r="U36" i="40"/>
  <c r="F83" i="43"/>
  <c r="H85" i="43" s="1"/>
  <c r="F50" i="43"/>
  <c r="H54" i="43" s="1"/>
  <c r="F72" i="43"/>
  <c r="H75" i="43" s="1"/>
  <c r="U17" i="39"/>
  <c r="S14" i="35"/>
  <c r="U43" i="21"/>
  <c r="U35" i="21"/>
  <c r="AC35" i="21"/>
  <c r="G8" i="1"/>
  <c r="G10" i="1"/>
  <c r="W37" i="37"/>
  <c r="AC44" i="34"/>
  <c r="U13" i="37"/>
  <c r="AA12" i="40"/>
  <c r="J37" i="33"/>
  <c r="W37" i="33"/>
  <c r="AC17" i="34"/>
  <c r="F106" i="33"/>
  <c r="G106" i="33" s="1"/>
  <c r="H106" i="33"/>
  <c r="I106" i="33" s="1"/>
  <c r="J106" i="33" s="1"/>
  <c r="K106" i="33" s="1"/>
  <c r="L106" i="33" s="1"/>
  <c r="M106" i="33" s="1"/>
  <c r="J34" i="33"/>
  <c r="F33" i="34"/>
  <c r="S33" i="34" s="1"/>
  <c r="H20" i="36"/>
  <c r="U20" i="36" s="1"/>
  <c r="J20" i="36"/>
  <c r="W20" i="36" s="1"/>
  <c r="J27" i="36"/>
  <c r="W27" i="36" s="1"/>
  <c r="F111" i="40"/>
  <c r="G111" i="40" s="1"/>
  <c r="H111" i="40" s="1"/>
  <c r="I111" i="40" s="1"/>
  <c r="J111" i="40" s="1"/>
  <c r="K111" i="40" s="1"/>
  <c r="L111" i="40" s="1"/>
  <c r="M111" i="40" s="1"/>
  <c r="H35" i="40"/>
  <c r="AB35" i="40" s="1"/>
  <c r="AC29" i="35"/>
  <c r="H35" i="37"/>
  <c r="U35" i="37" s="1"/>
  <c r="AC14" i="35"/>
  <c r="H20" i="35"/>
  <c r="U20" i="35"/>
  <c r="F20" i="35"/>
  <c r="AA20" i="35"/>
  <c r="AB29" i="36"/>
  <c r="H32" i="37"/>
  <c r="AB32" i="37" s="1"/>
  <c r="F96" i="37"/>
  <c r="G96" i="37" s="1"/>
  <c r="H96" i="37" s="1"/>
  <c r="I96" i="37" s="1"/>
  <c r="J96" i="37" s="1"/>
  <c r="K96" i="37" s="1"/>
  <c r="L96" i="37" s="1"/>
  <c r="M96" i="37" s="1"/>
  <c r="H27" i="40"/>
  <c r="U27" i="40"/>
  <c r="J27" i="40"/>
  <c r="AC27" i="40"/>
  <c r="F27" i="40"/>
  <c r="S27" i="40"/>
  <c r="J30" i="40"/>
  <c r="AC30" i="40"/>
  <c r="F30" i="40"/>
  <c r="AA30" i="40"/>
  <c r="E98" i="40"/>
  <c r="F98" i="40" s="1"/>
  <c r="G98" i="40" s="1"/>
  <c r="H98" i="40" s="1"/>
  <c r="I98" i="40" s="1"/>
  <c r="J98" i="40" s="1"/>
  <c r="K98" i="40" s="1"/>
  <c r="L98" i="40" s="1"/>
  <c r="M98" i="40" s="1"/>
  <c r="F10" i="33"/>
  <c r="S10" i="33" s="1"/>
  <c r="F34" i="33"/>
  <c r="S34" i="33" s="1"/>
  <c r="H34" i="33"/>
  <c r="U34" i="33" s="1"/>
  <c r="F35" i="33"/>
  <c r="S35" i="33" s="1"/>
  <c r="F39" i="34"/>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AC26" i="33"/>
  <c r="AB34" i="36"/>
  <c r="AB33" i="36"/>
  <c r="AC12" i="39"/>
  <c r="W12" i="39"/>
  <c r="AZ401" i="3"/>
  <c r="AZ412" i="3"/>
  <c r="AZ417" i="3"/>
  <c r="AZ428" i="3"/>
  <c r="AZ433" i="3"/>
  <c r="AZ465" i="3"/>
  <c r="W12" i="33"/>
  <c r="AC12" i="33"/>
  <c r="S32" i="36"/>
  <c r="AZ408" i="3"/>
  <c r="AZ437" i="3"/>
  <c r="AZ441" i="3"/>
  <c r="AZ457" i="3"/>
  <c r="AZ473" i="3"/>
  <c r="AZ490" i="3"/>
  <c r="BL14" i="3"/>
  <c r="AZ266" i="3"/>
  <c r="AC13" i="34"/>
  <c r="AA47" i="34"/>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B12" i="1"/>
  <c r="E12" i="1" s="1"/>
  <c r="B10" i="1"/>
  <c r="E10" i="1" s="1"/>
  <c r="AZ80" i="3"/>
  <c r="AZ84" i="3"/>
  <c r="AZ88" i="3"/>
  <c r="AZ107" i="3"/>
  <c r="AZ111" i="3"/>
  <c r="K12" i="1"/>
  <c r="M12" i="1" s="1"/>
  <c r="S13" i="1"/>
  <c r="AR13" i="1" s="1"/>
  <c r="R13" i="1"/>
  <c r="J51" i="67"/>
  <c r="C42" i="1"/>
  <c r="AA34" i="33"/>
  <c r="B41" i="1"/>
  <c r="F48" i="9" s="1"/>
  <c r="O52" i="9" s="1"/>
  <c r="AB37" i="40"/>
  <c r="S35" i="40"/>
  <c r="U35" i="40"/>
  <c r="S17"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S9" i="39"/>
  <c r="U14" i="39"/>
  <c r="AC13" i="39"/>
  <c r="U12" i="39"/>
  <c r="S23" i="36"/>
  <c r="U13" i="36"/>
  <c r="U26" i="36"/>
  <c r="S33" i="36"/>
  <c r="AA26" i="36"/>
  <c r="AA34" i="36"/>
  <c r="AC26" i="36"/>
  <c r="AA22" i="36"/>
  <c r="W14" i="36"/>
  <c r="AB14" i="36"/>
  <c r="U22" i="36"/>
  <c r="S16" i="36"/>
  <c r="AA25"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U32" i="37"/>
  <c r="AC35" i="37"/>
  <c r="W39" i="37"/>
  <c r="S30" i="37"/>
  <c r="S37" i="37"/>
  <c r="AC15" i="37"/>
  <c r="J17" i="37"/>
  <c r="W17" i="37" s="1"/>
  <c r="G73" i="37"/>
  <c r="F17" i="37"/>
  <c r="AA17" i="37"/>
  <c r="AB17" i="37"/>
  <c r="F75" i="37"/>
  <c r="F19" i="37"/>
  <c r="F79" i="37"/>
  <c r="G79" i="37" s="1"/>
  <c r="F23" i="37"/>
  <c r="S23" i="37"/>
  <c r="U23" i="37"/>
  <c r="U15" i="37"/>
  <c r="AC13" i="37"/>
  <c r="AA13" i="37"/>
  <c r="H10" i="37"/>
  <c r="AB10" i="37" s="1"/>
  <c r="F63" i="37"/>
  <c r="G63" i="37" s="1"/>
  <c r="H63" i="37" s="1"/>
  <c r="I63" i="37" s="1"/>
  <c r="J63" i="37" s="1"/>
  <c r="K63" i="37" s="1"/>
  <c r="L63" i="37" s="1"/>
  <c r="M63" i="37" s="1"/>
  <c r="F11" i="37"/>
  <c r="S11" i="37" s="1"/>
  <c r="W25" i="34"/>
  <c r="AB8" i="34"/>
  <c r="U44" i="34"/>
  <c r="U43" i="34"/>
  <c r="AC39" i="34"/>
  <c r="W41" i="34"/>
  <c r="AC42" i="34"/>
  <c r="AB35" i="34"/>
  <c r="U39" i="34"/>
  <c r="AB41" i="34"/>
  <c r="AA45" i="34"/>
  <c r="AA25" i="34"/>
  <c r="U28" i="34"/>
  <c r="S17" i="34"/>
  <c r="AA29"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F85" i="21" s="1"/>
  <c r="G85" i="21" s="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S37" i="40"/>
  <c r="AB28" i="40"/>
  <c r="W28" i="40"/>
  <c r="W34" i="40"/>
  <c r="W19" i="40"/>
  <c r="W27" i="40"/>
  <c r="S36" i="40"/>
  <c r="W37"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9" i="36"/>
  <c r="W22" i="36"/>
  <c r="W23" i="36"/>
  <c r="S9" i="36"/>
  <c r="AB20" i="35"/>
  <c r="AC25" i="35"/>
  <c r="U25" i="35"/>
  <c r="S24" i="35"/>
  <c r="U24" i="35"/>
  <c r="S35" i="35"/>
  <c r="W35" i="35"/>
  <c r="AA16" i="35"/>
  <c r="AA35" i="37"/>
  <c r="W36" i="37"/>
  <c r="S27" i="37"/>
  <c r="W32" i="37"/>
  <c r="U36" i="37"/>
  <c r="S40"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I101" i="21"/>
  <c r="J101" i="21"/>
  <c r="K101" i="21" s="1"/>
  <c r="L101" i="21" s="1"/>
  <c r="M101" i="21" s="1"/>
  <c r="F33" i="21"/>
  <c r="AA33" i="21" s="1"/>
  <c r="J33" i="21"/>
  <c r="AC33" i="21" s="1"/>
  <c r="H33" i="21"/>
  <c r="AB33" i="21" s="1"/>
  <c r="F37" i="21"/>
  <c r="AA37" i="21"/>
  <c r="AA26" i="21"/>
  <c r="AB46" i="21"/>
  <c r="U40" i="21"/>
  <c r="U13" i="21"/>
  <c r="AB13" i="21"/>
  <c r="S35" i="21"/>
  <c r="J37" i="21"/>
  <c r="W37" i="21" s="1"/>
  <c r="H15" i="21"/>
  <c r="U15" i="21" s="1"/>
  <c r="J17" i="21"/>
  <c r="AC17" i="21" s="1"/>
  <c r="AC19" i="21"/>
  <c r="W39" i="21"/>
  <c r="S46" i="21"/>
  <c r="H45" i="21"/>
  <c r="U45" i="21"/>
  <c r="F29" i="21"/>
  <c r="S29" i="21"/>
  <c r="F13" i="21"/>
  <c r="AA13" i="21"/>
  <c r="AC38" i="21"/>
  <c r="H32" i="21"/>
  <c r="AB32" i="21" s="1"/>
  <c r="H9" i="21"/>
  <c r="J9" i="21"/>
  <c r="W9" i="21" s="1"/>
  <c r="J32" i="21"/>
  <c r="W32" i="21" s="1"/>
  <c r="F32" i="21"/>
  <c r="AA32" i="21" s="1"/>
  <c r="U17" i="21"/>
  <c r="W29" i="21"/>
  <c r="S19" i="21"/>
  <c r="S9" i="21"/>
  <c r="AA9" i="21"/>
  <c r="K141" i="21"/>
  <c r="K144" i="21"/>
  <c r="K143" i="21"/>
  <c r="U27" i="21"/>
  <c r="AB25" i="21"/>
  <c r="AB44" i="21"/>
  <c r="W13" i="21"/>
  <c r="W42" i="21"/>
  <c r="F10" i="21"/>
  <c r="AA10" i="21" s="1"/>
  <c r="K145" i="21"/>
  <c r="W25" i="21"/>
  <c r="AA29" i="21"/>
  <c r="S27" i="21"/>
  <c r="S17" i="21"/>
  <c r="AA15" i="21"/>
  <c r="AC2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S21" i="39"/>
  <c r="S17" i="37"/>
  <c r="J19" i="37"/>
  <c r="G75" i="37"/>
  <c r="S19" i="37"/>
  <c r="AA19" i="37"/>
  <c r="AA23" i="37"/>
  <c r="J23" i="37"/>
  <c r="W23" i="37" s="1"/>
  <c r="J10" i="37"/>
  <c r="W10" i="37" s="1"/>
  <c r="H11" i="37"/>
  <c r="AB11" i="37" s="1"/>
  <c r="H11" i="34"/>
  <c r="U11" i="34" s="1"/>
  <c r="J10" i="34"/>
  <c r="AC10" i="34" s="1"/>
  <c r="AB41" i="33"/>
  <c r="W35" i="33"/>
  <c r="H111" i="33"/>
  <c r="I111" i="33" s="1"/>
  <c r="J111" i="33" s="1"/>
  <c r="K111" i="33" s="1"/>
  <c r="L111" i="33" s="1"/>
  <c r="M111" i="33" s="1"/>
  <c r="J36" i="33"/>
  <c r="W36" i="33" s="1"/>
  <c r="H36" i="33"/>
  <c r="U36" i="33" s="1"/>
  <c r="S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S37" i="21"/>
  <c r="AA23" i="21"/>
  <c r="J23" i="21"/>
  <c r="W23" i="21" s="1"/>
  <c r="H23" i="21"/>
  <c r="S13" i="21"/>
  <c r="AP7" i="1"/>
  <c r="AB45" i="21"/>
  <c r="AB9" i="21"/>
  <c r="U9" i="21"/>
  <c r="S32" i="21"/>
  <c r="AC9" i="21"/>
  <c r="U32" i="21"/>
  <c r="U32" i="39"/>
  <c r="AC32" i="39"/>
  <c r="W32" i="39"/>
  <c r="W19" i="37"/>
  <c r="AC19" i="37"/>
  <c r="AC23" i="37"/>
  <c r="J11" i="37"/>
  <c r="AC11" i="37" s="1"/>
  <c r="J11" i="34"/>
  <c r="W11" i="34" s="1"/>
  <c r="AB36" i="33"/>
  <c r="W27" i="33"/>
  <c r="W25" i="33"/>
  <c r="AA23" i="33"/>
  <c r="S23" i="33"/>
  <c r="AB19" i="33"/>
  <c r="AA17" i="33"/>
  <c r="U17" i="33"/>
  <c r="AB17" i="33"/>
  <c r="U23" i="21"/>
  <c r="AB23" i="21"/>
  <c r="AC23" i="21"/>
  <c r="H109" i="9"/>
  <c r="H111" i="9"/>
  <c r="D126" i="9" s="1"/>
  <c r="AD3" i="71"/>
  <c r="J1" i="73"/>
  <c r="H69" i="43"/>
  <c r="H50" i="43"/>
  <c r="C24" i="12"/>
  <c r="C22" i="71"/>
  <c r="D22" i="71"/>
  <c r="D23" i="71"/>
  <c r="D24" i="71"/>
  <c r="U24" i="71" s="1"/>
  <c r="T24" i="71"/>
  <c r="AB22" i="71"/>
  <c r="X20" i="71"/>
  <c r="X19" i="71"/>
  <c r="AA20" i="71"/>
  <c r="AA19" i="71"/>
  <c r="X23" i="71"/>
  <c r="Y19" i="71"/>
  <c r="Z19" i="71" s="1"/>
  <c r="AB20" i="71"/>
  <c r="AB19" i="71"/>
  <c r="F21" i="71"/>
  <c r="F20" i="71"/>
  <c r="F19" i="71" s="1"/>
  <c r="F18" i="71" s="1"/>
  <c r="F17" i="71" s="1"/>
  <c r="Y20" i="71"/>
  <c r="Z20" i="71" s="1"/>
  <c r="X3" i="71"/>
  <c r="C21" i="71"/>
  <c r="C20" i="71"/>
  <c r="C19" i="71" s="1"/>
  <c r="C18" i="71" s="1"/>
  <c r="C17" i="71" s="1"/>
  <c r="D21" i="71"/>
  <c r="D18" i="71"/>
  <c r="T20" i="71"/>
  <c r="D19" i="71"/>
  <c r="D20" i="71"/>
  <c r="U20" i="71" s="1"/>
  <c r="D5" i="73"/>
  <c r="F7" i="15"/>
  <c r="F3" i="73"/>
  <c r="B7" i="76"/>
  <c r="F40" i="67"/>
  <c r="F6" i="15"/>
  <c r="D7" i="73"/>
  <c r="D4" i="73"/>
  <c r="M8" i="67"/>
  <c r="B10" i="76"/>
  <c r="E8" i="76"/>
  <c r="F4" i="73"/>
  <c r="E12" i="76"/>
  <c r="F40" i="15"/>
  <c r="L48" i="15"/>
  <c r="E10" i="76"/>
  <c r="E2" i="69"/>
  <c r="F37" i="67"/>
  <c r="B13" i="76"/>
  <c r="F9" i="67"/>
  <c r="F20" i="31"/>
  <c r="F7" i="73"/>
  <c r="B9" i="76"/>
  <c r="E2" i="68"/>
  <c r="F16" i="15"/>
  <c r="F26" i="15"/>
  <c r="M6" i="67"/>
  <c r="F5" i="73"/>
  <c r="B12" i="76"/>
  <c r="B8" i="76"/>
  <c r="M22" i="67"/>
  <c r="F9" i="15"/>
  <c r="C76" i="15"/>
  <c r="F6" i="67"/>
  <c r="D3" i="73"/>
  <c r="E11" i="76"/>
  <c r="B11" i="76"/>
  <c r="J15" i="15"/>
  <c r="M6" i="15"/>
  <c r="AO13" i="1"/>
  <c r="E9" i="76"/>
  <c r="E7" i="76"/>
  <c r="D34" i="9"/>
  <c r="E13" i="76"/>
  <c r="D6" i="73"/>
  <c r="M26" i="67"/>
  <c r="F43" i="67"/>
  <c r="F6" i="73"/>
  <c r="F8" i="67"/>
  <c r="D35" i="9"/>
  <c r="M28" i="15"/>
  <c r="M28" i="67"/>
  <c r="M29" i="67"/>
  <c r="U34" i="40" l="1"/>
  <c r="U13" i="40"/>
  <c r="AB13" i="40"/>
  <c r="F13" i="40"/>
  <c r="W33" i="40"/>
  <c r="AC33" i="40"/>
  <c r="AB31" i="40"/>
  <c r="F32" i="40"/>
  <c r="F33" i="40"/>
  <c r="W31" i="40"/>
  <c r="F30" i="69"/>
  <c r="F48" i="69" s="1"/>
  <c r="D68" i="9"/>
  <c r="F31" i="12"/>
  <c r="M18" i="15"/>
  <c r="M18" i="67"/>
  <c r="F30" i="11"/>
  <c r="C48" i="11" s="1"/>
  <c r="F54" i="9"/>
  <c r="F28" i="15"/>
  <c r="F32" i="15"/>
  <c r="F60" i="15" s="1"/>
  <c r="F32" i="67"/>
  <c r="F60" i="67" s="1"/>
  <c r="F52" i="9"/>
  <c r="F28" i="67"/>
  <c r="C28" i="67" s="1"/>
  <c r="F30" i="68"/>
  <c r="F48" i="68" s="1"/>
  <c r="C21" i="68"/>
  <c r="C40" i="69"/>
  <c r="BL18" i="3"/>
  <c r="BL20" i="3"/>
  <c r="AZ20" i="3" s="1"/>
  <c r="BL23" i="3"/>
  <c r="BA25" i="3"/>
  <c r="AZ25" i="3" s="1"/>
  <c r="BA26" i="3"/>
  <c r="AZ26" i="3" s="1"/>
  <c r="BA27" i="3"/>
  <c r="BL27" i="3"/>
  <c r="BA29" i="3"/>
  <c r="AZ29" i="3" s="1"/>
  <c r="BL29" i="3"/>
  <c r="BL35" i="3"/>
  <c r="AZ35" i="3" s="1"/>
  <c r="BL38" i="3"/>
  <c r="BA40" i="3"/>
  <c r="AZ40" i="3" s="1"/>
  <c r="BA41" i="3"/>
  <c r="AZ41" i="3" s="1"/>
  <c r="BL16" i="3"/>
  <c r="AZ16" i="3" s="1"/>
  <c r="AZ38" i="3"/>
  <c r="G5" i="3"/>
  <c r="B3" i="3" s="1"/>
  <c r="E102" i="3" s="1"/>
  <c r="H112" i="9"/>
  <c r="D21" i="53" s="1"/>
  <c r="B39" i="72" s="1"/>
  <c r="B19" i="53"/>
  <c r="B37" i="72" s="1"/>
  <c r="D17" i="71"/>
  <c r="C16" i="71"/>
  <c r="D19" i="53"/>
  <c r="B38" i="72" s="1"/>
  <c r="D16" i="53"/>
  <c r="B34" i="72" s="1"/>
  <c r="D6" i="52"/>
  <c r="AB15" i="21"/>
  <c r="AC17" i="37"/>
  <c r="W17" i="21"/>
  <c r="AC15" i="21"/>
  <c r="S20" i="36"/>
  <c r="S43" i="34"/>
  <c r="AA33" i="34"/>
  <c r="S39" i="34"/>
  <c r="AA39" i="34"/>
  <c r="W34" i="33"/>
  <c r="AC34" i="33"/>
  <c r="G28" i="6"/>
  <c r="AZ338" i="3"/>
  <c r="AZ351" i="3"/>
  <c r="AZ378" i="3"/>
  <c r="W12" i="37"/>
  <c r="AC12" i="37"/>
  <c r="W15" i="34"/>
  <c r="AC28" i="34"/>
  <c r="AZ515" i="3"/>
  <c r="AZ565" i="3"/>
  <c r="AZ498" i="3"/>
  <c r="AZ520" i="3"/>
  <c r="AB26" i="33"/>
  <c r="U33" i="40"/>
  <c r="AB33" i="40"/>
  <c r="AB30" i="33"/>
  <c r="U30" i="33"/>
  <c r="W11" i="35"/>
  <c r="AC11" i="35"/>
  <c r="AA21" i="40"/>
  <c r="S21" i="40"/>
  <c r="AA11" i="40"/>
  <c r="S11" i="40"/>
  <c r="BL586" i="3"/>
  <c r="BA586" i="3"/>
  <c r="AZ586" i="3" s="1"/>
  <c r="J14" i="21"/>
  <c r="F14" i="21"/>
  <c r="H14" i="21"/>
  <c r="H30" i="21"/>
  <c r="F30" i="21"/>
  <c r="J30" i="21"/>
  <c r="J45" i="21"/>
  <c r="F45" i="21"/>
  <c r="J9" i="33"/>
  <c r="AB35" i="33"/>
  <c r="U35" i="33"/>
  <c r="J27" i="34"/>
  <c r="F27" i="34"/>
  <c r="H27" i="34"/>
  <c r="AC31" i="37"/>
  <c r="W31" i="37"/>
  <c r="AB14" i="37"/>
  <c r="U14" i="37"/>
  <c r="U27" i="37"/>
  <c r="AB27" i="37"/>
  <c r="F28" i="37"/>
  <c r="J28" i="37"/>
  <c r="H28" i="37"/>
  <c r="H38" i="37"/>
  <c r="J38" i="37"/>
  <c r="F38" i="37"/>
  <c r="W11" i="39"/>
  <c r="AC11" i="39"/>
  <c r="AA15" i="37"/>
  <c r="S15" i="37"/>
  <c r="W36" i="40"/>
  <c r="AC36" i="40"/>
  <c r="S32" i="40"/>
  <c r="AA32" i="40"/>
  <c r="AZ493" i="3"/>
  <c r="AZ511" i="3"/>
  <c r="AZ519" i="3"/>
  <c r="AZ569" i="3"/>
  <c r="AZ573" i="3"/>
  <c r="AZ577" i="3"/>
  <c r="AZ508" i="3"/>
  <c r="AC35" i="40"/>
  <c r="W35" i="40"/>
  <c r="AB12" i="40"/>
  <c r="U12" i="40"/>
  <c r="AA23" i="40"/>
  <c r="S23" i="40"/>
  <c r="W21" i="40"/>
  <c r="AC21" i="40"/>
  <c r="AA26" i="33"/>
  <c r="S26" i="33"/>
  <c r="BL585" i="3"/>
  <c r="AZ585" i="3" s="1"/>
  <c r="H28" i="21"/>
  <c r="F28" i="21"/>
  <c r="J28" i="21"/>
  <c r="H31" i="21"/>
  <c r="J31" i="21"/>
  <c r="F31" i="21"/>
  <c r="AC33" i="33"/>
  <c r="W33" i="33"/>
  <c r="W12" i="34"/>
  <c r="AC12" i="34"/>
  <c r="AB34" i="35"/>
  <c r="U34" i="35"/>
  <c r="H23" i="35"/>
  <c r="J23" i="35"/>
  <c r="F23" i="35"/>
  <c r="AB9" i="36"/>
  <c r="U9" i="36"/>
  <c r="J12" i="36"/>
  <c r="H12" i="36"/>
  <c r="J24" i="36"/>
  <c r="H24" i="36"/>
  <c r="F24" i="36"/>
  <c r="AB31" i="36"/>
  <c r="U31" i="36"/>
  <c r="H25" i="37"/>
  <c r="J25" i="37"/>
  <c r="F25" i="37"/>
  <c r="BL581" i="3"/>
  <c r="AZ581" i="3" s="1"/>
  <c r="BL579" i="3"/>
  <c r="AZ579" i="3" s="1"/>
  <c r="BL567" i="3"/>
  <c r="AZ567" i="3" s="1"/>
  <c r="BL563" i="3"/>
  <c r="AZ563" i="3" s="1"/>
  <c r="BL555" i="3"/>
  <c r="AZ555" i="3" s="1"/>
  <c r="AZ553" i="3"/>
  <c r="BL551" i="3"/>
  <c r="BL525" i="3"/>
  <c r="AZ525" i="3" s="1"/>
  <c r="AZ523" i="3"/>
  <c r="BL521" i="3"/>
  <c r="AZ521" i="3" s="1"/>
  <c r="BL517" i="3"/>
  <c r="AZ517" i="3" s="1"/>
  <c r="AZ514" i="3"/>
  <c r="BL513" i="3"/>
  <c r="AZ513" i="3" s="1"/>
  <c r="BG5" i="3"/>
  <c r="BK5" i="3"/>
  <c r="BS5" i="3"/>
  <c r="F28" i="6" s="1"/>
  <c r="BL509" i="3"/>
  <c r="AZ509" i="3" s="1"/>
  <c r="BJ5" i="3"/>
  <c r="BF5" i="3"/>
  <c r="AZ507" i="3"/>
  <c r="AZ506" i="3"/>
  <c r="BL505" i="3"/>
  <c r="AZ505" i="3" s="1"/>
  <c r="BO5" i="3"/>
  <c r="F29" i="6" s="1"/>
  <c r="AZ503" i="3"/>
  <c r="BL501" i="3"/>
  <c r="AZ501" i="3" s="1"/>
  <c r="AZ500" i="3"/>
  <c r="BL499" i="3"/>
  <c r="AZ499" i="3"/>
  <c r="BL497" i="3"/>
  <c r="AZ497" i="3" s="1"/>
  <c r="BL495" i="3"/>
  <c r="AZ495" i="3" s="1"/>
  <c r="AZ494" i="3"/>
  <c r="BB5" i="3"/>
  <c r="BC5" i="3"/>
  <c r="BN5" i="3"/>
  <c r="G29" i="6" s="1"/>
  <c r="G30" i="6" s="1"/>
  <c r="G31" i="6" s="1"/>
  <c r="AC5" i="3"/>
  <c r="H5" i="3"/>
  <c r="F12" i="39"/>
  <c r="F14" i="40"/>
  <c r="J14" i="40"/>
  <c r="W32" i="40"/>
  <c r="AB8" i="39"/>
  <c r="J31" i="39"/>
  <c r="F31" i="39"/>
  <c r="U31" i="35"/>
  <c r="J36" i="39"/>
  <c r="H36" i="39"/>
  <c r="J26" i="37"/>
  <c r="H26" i="37"/>
  <c r="F26" i="37"/>
  <c r="H44" i="39"/>
  <c r="F44" i="39"/>
  <c r="J39" i="40"/>
  <c r="H39" i="40"/>
  <c r="BA551" i="3"/>
  <c r="AZ551" i="3" s="1"/>
  <c r="F38" i="40"/>
  <c r="J38" i="40"/>
  <c r="H38" i="40"/>
  <c r="BL550" i="3"/>
  <c r="AZ550" i="3" s="1"/>
  <c r="AZ398" i="3"/>
  <c r="AZ405" i="3"/>
  <c r="AZ407" i="3"/>
  <c r="AZ410" i="3"/>
  <c r="AZ415" i="3"/>
  <c r="AZ420" i="3"/>
  <c r="AZ426" i="3"/>
  <c r="AZ431" i="3"/>
  <c r="A15" i="62"/>
  <c r="B61" i="72" s="1"/>
  <c r="AZ440" i="3"/>
  <c r="AZ442" i="3"/>
  <c r="AZ446" i="3"/>
  <c r="AZ450" i="3"/>
  <c r="AZ454" i="3"/>
  <c r="AZ466" i="3"/>
  <c r="AZ472" i="3"/>
  <c r="AZ475" i="3"/>
  <c r="AZ483" i="3"/>
  <c r="AZ489" i="3"/>
  <c r="AZ316" i="3"/>
  <c r="AZ332" i="3"/>
  <c r="AZ397" i="3"/>
  <c r="AZ212" i="3"/>
  <c r="AZ217" i="3"/>
  <c r="AZ220" i="3"/>
  <c r="AZ230" i="3"/>
  <c r="AZ242" i="3"/>
  <c r="AZ246" i="3"/>
  <c r="AZ258" i="3"/>
  <c r="AZ262" i="3"/>
  <c r="AZ267" i="3"/>
  <c r="AZ278" i="3"/>
  <c r="AZ284" i="3"/>
  <c r="AZ292" i="3"/>
  <c r="AZ302" i="3"/>
  <c r="AZ113" i="3"/>
  <c r="AZ126" i="3"/>
  <c r="AZ129" i="3"/>
  <c r="AZ141" i="3"/>
  <c r="AZ205" i="3"/>
  <c r="AZ18" i="3"/>
  <c r="AZ23" i="3"/>
  <c r="AZ27" i="3"/>
  <c r="AZ48" i="3"/>
  <c r="AZ60" i="3"/>
  <c r="AZ64" i="3"/>
  <c r="AZ78" i="3"/>
  <c r="AZ91" i="3"/>
  <c r="AZ100" i="3"/>
  <c r="T40" i="71"/>
  <c r="D40" i="71"/>
  <c r="D55" i="71"/>
  <c r="C56" i="71"/>
  <c r="D59" i="71"/>
  <c r="C60" i="71"/>
  <c r="C64" i="71"/>
  <c r="D63" i="71"/>
  <c r="AZ108" i="3"/>
  <c r="AB21" i="21"/>
  <c r="AC21" i="34"/>
  <c r="AB21" i="33"/>
  <c r="S21" i="37"/>
  <c r="T44" i="71"/>
  <c r="D44" i="71"/>
  <c r="T36" i="71"/>
  <c r="D36" i="71"/>
  <c r="D51" i="71"/>
  <c r="C52" i="71"/>
  <c r="S21" i="21"/>
  <c r="U18" i="36"/>
  <c r="S25" i="40"/>
  <c r="D27" i="71"/>
  <c r="C32" i="71"/>
  <c r="AA27" i="71"/>
  <c r="AB27" i="71"/>
  <c r="S28" i="71"/>
  <c r="C79" i="71"/>
  <c r="C71" i="71"/>
  <c r="X27" i="71"/>
  <c r="AA36" i="71"/>
  <c r="AA35" i="71"/>
  <c r="AB33" i="71"/>
  <c r="X32" i="71"/>
  <c r="X31" i="71"/>
  <c r="X30" i="71"/>
  <c r="E30" i="71"/>
  <c r="E31" i="71" s="1"/>
  <c r="E32" i="71" s="1"/>
  <c r="U32" i="71" s="1"/>
  <c r="AA29" i="71"/>
  <c r="AB30" i="71"/>
  <c r="AB9" i="71"/>
  <c r="AB39" i="71"/>
  <c r="X9" i="71"/>
  <c r="X39" i="71"/>
  <c r="S68" i="71"/>
  <c r="B67" i="71"/>
  <c r="AA24" i="71"/>
  <c r="E24" i="71"/>
  <c r="B24" i="71"/>
  <c r="X24" i="71"/>
  <c r="AA22" i="71"/>
  <c r="AA23" i="71"/>
  <c r="X21" i="71"/>
  <c r="X22" i="71"/>
  <c r="Y21" i="71"/>
  <c r="Z21" i="71" s="1"/>
  <c r="Y22" i="71"/>
  <c r="Z22" i="71" s="1"/>
  <c r="Y18" i="71"/>
  <c r="Z18" i="71" s="1"/>
  <c r="AA21" i="71"/>
  <c r="AB21" i="71"/>
  <c r="Y17" i="71"/>
  <c r="Z17" i="71" s="1"/>
  <c r="AB18" i="71"/>
  <c r="AB13" i="71"/>
  <c r="Y14" i="71"/>
  <c r="Z14" i="71" s="1"/>
  <c r="Y9" i="71"/>
  <c r="Z9" i="71" s="1"/>
  <c r="Y10" i="71"/>
  <c r="Z10" i="71" s="1"/>
  <c r="AA9" i="71"/>
  <c r="M56" i="9"/>
  <c r="K56" i="9"/>
  <c r="AB24" i="71"/>
  <c r="Y23" i="71"/>
  <c r="Z23" i="71" s="1"/>
  <c r="AB23" i="71"/>
  <c r="X18" i="71"/>
  <c r="AA18" i="71"/>
  <c r="Y13" i="71"/>
  <c r="Z13" i="71" s="1"/>
  <c r="AB15" i="71"/>
  <c r="AB14" i="71"/>
  <c r="AB10" i="71"/>
  <c r="AB11" i="71"/>
  <c r="X17" i="71"/>
  <c r="AA17" i="71"/>
  <c r="AB17" i="71"/>
  <c r="AB12" i="71"/>
  <c r="Y11" i="71"/>
  <c r="Z11" i="71" s="1"/>
  <c r="AA10" i="71"/>
  <c r="X11" i="71"/>
  <c r="X14" i="71"/>
  <c r="X15" i="71"/>
  <c r="AA15" i="71"/>
  <c r="AA11" i="71"/>
  <c r="AA12" i="71"/>
  <c r="AA14" i="71"/>
  <c r="X10" i="71"/>
  <c r="X12"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P11" i="1"/>
  <c r="E59" i="40"/>
  <c r="D9" i="11"/>
  <c r="C9" i="11"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D16" i="71"/>
  <c r="U16" i="71" s="1"/>
  <c r="F16" i="71"/>
  <c r="F15" i="71" s="1"/>
  <c r="F14" i="71" s="1"/>
  <c r="F13" i="71" s="1"/>
  <c r="F12" i="71" s="1"/>
  <c r="F11" i="71" s="1"/>
  <c r="F10" i="71" s="1"/>
  <c r="F9" i="71" s="1"/>
  <c r="F8" i="71" s="1"/>
  <c r="F7" i="71" s="1"/>
  <c r="F6" i="71" s="1"/>
  <c r="F5" i="71" s="1"/>
  <c r="AF3" i="71"/>
  <c r="P26" i="43" s="1"/>
  <c r="Q71" i="15"/>
  <c r="J57" i="15"/>
  <c r="J55" i="15" s="1"/>
  <c r="J58" i="15" s="1"/>
  <c r="Q50" i="15" s="1"/>
  <c r="I54" i="15"/>
  <c r="K1" i="73"/>
  <c r="B20" i="31"/>
  <c r="B21" i="31" s="1"/>
  <c r="I1" i="73"/>
  <c r="B39" i="1" s="1"/>
  <c r="F51" i="67"/>
  <c r="F65" i="67"/>
  <c r="M7" i="15"/>
  <c r="F50" i="15"/>
  <c r="F71" i="67"/>
  <c r="C27" i="15"/>
  <c r="B13" i="70"/>
  <c r="F68" i="67"/>
  <c r="F68" i="15"/>
  <c r="D9" i="69"/>
  <c r="F27" i="69"/>
  <c r="C36" i="69"/>
  <c r="D9" i="68"/>
  <c r="C13" i="12"/>
  <c r="F26" i="67"/>
  <c r="M23" i="67"/>
  <c r="M24" i="67"/>
  <c r="F37" i="15"/>
  <c r="L47" i="15"/>
  <c r="M24" i="15"/>
  <c r="F38" i="15"/>
  <c r="M23" i="15"/>
  <c r="F42" i="67"/>
  <c r="F16" i="67"/>
  <c r="J15" i="67"/>
  <c r="F36" i="67"/>
  <c r="F38" i="67"/>
  <c r="M22" i="15"/>
  <c r="M9" i="15"/>
  <c r="C16" i="15"/>
  <c r="F36" i="15"/>
  <c r="F7" i="67"/>
  <c r="G1" i="73"/>
  <c r="M9" i="67"/>
  <c r="F42" i="15"/>
  <c r="F13" i="67"/>
  <c r="L47" i="67"/>
  <c r="M8" i="15"/>
  <c r="D19" i="12"/>
  <c r="M29" i="15"/>
  <c r="L48" i="67"/>
  <c r="F43" i="15"/>
  <c r="F13" i="15"/>
  <c r="C76" i="67"/>
  <c r="M26" i="15"/>
  <c r="F8" i="15"/>
  <c r="AA13" i="40" l="1"/>
  <c r="S13" i="40"/>
  <c r="AA33" i="40"/>
  <c r="S33" i="40"/>
  <c r="C19" i="12"/>
  <c r="C30" i="68"/>
  <c r="E29" i="6"/>
  <c r="K15" i="1" s="1"/>
  <c r="E312" i="3"/>
  <c r="E582" i="3"/>
  <c r="E244" i="3"/>
  <c r="E464" i="3"/>
  <c r="E240" i="3"/>
  <c r="E167" i="3"/>
  <c r="E542" i="3"/>
  <c r="E459" i="3"/>
  <c r="E436" i="3"/>
  <c r="E142" i="3"/>
  <c r="E165" i="3"/>
  <c r="E149" i="3"/>
  <c r="E141" i="3"/>
  <c r="AD6" i="3"/>
  <c r="E552" i="3"/>
  <c r="E398" i="3"/>
  <c r="E566" i="3"/>
  <c r="E460" i="3"/>
  <c r="E57" i="3"/>
  <c r="E349" i="3"/>
  <c r="E222" i="3"/>
  <c r="E421" i="3"/>
  <c r="E487" i="3"/>
  <c r="E416" i="3"/>
  <c r="E374" i="3"/>
  <c r="E500" i="3"/>
  <c r="E413" i="3"/>
  <c r="E520" i="3"/>
  <c r="E39" i="3"/>
  <c r="E187" i="3"/>
  <c r="E259" i="3"/>
  <c r="E409" i="3"/>
  <c r="E23" i="3"/>
  <c r="E540" i="3"/>
  <c r="E539" i="3"/>
  <c r="E536" i="3"/>
  <c r="E148" i="3"/>
  <c r="E212" i="3"/>
  <c r="E199" i="3"/>
  <c r="E286" i="3"/>
  <c r="E575" i="3"/>
  <c r="E499" i="3"/>
  <c r="R6" i="3"/>
  <c r="E502" i="3"/>
  <c r="E442" i="3"/>
  <c r="E466" i="3"/>
  <c r="E541" i="3"/>
  <c r="E430" i="3"/>
  <c r="E449" i="3"/>
  <c r="E255" i="3"/>
  <c r="I3" i="6"/>
  <c r="AP6" i="3"/>
  <c r="E554" i="3"/>
  <c r="E517" i="3"/>
  <c r="E435" i="3"/>
  <c r="E491" i="3"/>
  <c r="E417" i="3"/>
  <c r="E479" i="3"/>
  <c r="E90" i="3"/>
  <c r="E131" i="3"/>
  <c r="E155" i="3"/>
  <c r="E297" i="3"/>
  <c r="E348" i="3"/>
  <c r="E544" i="3"/>
  <c r="E64" i="3"/>
  <c r="E300" i="3"/>
  <c r="E250" i="3"/>
  <c r="E564" i="3"/>
  <c r="E140" i="3"/>
  <c r="E56" i="3"/>
  <c r="E37" i="3"/>
  <c r="E95" i="3"/>
  <c r="E152" i="3"/>
  <c r="E132" i="3"/>
  <c r="E192" i="3"/>
  <c r="E258" i="3"/>
  <c r="E241" i="3"/>
  <c r="E292" i="3"/>
  <c r="E363" i="3"/>
  <c r="E389" i="3"/>
  <c r="E76" i="3"/>
  <c r="E425" i="3"/>
  <c r="E103" i="3"/>
  <c r="E267" i="3"/>
  <c r="E310" i="3"/>
  <c r="E67" i="3"/>
  <c r="E51" i="3"/>
  <c r="E329" i="3"/>
  <c r="E463" i="3"/>
  <c r="AQ6" i="3"/>
  <c r="E356" i="3"/>
  <c r="E59" i="3"/>
  <c r="E484" i="3"/>
  <c r="E467" i="3"/>
  <c r="E46" i="3"/>
  <c r="E160" i="3"/>
  <c r="E200" i="3"/>
  <c r="E249" i="3"/>
  <c r="E371" i="3"/>
  <c r="E492" i="3"/>
  <c r="E84" i="3"/>
  <c r="E87" i="3"/>
  <c r="E341" i="3"/>
  <c r="E154" i="3"/>
  <c r="E373" i="3"/>
  <c r="E116" i="3"/>
  <c r="E490" i="3"/>
  <c r="E226" i="3"/>
  <c r="E137" i="3"/>
  <c r="E364" i="3"/>
  <c r="E13" i="3"/>
  <c r="E235" i="3"/>
  <c r="E378" i="3"/>
  <c r="E375" i="3"/>
  <c r="E504" i="3"/>
  <c r="E58" i="3"/>
  <c r="E110" i="3"/>
  <c r="E488" i="3"/>
  <c r="E462" i="3"/>
  <c r="E521" i="3"/>
  <c r="E446" i="3"/>
  <c r="E47" i="3"/>
  <c r="E98" i="3"/>
  <c r="E65" i="3"/>
  <c r="E138" i="3"/>
  <c r="E195" i="3"/>
  <c r="E163" i="3"/>
  <c r="E248" i="3"/>
  <c r="E209" i="3"/>
  <c r="E266" i="3"/>
  <c r="E307" i="3"/>
  <c r="E386" i="3"/>
  <c r="E354" i="3"/>
  <c r="E584" i="3"/>
  <c r="E66" i="3"/>
  <c r="E24" i="3"/>
  <c r="E48" i="3"/>
  <c r="E127" i="3"/>
  <c r="E284" i="3"/>
  <c r="Y6" i="3"/>
  <c r="E19" i="3"/>
  <c r="E179" i="3"/>
  <c r="E323" i="3"/>
  <c r="E82" i="3"/>
  <c r="E188" i="3"/>
  <c r="E393" i="3"/>
  <c r="E486" i="3"/>
  <c r="E498" i="3"/>
  <c r="E178" i="3"/>
  <c r="E372" i="3"/>
  <c r="E79" i="3"/>
  <c r="E299" i="3"/>
  <c r="E123" i="3"/>
  <c r="E176" i="3"/>
  <c r="E456" i="3"/>
  <c r="E115" i="3"/>
  <c r="E18" i="3"/>
  <c r="E49" i="3"/>
  <c r="E33" i="3"/>
  <c r="E144" i="3"/>
  <c r="E184" i="3"/>
  <c r="E233" i="3"/>
  <c r="E355" i="3"/>
  <c r="E381" i="3"/>
  <c r="E68" i="3"/>
  <c r="E63" i="3"/>
  <c r="E81" i="3"/>
  <c r="E118" i="3"/>
  <c r="E264" i="3"/>
  <c r="E283" i="3"/>
  <c r="E309" i="3"/>
  <c r="E513" i="3"/>
  <c r="E21" i="3"/>
  <c r="E16" i="3"/>
  <c r="E223" i="3"/>
  <c r="E105" i="3"/>
  <c r="E493" i="3"/>
  <c r="E543" i="3"/>
  <c r="E422" i="3"/>
  <c r="AH6" i="3"/>
  <c r="E483" i="3"/>
  <c r="E25" i="3"/>
  <c r="E202" i="3"/>
  <c r="E346" i="3"/>
  <c r="E60" i="3"/>
  <c r="E15" i="3"/>
  <c r="E100" i="3"/>
  <c r="E234" i="3"/>
  <c r="E325" i="3"/>
  <c r="E36" i="3"/>
  <c r="E289" i="3"/>
  <c r="E20" i="3"/>
  <c r="E265" i="3"/>
  <c r="E525" i="3"/>
  <c r="E451" i="3"/>
  <c r="E420" i="3"/>
  <c r="E281" i="3"/>
  <c r="E75" i="3"/>
  <c r="E190" i="3"/>
  <c r="E522" i="3"/>
  <c r="E370" i="3"/>
  <c r="E427" i="3"/>
  <c r="E507" i="3"/>
  <c r="E440" i="3"/>
  <c r="E376" i="3"/>
  <c r="J6" i="3"/>
  <c r="E419" i="3"/>
  <c r="E401" i="3"/>
  <c r="E40" i="3"/>
  <c r="E108" i="3"/>
  <c r="E119" i="3"/>
  <c r="E242" i="3"/>
  <c r="E276" i="3"/>
  <c r="E333" i="3"/>
  <c r="L6" i="3"/>
  <c r="E43" i="3"/>
  <c r="E473" i="3"/>
  <c r="E455" i="3"/>
  <c r="E38" i="3"/>
  <c r="E170" i="3"/>
  <c r="E194" i="3"/>
  <c r="E219" i="3"/>
  <c r="E339" i="3"/>
  <c r="E392" i="3"/>
  <c r="E52" i="3"/>
  <c r="E112" i="3"/>
  <c r="E147" i="3"/>
  <c r="E340" i="3"/>
  <c r="E50" i="3"/>
  <c r="E62" i="3"/>
  <c r="E218" i="3"/>
  <c r="E205" i="3"/>
  <c r="E173" i="3"/>
  <c r="T6" i="3"/>
  <c r="E512" i="3"/>
  <c r="E556" i="3"/>
  <c r="E452" i="3"/>
  <c r="E104" i="3"/>
  <c r="E139" i="3"/>
  <c r="E332" i="3"/>
  <c r="E42" i="3"/>
  <c r="E482" i="3"/>
  <c r="E78" i="3"/>
  <c r="E220" i="3"/>
  <c r="E383" i="3"/>
  <c r="E86" i="3"/>
  <c r="E232" i="3"/>
  <c r="E510" i="3"/>
  <c r="E197" i="3"/>
  <c r="E534" i="3"/>
  <c r="E469" i="3"/>
  <c r="E360" i="3"/>
  <c r="E494" i="3"/>
  <c r="E26" i="3"/>
  <c r="E198" i="3"/>
  <c r="E243" i="3"/>
  <c r="AL6" i="3"/>
  <c r="E428" i="3"/>
  <c r="E96" i="3"/>
  <c r="E174" i="3"/>
  <c r="E324" i="3"/>
  <c r="E35" i="3"/>
  <c r="E206" i="3"/>
  <c r="AF6" i="3"/>
  <c r="E113" i="3"/>
  <c r="E287" i="3"/>
  <c r="E365" i="3"/>
  <c r="E524" i="3"/>
  <c r="E101" i="3"/>
  <c r="E296" i="3"/>
  <c r="E369" i="3"/>
  <c r="E405" i="3"/>
  <c r="E408" i="3"/>
  <c r="E497" i="3"/>
  <c r="E470" i="3"/>
  <c r="E41" i="3"/>
  <c r="E225" i="3"/>
  <c r="E391" i="3"/>
  <c r="E94" i="3"/>
  <c r="E412" i="3"/>
  <c r="E129" i="3"/>
  <c r="E275" i="3"/>
  <c r="E342" i="3"/>
  <c r="E251" i="3"/>
  <c r="E80" i="3"/>
  <c r="E158" i="3"/>
  <c r="E308" i="3"/>
  <c r="E326" i="3"/>
  <c r="E22" i="3"/>
  <c r="E83" i="3"/>
  <c r="E34" i="3"/>
  <c r="D20" i="53"/>
  <c r="B40" i="72" s="1"/>
  <c r="F64" i="67"/>
  <c r="Q71" i="67"/>
  <c r="F65" i="15"/>
  <c r="F71" i="15"/>
  <c r="F31" i="15"/>
  <c r="F51" i="15"/>
  <c r="C49" i="15" s="1"/>
  <c r="C6" i="15"/>
  <c r="C32" i="15" s="1"/>
  <c r="F66" i="15"/>
  <c r="F66" i="67"/>
  <c r="N59" i="67"/>
  <c r="L58" i="67"/>
  <c r="Q73" i="67" s="1"/>
  <c r="L59" i="67"/>
  <c r="Q61" i="67" s="1"/>
  <c r="J53" i="67"/>
  <c r="Q52" i="67" s="1"/>
  <c r="L56" i="67"/>
  <c r="J57" i="67"/>
  <c r="J55" i="67" s="1"/>
  <c r="J58" i="67" s="1"/>
  <c r="Q50" i="67" s="1"/>
  <c r="I54" i="67"/>
  <c r="C6" i="67"/>
  <c r="C32" i="67" s="1"/>
  <c r="F50" i="67"/>
  <c r="F59" i="67" s="1"/>
  <c r="F31" i="67"/>
  <c r="M7" i="67"/>
  <c r="J6" i="67" s="1"/>
  <c r="J18" i="67" s="1"/>
  <c r="C27" i="67"/>
  <c r="L58" i="15"/>
  <c r="Q73" i="15" s="1"/>
  <c r="N59" i="15"/>
  <c r="F64" i="15"/>
  <c r="F30" i="6"/>
  <c r="E28" i="6"/>
  <c r="K14" i="1" s="1"/>
  <c r="K16" i="1" s="1"/>
  <c r="B23" i="71"/>
  <c r="B22" i="71" s="1"/>
  <c r="B21" i="71" s="1"/>
  <c r="B20" i="71" s="1"/>
  <c r="S24" i="71"/>
  <c r="C78" i="71"/>
  <c r="D78" i="71" s="1"/>
  <c r="D79" i="71"/>
  <c r="T32" i="71"/>
  <c r="D32" i="71"/>
  <c r="T60" i="71"/>
  <c r="D60" i="71"/>
  <c r="T56" i="71"/>
  <c r="D56" i="71"/>
  <c r="AB38" i="40"/>
  <c r="U38" i="40"/>
  <c r="AA38" i="40"/>
  <c r="S38" i="40"/>
  <c r="U39" i="40"/>
  <c r="AB39" i="40"/>
  <c r="AA44" i="39"/>
  <c r="S44" i="39"/>
  <c r="AA26" i="37"/>
  <c r="S26" i="37"/>
  <c r="AC26" i="37"/>
  <c r="W26" i="37"/>
  <c r="AC36" i="39"/>
  <c r="W36" i="39"/>
  <c r="AA31" i="39"/>
  <c r="S31" i="39"/>
  <c r="W14" i="40"/>
  <c r="AC14" i="40"/>
  <c r="S12" i="39"/>
  <c r="AA12" i="39"/>
  <c r="W25" i="37"/>
  <c r="AC25" i="37"/>
  <c r="AA24" i="36"/>
  <c r="S24" i="36"/>
  <c r="AC24" i="36"/>
  <c r="W24" i="36"/>
  <c r="AC12" i="36"/>
  <c r="W12" i="36"/>
  <c r="AC23" i="35"/>
  <c r="W23" i="35"/>
  <c r="S31" i="21"/>
  <c r="AA31" i="21"/>
  <c r="U31" i="21"/>
  <c r="AB31" i="21"/>
  <c r="AA28" i="21"/>
  <c r="S28" i="21"/>
  <c r="AA38" i="37"/>
  <c r="S38" i="37"/>
  <c r="AB38" i="37"/>
  <c r="U38" i="37"/>
  <c r="W28" i="37"/>
  <c r="AC28" i="37"/>
  <c r="AB27" i="34"/>
  <c r="U27" i="34"/>
  <c r="AC27" i="34"/>
  <c r="W27" i="34"/>
  <c r="AA45" i="21"/>
  <c r="S45" i="21"/>
  <c r="AC30" i="21"/>
  <c r="W30" i="21"/>
  <c r="AB30" i="21"/>
  <c r="U30" i="21"/>
  <c r="S14" i="21"/>
  <c r="AA14" i="21"/>
  <c r="BA5" i="3"/>
  <c r="E27" i="6" s="1"/>
  <c r="K26" i="6" s="1"/>
  <c r="M26" i="6" s="1"/>
  <c r="I26" i="6" s="1"/>
  <c r="S26" i="6" s="1"/>
  <c r="C15" i="71"/>
  <c r="T16" i="71"/>
  <c r="J6" i="15"/>
  <c r="J18" i="15" s="1"/>
  <c r="F7" i="36"/>
  <c r="S7" i="36" s="1"/>
  <c r="J7" i="37"/>
  <c r="H7" i="36"/>
  <c r="AB7" i="36" s="1"/>
  <c r="T36" i="36" s="1"/>
  <c r="G36" i="36" s="1"/>
  <c r="AZ5" i="3"/>
  <c r="AY6" i="3" s="1"/>
  <c r="E23" i="71"/>
  <c r="E22" i="71" s="1"/>
  <c r="E21" i="71" s="1"/>
  <c r="E20" i="71" s="1"/>
  <c r="V24" i="71"/>
  <c r="B66" i="71"/>
  <c r="N67" i="71"/>
  <c r="D71" i="71"/>
  <c r="C70" i="71"/>
  <c r="D70" i="71" s="1"/>
  <c r="T52" i="71"/>
  <c r="D52" i="71"/>
  <c r="T64" i="71"/>
  <c r="D64" i="71"/>
  <c r="AC38" i="40"/>
  <c r="W38" i="40"/>
  <c r="W39" i="40"/>
  <c r="AC39" i="40"/>
  <c r="AB44" i="39"/>
  <c r="U44" i="39"/>
  <c r="U26" i="37"/>
  <c r="AB26" i="37"/>
  <c r="U36" i="39"/>
  <c r="AB36" i="39"/>
  <c r="W31" i="39"/>
  <c r="AC31" i="39"/>
  <c r="S14" i="40"/>
  <c r="AA14" i="40"/>
  <c r="AA25" i="37"/>
  <c r="S25" i="37"/>
  <c r="U25" i="37"/>
  <c r="AB25" i="37"/>
  <c r="AB24" i="36"/>
  <c r="U24" i="36"/>
  <c r="U12" i="36"/>
  <c r="AB12" i="36"/>
  <c r="S23" i="35"/>
  <c r="AA23" i="35"/>
  <c r="U23" i="35"/>
  <c r="AB23" i="35"/>
  <c r="AC31" i="21"/>
  <c r="W31" i="21"/>
  <c r="AC28" i="21"/>
  <c r="W28" i="21"/>
  <c r="AB28" i="21"/>
  <c r="U28" i="21"/>
  <c r="BL5" i="3"/>
  <c r="AC38" i="37"/>
  <c r="W38" i="37"/>
  <c r="AB28" i="37"/>
  <c r="U28" i="37"/>
  <c r="AA28" i="37"/>
  <c r="S28" i="37"/>
  <c r="AA27" i="34"/>
  <c r="S27" i="34"/>
  <c r="AC9" i="33"/>
  <c r="W9" i="33"/>
  <c r="W45" i="21"/>
  <c r="AC45" i="21"/>
  <c r="S30" i="21"/>
  <c r="AA30" i="21"/>
  <c r="U14" i="21"/>
  <c r="AB14" i="21"/>
  <c r="W14" i="21"/>
  <c r="AC14" i="2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E60" i="40"/>
  <c r="F31" i="6"/>
  <c r="E51" i="40"/>
  <c r="E16" i="6"/>
  <c r="H6" i="3"/>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E69" i="39"/>
  <c r="H7" i="37"/>
  <c r="AB7" i="37" s="1"/>
  <c r="T42" i="37" s="1"/>
  <c r="G42" i="37" s="1"/>
  <c r="B40" i="1"/>
  <c r="L36" i="43" s="1"/>
  <c r="S10" i="39"/>
  <c r="AA10" i="39"/>
  <c r="H7" i="33"/>
  <c r="J7" i="33"/>
  <c r="D65" i="40"/>
  <c r="E63" i="40"/>
  <c r="F48" i="35"/>
  <c r="AA7" i="36"/>
  <c r="R36" i="36" s="1"/>
  <c r="AC7" i="37"/>
  <c r="W7" i="37"/>
  <c r="U7" i="36"/>
  <c r="F7" i="33"/>
  <c r="E58" i="21"/>
  <c r="AC7" i="36"/>
  <c r="W7" i="36"/>
  <c r="F7" i="37"/>
  <c r="M17" i="15"/>
  <c r="P28" i="43"/>
  <c r="B66" i="40" s="1"/>
  <c r="P25" i="43"/>
  <c r="P29" i="43"/>
  <c r="P27" i="43"/>
  <c r="B70" i="39" s="1"/>
  <c r="M11" i="67"/>
  <c r="J10" i="67" s="1"/>
  <c r="F11" i="15"/>
  <c r="M11" i="15"/>
  <c r="J10" i="15" s="1"/>
  <c r="F11" i="67"/>
  <c r="AE11" i="1"/>
  <c r="AE9" i="1"/>
  <c r="F27" i="68"/>
  <c r="AE7" i="1"/>
  <c r="AE8" i="1"/>
  <c r="AE12" i="1"/>
  <c r="AE10" i="1"/>
  <c r="F28" i="12"/>
  <c r="F41" i="67"/>
  <c r="C16" i="67"/>
  <c r="F1" i="67" l="1"/>
  <c r="AC6" i="3"/>
  <c r="E6" i="3" s="1"/>
  <c r="E3" i="6"/>
  <c r="E65" i="39"/>
  <c r="M14" i="1"/>
  <c r="M16" i="1" s="1"/>
  <c r="Q60" i="67"/>
  <c r="Q74" i="67"/>
  <c r="J5" i="67"/>
  <c r="J24" i="67" s="1"/>
  <c r="Q60" i="15"/>
  <c r="F59" i="15"/>
  <c r="M17" i="67"/>
  <c r="J5" i="15"/>
  <c r="J24" i="15" s="1"/>
  <c r="N65" i="71"/>
  <c r="N66" i="71"/>
  <c r="E19" i="71"/>
  <c r="E18" i="71" s="1"/>
  <c r="E17" i="71" s="1"/>
  <c r="E16" i="71" s="1"/>
  <c r="V20" i="71"/>
  <c r="B19" i="71"/>
  <c r="B18" i="71" s="1"/>
  <c r="B17" i="71" s="1"/>
  <c r="B16" i="71" s="1"/>
  <c r="S20" i="71"/>
  <c r="C49" i="67"/>
  <c r="V36" i="36"/>
  <c r="I36" i="36" s="1"/>
  <c r="V42" i="37"/>
  <c r="I42" i="37" s="1"/>
  <c r="C14" i="71"/>
  <c r="D15"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F25" i="12"/>
  <c r="F22" i="69"/>
  <c r="F41" i="69" s="1"/>
  <c r="F24" i="67"/>
  <c r="C24" i="67" s="1"/>
  <c r="F22" i="11"/>
  <c r="F22" i="68"/>
  <c r="F24" i="15"/>
  <c r="C24" i="15" s="1"/>
  <c r="M27" i="67"/>
  <c r="D14" i="12"/>
  <c r="M27" i="15"/>
  <c r="C48" i="67" l="1"/>
  <c r="C66" i="67" s="1"/>
  <c r="D116" i="43"/>
  <c r="C13" i="71"/>
  <c r="D14" i="71"/>
  <c r="B15" i="71"/>
  <c r="B14" i="71" s="1"/>
  <c r="B13" i="71" s="1"/>
  <c r="B12" i="71" s="1"/>
  <c r="S16" i="71"/>
  <c r="E15" i="71"/>
  <c r="E14" i="71" s="1"/>
  <c r="E13" i="71" s="1"/>
  <c r="E12" i="71" s="1"/>
  <c r="V16"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N16" i="1"/>
  <c r="B21" i="1" s="1"/>
  <c r="C44" i="11" s="1"/>
  <c r="D41" i="1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D10" i="69"/>
  <c r="C34" i="69"/>
  <c r="D10" i="68"/>
  <c r="C17" i="15"/>
  <c r="C14" i="67"/>
  <c r="C17" i="67"/>
  <c r="D20" i="12"/>
  <c r="C11" i="12"/>
  <c r="C60" i="67" l="1"/>
  <c r="C44" i="68"/>
  <c r="D41" i="68" s="1"/>
  <c r="C24" i="11"/>
  <c r="B23" i="1"/>
  <c r="B24" i="1"/>
  <c r="F34" i="11" s="1"/>
  <c r="C29" i="11"/>
  <c r="D27" i="11" s="1"/>
  <c r="C29" i="68"/>
  <c r="D27" i="68" s="1"/>
  <c r="C28" i="11"/>
  <c r="C27" i="11" s="1"/>
  <c r="C20" i="12"/>
  <c r="C18" i="12" s="1"/>
  <c r="H25" i="6"/>
  <c r="E11" i="71"/>
  <c r="E10" i="71" s="1"/>
  <c r="E9" i="71" s="1"/>
  <c r="E8" i="71" s="1"/>
  <c r="E7" i="71" s="1"/>
  <c r="E6" i="71" s="1"/>
  <c r="E5" i="71" s="1"/>
  <c r="V12" i="71"/>
  <c r="B11" i="71"/>
  <c r="B10" i="71" s="1"/>
  <c r="B9" i="71" s="1"/>
  <c r="B8" i="71" s="1"/>
  <c r="B7" i="71" s="1"/>
  <c r="B6" i="71" s="1"/>
  <c r="B5" i="71" s="1"/>
  <c r="S12" i="71"/>
  <c r="D13" i="71"/>
  <c r="C12" i="71"/>
  <c r="C18" i="67"/>
  <c r="C15" i="67"/>
  <c r="H23" i="6"/>
  <c r="C30" i="43"/>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11"/>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F11" i="12"/>
  <c r="C14" i="15"/>
  <c r="F50" i="68" l="1"/>
  <c r="F50" i="69"/>
  <c r="F34" i="68"/>
  <c r="J53" i="15"/>
  <c r="M59" i="67"/>
  <c r="M59" i="15"/>
  <c r="L59" i="15" s="1"/>
  <c r="C29" i="12"/>
  <c r="D28" i="12" s="1"/>
  <c r="C26" i="12"/>
  <c r="D25" i="12" s="1"/>
  <c r="C23" i="11"/>
  <c r="C26" i="68"/>
  <c r="D22" i="68" s="1"/>
  <c r="C26" i="11"/>
  <c r="D22" i="11" s="1"/>
  <c r="C25" i="11"/>
  <c r="C11" i="71"/>
  <c r="T12" i="71"/>
  <c r="D12" i="71"/>
  <c r="U12" i="71" s="1"/>
  <c r="C19" i="67"/>
  <c r="C20" i="67" s="1"/>
  <c r="C26" i="67" s="1"/>
  <c r="T16" i="1"/>
  <c r="C18" i="15"/>
  <c r="C15" i="15"/>
  <c r="C36" i="11"/>
  <c r="C37" i="11"/>
  <c r="C34" i="11"/>
  <c r="C14" i="12"/>
  <c r="C16" i="12" s="1"/>
  <c r="C21" i="12" s="1"/>
  <c r="C22" i="12" s="1"/>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7" i="68" l="1"/>
  <c r="C22" i="11"/>
  <c r="C31" i="11" s="1"/>
  <c r="Q74" i="15"/>
  <c r="Q61" i="15"/>
  <c r="L56" i="15"/>
  <c r="Q52" i="15"/>
  <c r="F1" i="15"/>
  <c r="C36" i="68"/>
  <c r="C34" i="68"/>
  <c r="C10" i="71"/>
  <c r="D11" i="71"/>
  <c r="F7" i="21"/>
  <c r="S7" i="21" s="1"/>
  <c r="J7" i="2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AE6" i="1"/>
  <c r="C35" i="68" l="1"/>
  <c r="C38" i="68"/>
  <c r="D10" i="71"/>
  <c r="C9" i="71"/>
  <c r="J7" i="35"/>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67"/>
  <c r="F41" i="15"/>
  <c r="F35" i="15"/>
  <c r="M21" i="15"/>
  <c r="M21" i="67"/>
  <c r="F69" i="15" l="1"/>
  <c r="C33" i="68"/>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39" i="68" l="1"/>
  <c r="C43" i="68" s="1"/>
  <c r="C42"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46" i="68" l="1"/>
  <c r="C45" i="68" s="1"/>
  <c r="C41" i="68"/>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9" i="68" l="1"/>
  <c r="C51" i="68" s="1"/>
  <c r="C5" i="7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L51" i="15"/>
  <c r="D2" i="34"/>
  <c r="D2" i="37"/>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10" i="1"/>
  <c r="AO9" i="1"/>
  <c r="AO8"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3" i="15" l="1"/>
  <c r="C6" i="12" s="1"/>
  <c r="C8" i="12"/>
  <c r="C4" i="12"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1" i="12" l="1"/>
  <c r="C23" i="12"/>
  <c r="C42" i="40"/>
  <c r="C43" i="40"/>
  <c r="E47" i="40"/>
  <c r="F47" i="40" s="1"/>
  <c r="E46" i="40"/>
  <c r="F46" i="40" s="1"/>
  <c r="I47" i="40"/>
  <c r="J47" i="40" s="1"/>
  <c r="C30" i="12" l="1"/>
  <c r="C28" i="12" s="1"/>
  <c r="C27" i="12"/>
  <c r="C25" i="12" s="1"/>
  <c r="B58" i="40"/>
  <c r="F58" i="40" s="1"/>
  <c r="B54" i="40"/>
  <c r="F54" i="40" s="1"/>
  <c r="B53" i="40"/>
  <c r="F53" i="40" s="1"/>
  <c r="B59" i="40"/>
  <c r="F59" i="40" s="1"/>
  <c r="B52" i="40"/>
  <c r="F52" i="40" s="1"/>
  <c r="B56" i="40"/>
  <c r="F56" i="40" s="1"/>
  <c r="B60" i="40"/>
  <c r="F60" i="40" s="1"/>
  <c r="B57" i="40"/>
  <c r="F57" i="40" s="1"/>
  <c r="B51" i="40"/>
  <c r="F51" i="40" s="1"/>
  <c r="F61" i="40"/>
  <c r="B2" i="40" s="1"/>
  <c r="B3" i="40" l="1"/>
  <c r="C6" i="68"/>
  <c r="C7" i="68" s="1"/>
  <c r="C5" i="68" s="1"/>
  <c r="C32" i="12"/>
  <c r="B2" i="12" s="1"/>
  <c r="B3" i="12"/>
  <c r="D19" i="9"/>
  <c r="C23" i="68" l="1"/>
  <c r="C20" i="68"/>
  <c r="D102" i="9"/>
  <c r="D21" i="9"/>
  <c r="D20" i="9"/>
  <c r="D103" i="9" l="1"/>
  <c r="C28" i="68"/>
  <c r="C27" i="68" s="1"/>
  <c r="C25" i="68"/>
  <c r="C22" i="68" s="1"/>
  <c r="C31" i="68" l="1"/>
  <c r="C52" i="68" s="1"/>
  <c r="B2" i="68" s="1"/>
  <c r="C19" i="9"/>
  <c r="C57" i="68" l="1"/>
  <c r="C56" i="68" s="1"/>
  <c r="C21" i="9"/>
  <c r="C102" i="9"/>
  <c r="G19" i="9"/>
  <c r="G21" i="9" s="1"/>
  <c r="D22" i="9"/>
  <c r="B3" i="68"/>
  <c r="C20" i="9"/>
  <c r="C103" i="9" l="1"/>
  <c r="G20" i="9"/>
  <c r="C32" i="9" s="1"/>
  <c r="C35" i="9" s="1"/>
  <c r="C34" i="9" s="1"/>
  <c r="D118" i="9" l="1"/>
  <c r="D4" i="52" s="1"/>
  <c r="B47" i="72" s="1"/>
  <c r="F118" i="9"/>
  <c r="G118" i="9" s="1"/>
  <c r="G4" i="52" s="1"/>
  <c r="B52" i="72" s="1"/>
  <c r="H118" i="9"/>
  <c r="H4" i="52" l="1"/>
  <c r="D14" i="74"/>
  <c r="G14" i="74" s="1"/>
  <c r="B6" i="74" s="1"/>
  <c r="D6" i="74" s="1"/>
  <c r="H101" i="9"/>
  <c r="D45" i="9" s="1"/>
  <c r="C85" i="9" s="1"/>
  <c r="I118" i="9"/>
  <c r="C105" i="9" s="1"/>
  <c r="F119" i="9"/>
  <c r="F5" i="52" s="1"/>
  <c r="B53" i="72" s="1"/>
  <c r="F4" i="52"/>
  <c r="B51" i="72" s="1"/>
  <c r="C104" i="9"/>
  <c r="D119" i="9"/>
  <c r="D5" i="52" s="1"/>
  <c r="B49" i="72" s="1"/>
  <c r="H119" i="9"/>
  <c r="H5" i="52" s="1"/>
  <c r="D52" i="9" l="1"/>
  <c r="E118" i="9"/>
  <c r="E4" i="52" s="1"/>
  <c r="B48" i="72" s="1"/>
  <c r="I4" i="52"/>
  <c r="E14" i="74"/>
  <c r="B5" i="74"/>
  <c r="D5" i="74" s="1"/>
  <c r="F14" i="74"/>
  <c r="H102" i="9"/>
  <c r="H107" i="9"/>
  <c r="D122" i="9" s="1"/>
  <c r="C93" i="9"/>
  <c r="C86" i="9" s="1"/>
  <c r="D5" i="53"/>
  <c r="D6" i="53" s="1"/>
  <c r="B22" i="72" s="1"/>
  <c r="C78" i="9"/>
  <c r="C73" i="9" s="1"/>
  <c r="D55" i="9"/>
  <c r="M53" i="9" s="1"/>
  <c r="M48" i="9"/>
  <c r="C64" i="9"/>
  <c r="C63" i="9" s="1"/>
  <c r="C67" i="9" s="1"/>
  <c r="D59" i="9" s="1"/>
  <c r="M55" i="9" s="1"/>
  <c r="D53" i="9"/>
  <c r="C72" i="9"/>
  <c r="D7" i="53"/>
  <c r="B21" i="72" s="1"/>
  <c r="C95" i="9"/>
  <c r="C5" i="74" l="1"/>
  <c r="C79" i="9"/>
  <c r="C80" i="9" s="1"/>
  <c r="E80" i="9" s="1"/>
  <c r="E81" i="9" s="1"/>
  <c r="M49" i="9"/>
  <c r="L65" i="9" s="1"/>
  <c r="M65" i="9" s="1"/>
  <c r="D13" i="53"/>
  <c r="D14" i="53" s="1"/>
  <c r="B32" i="72" s="1"/>
  <c r="C68" i="9"/>
  <c r="D54" i="9" s="1"/>
  <c r="B20" i="72"/>
  <c r="H108" i="9"/>
  <c r="C6" i="74" s="1"/>
  <c r="C81" i="9"/>
  <c r="C96" i="9"/>
  <c r="E96" i="9" s="1"/>
  <c r="E97" i="9" s="1"/>
  <c r="B30" i="72"/>
  <c r="D8" i="52"/>
  <c r="D123" i="9"/>
  <c r="D9" i="52" s="1"/>
  <c r="L66" i="9" l="1"/>
  <c r="M66" i="9" s="1"/>
  <c r="L64" i="9"/>
  <c r="M64" i="9" s="1"/>
  <c r="L63" i="9"/>
  <c r="M63" i="9" s="1"/>
  <c r="D15" i="53"/>
  <c r="B31" i="72" s="1"/>
  <c r="L68" i="9"/>
  <c r="M68" i="9" s="1"/>
  <c r="L67" i="9"/>
  <c r="M67" i="9" s="1"/>
  <c r="C97" i="9"/>
  <c r="D58" i="9" s="1"/>
  <c r="D56" i="9" s="1"/>
  <c r="M54" i="9" s="1"/>
  <c r="N57" i="9" s="1"/>
  <c r="M69" i="9" l="1"/>
  <c r="N69" i="9" s="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<sst xmlns="http://schemas.openxmlformats.org/spreadsheetml/2006/main" count="8409" uniqueCount="3647">
  <si>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</si>
  <si>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</si>
  <si>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</si>
  <si>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</si>
  <si>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</si>
  <si>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</si>
  <si>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</si>
  <si>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</si>
  <si>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</si>
  <si>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</si>
  <si>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</si>
  <si>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</si>
  <si>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</si>
  <si>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</si>
  <si>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</si>
  <si>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</si>
  <si>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</si>
  <si>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</si>
  <si>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</si>
  <si>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</si>
  <si>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</si>
  <si>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</si>
  <si>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</si>
  <si>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</si>
  <si>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</si>
  <si>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</si>
  <si>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</si>
  <si>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</si>
  <si>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</si>
  <si>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</si>
  <si>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</si>
  <si>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</si>
  <si>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</si>
  <si>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</si>
  <si>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</si>
  <si>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</si>
  <si>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</si>
  <si>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</si>
  <si>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</si>
  <si>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</si>
  <si>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</si>
  <si>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</si>
  <si>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</si>
  <si>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</si>
  <si>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</si>
  <si>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</si>
  <si>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</si>
  <si>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</si>
  <si>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</si>
  <si>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</si>
  <si>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</si>
  <si>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</si>
  <si>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</si>
  <si>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</si>
  <si>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</si>
  <si>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</si>
  <si>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</si>
  <si>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</si>
  <si>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</si>
  <si>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</si>
  <si>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</si>
  <si>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</si>
  <si>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</si>
  <si>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</si>
  <si>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</si>
  <si>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</si>
  <si>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</si>
  <si>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</si>
  <si>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</si>
  <si>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</si>
  <si>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</si>
  <si>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</si>
  <si>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</si>
  <si>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</si>
  <si>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</si>
  <si>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</si>
  <si>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</si>
  <si>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</si>
  <si>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</si>
  <si>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</si>
  <si>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</si>
  <si>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</si>
  <si>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</si>
  <si>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</si>
  <si>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</si>
  <si>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</si>
  <si>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</si>
  <si>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</si>
  <si>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</si>
  <si>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</si>
  <si>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</si>
  <si>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</si>
  <si>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</si>
  <si>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</si>
  <si>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</si>
  <si>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</si>
  <si>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</si>
  <si>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</si>
  <si>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</si>
  <si>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</si>
  <si>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</si>
  <si>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</si>
  <si>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</si>
  <si>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</si>
  <si>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</si>
  <si>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</si>
  <si>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</si>
  <si>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</si>
  <si>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</si>
  <si>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</si>
  <si>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</si>
  <si>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</si>
  <si>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</si>
  <si>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</si>
  <si>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</si>
  <si>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</si>
  <si>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</si>
  <si>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</si>
  <si>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</si>
  <si>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</si>
  <si>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</si>
  <si>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</si>
  <si>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</si>
  <si>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</si>
  <si>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</si>
  <si>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</si>
  <si>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</si>
  <si>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</si>
  <si>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</si>
  <si>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</si>
  <si>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</si>
  <si>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</si>
  <si>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</si>
  <si>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</si>
  <si>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</si>
  <si>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</si>
  <si>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</si>
  <si>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</si>
  <si>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</si>
  <si>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</si>
  <si>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</si>
  <si>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</si>
  <si>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</si>
  <si>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</si>
  <si>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</si>
  <si>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</si>
  <si>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</si>
  <si>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</si>
  <si>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</si>
  <si>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</si>
  <si>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</si>
  <si>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</si>
  <si>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</si>
  <si>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</si>
  <si>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</si>
  <si>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</si>
  <si>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</si>
  <si>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</si>
  <si>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</si>
  <si>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</si>
  <si>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</si>
  <si>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</si>
  <si>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</si>
  <si>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</si>
  <si>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</si>
  <si>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</si>
  <si>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</si>
  <si>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</si>
  <si>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</si>
  <si>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</si>
  <si>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</si>
  <si>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</si>
  <si>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</si>
  <si>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</si>
  <si>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</si>
  <si>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</si>
  <si>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</si>
  <si>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</si>
  <si>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</si>
  <si>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</si>
  <si>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</si>
  <si>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</si>
  <si>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</si>
  <si>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</si>
  <si>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</si>
  <si>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</si>
  <si>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</si>
  <si>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</si>
  <si>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</si>
  <si>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</si>
  <si>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</si>
  <si>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</si>
  <si>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</si>
  <si>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</si>
  <si>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</si>
  <si>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</si>
  <si>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</si>
  <si>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</si>
  <si>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</si>
  <si>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</si>
  <si>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</si>
  <si>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</si>
  <si>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</si>
  <si>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</si>
  <si>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</si>
  <si>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</si>
  <si>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</si>
  <si>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</si>
  <si>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</si>
  <si>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</si>
  <si>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</si>
  <si>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</si>
  <si>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</si>
  <si>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</si>
  <si>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</si>
  <si>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</si>
  <si>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</si>
  <si>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</si>
  <si>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</si>
  <si>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</si>
  <si>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</si>
  <si>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</si>
  <si>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</si>
  <si>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</si>
  <si>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</si>
  <si>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</si>
  <si>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</si>
  <si>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</si>
  <si>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</si>
  <si>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</si>
  <si>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</si>
  <si>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</si>
  <si>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</si>
  <si>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</si>
  <si>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</si>
  <si>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</si>
  <si>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</si>
  <si>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</si>
  <si>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</si>
  <si>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</si>
  <si>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</si>
  <si>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</si>
  <si>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</si>
  <si>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</si>
  <si>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</si>
  <si>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</si>
  <si>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</si>
  <si>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</si>
  <si>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</si>
  <si>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</si>
  <si>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</si>
  <si>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</si>
  <si>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</si>
  <si>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</si>
  <si>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</si>
  <si>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</si>
  <si>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</si>
  <si>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</si>
  <si>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</si>
  <si>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</si>
  <si>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</si>
  <si>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</si>
  <si>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</si>
  <si>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</si>
  <si>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</si>
  <si>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</si>
  <si>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</si>
  <si>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</si>
  <si>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</si>
  <si>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</si>
  <si>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</si>
  <si>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</si>
  <si>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</si>
  <si>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</si>
  <si>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</si>
  <si>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</si>
  <si>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</si>
  <si>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</si>
  <si>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</si>
  <si>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</si>
  <si>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</si>
  <si>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</si>
  <si>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</si>
  <si>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</si>
  <si>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</si>
  <si>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</si>
  <si>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</si>
  <si>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</si>
  <si>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</si>
  <si>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</si>
  <si>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</si>
  <si>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</si>
  <si>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</si>
  <si>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</si>
  <si>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</si>
  <si>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</si>
  <si>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</si>
  <si>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</si>
  <si>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</si>
  <si>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</si>
  <si>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</si>
  <si>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</si>
  <si>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</si>
  <si>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</si>
  <si>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</si>
  <si>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</si>
  <si>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</si>
  <si>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</si>
  <si>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</si>
  <si>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</si>
  <si>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</si>
  <si>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</si>
  <si>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</si>
  <si>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</si>
  <si>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</si>
  <si>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</si>
  <si>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</si>
  <si>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</si>
  <si>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</si>
  <si>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</si>
  <si>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</si>
  <si>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</si>
  <si>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</si>
  <si>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</si>
  <si>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</si>
  <si>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</si>
  <si>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</si>
  <si>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</si>
  <si>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</si>
  <si>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</si>
  <si>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</si>
  <si>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</si>
  <si>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</si>
  <si>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</si>
  <si>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</si>
  <si>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</si>
  <si>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</si>
  <si>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</si>
  <si>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</si>
  <si>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</si>
  <si>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</si>
  <si>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</si>
  <si>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</si>
  <si>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</si>
  <si>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</si>
  <si>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</si>
  <si>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</si>
  <si>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</si>
  <si>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</si>
  <si>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</si>
  <si>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</si>
  <si>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</si>
  <si>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</si>
  <si>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</si>
  <si>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</si>
  <si>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</si>
  <si>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</si>
  <si>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</si>
  <si>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</si>
  <si>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</si>
  <si>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</si>
  <si>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</si>
  <si>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</si>
  <si>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</si>
  <si>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</si>
  <si>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</si>
  <si>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</si>
  <si>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</si>
  <si>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</si>
  <si>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</si>
  <si>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</si>
  <si>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</si>
  <si>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</si>
  <si>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</si>
  <si>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</si>
  <si>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</si>
  <si>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</si>
  <si>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</si>
  <si>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</si>
  <si>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</si>
  <si>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</si>
  <si>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</si>
  <si>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</si>
  <si>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</si>
  <si>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</si>
  <si>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</si>
  <si>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</si>
  <si>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</si>
  <si>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</si>
  <si>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</si>
  <si>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</si>
  <si>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</si>
  <si>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</si>
  <si>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</si>
  <si>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</si>
  <si>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</si>
  <si>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</si>
  <si>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</si>
  <si>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</si>
  <si>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</si>
  <si>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</si>
  <si>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</si>
  <si>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</si>
  <si>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</si>
  <si>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</si>
  <si>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</si>
  <si>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</si>
  <si>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</si>
  <si>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</si>
  <si>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</si>
  <si>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</si>
  <si>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</si>
  <si>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</si>
  <si>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</si>
  <si>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</si>
  <si>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</si>
  <si>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</si>
  <si>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</si>
  <si>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</si>
  <si>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</si>
  <si>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</si>
  <si>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</si>
  <si>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</si>
  <si>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</si>
  <si>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</si>
  <si>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</si>
  <si>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</si>
  <si>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</si>
  <si>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</si>
  <si>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</si>
  <si>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</si>
  <si>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</si>
  <si>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</si>
  <si>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</si>
  <si>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</si>
  <si>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</si>
  <si>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</si>
  <si>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</si>
  <si>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</si>
  <si>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</si>
  <si>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</si>
  <si>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</si>
  <si>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</si>
  <si>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</si>
  <si>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</si>
  <si>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</si>
  <si>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</si>
  <si>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</si>
  <si>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</si>
  <si>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</si>
  <si>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</si>
  <si>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</si>
  <si>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</si>
  <si>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</si>
  <si>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</si>
  <si>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</si>
  <si>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</si>
  <si>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</si>
  <si>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</si>
  <si>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</si>
  <si>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</si>
  <si>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</si>
  <si>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</si>
  <si>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</si>
  <si>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</si>
  <si>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</si>
  <si>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</si>
  <si>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</si>
  <si>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</si>
  <si>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</si>
  <si>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</si>
  <si>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</si>
  <si>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</si>
  <si>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</si>
  <si>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</si>
  <si>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</si>
  <si>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</si>
  <si>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</si>
  <si>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</si>
  <si>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</si>
  <si>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</si>
  <si>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</si>
  <si>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</si>
  <si>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</si>
  <si>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</si>
  <si>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</si>
  <si>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</si>
  <si>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</si>
  <si>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</si>
  <si>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</si>
  <si>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</si>
  <si>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</si>
  <si>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</si>
  <si>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</si>
  <si>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</si>
  <si>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</si>
  <si>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</si>
  <si>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</si>
  <si>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</si>
  <si>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</si>
  <si>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</si>
  <si>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</si>
  <si>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</si>
  <si>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</si>
  <si>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</si>
  <si>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</si>
  <si>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</si>
  <si>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</si>
  <si>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</si>
  <si>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</si>
  <si>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</si>
  <si>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</si>
  <si>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</si>
  <si>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</si>
  <si>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</si>
  <si>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</si>
  <si>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</si>
  <si>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</si>
  <si>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</si>
  <si>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</si>
  <si>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</si>
  <si>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</si>
  <si>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</si>
  <si>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</si>
  <si>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</si>
  <si>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</si>
  <si>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</si>
  <si>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</si>
  <si>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</si>
  <si>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</si>
  <si>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</si>
  <si>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</si>
  <si>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</si>
  <si>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</si>
  <si>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</si>
  <si>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</si>
  <si>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</si>
  <si>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</si>
  <si>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</si>
  <si>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</si>
  <si>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</si>
  <si>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</si>
  <si>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</si>
  <si>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</si>
  <si>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</si>
  <si>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</si>
  <si>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</si>
  <si>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</si>
  <si>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</si>
  <si>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</si>
  <si>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</si>
  <si>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</si>
  <si>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</si>
  <si>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</si>
  <si>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</si>
  <si>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</si>
  <si>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</si>
  <si>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</si>
  <si>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</si>
  <si>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</si>
  <si>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</si>
  <si>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</si>
  <si>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</si>
  <si>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</si>
  <si>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</si>
  <si>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</si>
  <si>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</si>
  <si>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</si>
  <si>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</si>
  <si>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</si>
  <si>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</si>
  <si>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</si>
  <si>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</si>
  <si>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</si>
  <si>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</si>
  <si>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</si>
  <si>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</si>
  <si>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</si>
  <si>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</si>
  <si>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</si>
  <si>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</si>
  <si>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</si>
  <si>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</si>
  <si>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</si>
  <si>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</si>
  <si>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</si>
  <si>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</si>
  <si>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</si>
  <si>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</si>
  <si>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</si>
  <si>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</si>
  <si>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</si>
  <si>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</si>
  <si>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</si>
  <si>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</si>
  <si>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</si>
  <si>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</si>
  <si>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</si>
  <si>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</si>
  <si>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</si>
  <si>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</si>
  <si>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</si>
  <si>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</si>
  <si>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</si>
  <si>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</si>
  <si>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</si>
  <si>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</si>
  <si>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</si>
  <si>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</si>
  <si>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</si>
  <si>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</si>
  <si>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</si>
  <si>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</si>
  <si>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</si>
  <si>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</si>
  <si>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</si>
  <si>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</si>
  <si>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</si>
  <si>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</si>
  <si>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</si>
  <si>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</si>
  <si>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</si>
  <si>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</si>
  <si>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</si>
  <si>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</si>
  <si>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</si>
  <si>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</si>
  <si>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</si>
  <si>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</si>
  <si>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</si>
  <si>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</si>
  <si>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</si>
  <si>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</si>
  <si>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</si>
  <si>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</si>
  <si>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</si>
  <si>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</si>
  <si>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</si>
  <si>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</si>
  <si>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</si>
  <si>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</si>
  <si>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</si>
  <si>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</si>
  <si>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</si>
  <si>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</si>
  <si>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</si>
  <si>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</si>
  <si>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</si>
  <si>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</si>
  <si>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</si>
  <si>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</si>
  <si>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</si>
  <si>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</si>
  <si>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</si>
  <si>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</si>
  <si>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</si>
  <si>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</si>
  <si>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</si>
  <si>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</si>
  <si>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</si>
  <si>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</si>
  <si>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</si>
  <si>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</si>
  <si>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</si>
  <si>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</si>
  <si>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</si>
  <si>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</si>
  <si>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</si>
  <si>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</si>
  <si>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</si>
  <si>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</si>
  <si>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</si>
  <si>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</si>
  <si>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</si>
  <si>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</si>
  <si>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</si>
  <si>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</si>
  <si>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</si>
  <si>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</si>
  <si>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</si>
  <si>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</si>
  <si>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</si>
  <si>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</si>
  <si>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</si>
  <si>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</si>
  <si>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</si>
  <si>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</si>
  <si>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</si>
  <si>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</si>
  <si>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</si>
  <si>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</si>
  <si>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</si>
  <si>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</si>
  <si>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</si>
  <si>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</si>
  <si>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</si>
  <si>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</si>
  <si>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</si>
  <si>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</si>
  <si>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</si>
  <si>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</si>
  <si>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</si>
  <si>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</si>
  <si>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</si>
  <si>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</si>
  <si>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</si>
  <si>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</si>
  <si>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</si>
  <si>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</si>
  <si>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</si>
  <si>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</si>
  <si>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</si>
  <si>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</si>
  <si>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</si>
  <si>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</si>
  <si>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</si>
  <si>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</si>
  <si>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</si>
  <si>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</si>
  <si>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</si>
  <si>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</si>
  <si>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</si>
  <si>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</si>
  <si>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</si>
  <si>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</si>
  <si>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</si>
  <si>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</si>
  <si>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</si>
  <si>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</si>
  <si>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</si>
  <si>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</si>
  <si>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</si>
  <si>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</si>
  <si>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</si>
  <si>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</si>
  <si>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</si>
  <si>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</si>
  <si>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</si>
  <si>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</si>
  <si>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</si>
  <si>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</si>
  <si>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</si>
  <si>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</si>
  <si>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</si>
  <si>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</si>
  <si>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</si>
  <si>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</si>
  <si>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</si>
  <si>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</si>
  <si>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</si>
  <si>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</si>
  <si>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</si>
  <si>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</si>
  <si>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</si>
  <si>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</si>
  <si>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</si>
  <si>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</si>
  <si>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</si>
  <si>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</si>
  <si>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</si>
  <si>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</si>
  <si>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</si>
  <si>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</si>
  <si>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</si>
  <si>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</si>
  <si>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</si>
  <si>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</si>
  <si>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</si>
  <si>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</si>
  <si>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</si>
  <si>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</si>
  <si>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</si>
  <si>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</si>
  <si>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</si>
  <si>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</si>
  <si>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</si>
  <si>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</si>
  <si>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</si>
  <si>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</si>
  <si>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</si>
  <si>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</si>
  <si>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</si>
  <si>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</si>
  <si>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</si>
  <si>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</si>
  <si>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</si>
  <si>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</si>
  <si>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</si>
  <si>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</si>
  <si>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</si>
  <si>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</si>
  <si>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</si>
  <si>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</si>
  <si>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</si>
  <si>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</si>
  <si>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</si>
  <si>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</si>
  <si>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</si>
  <si>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</si>
  <si>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</si>
  <si>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</si>
  <si>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</si>
  <si>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</si>
  <si>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</si>
  <si>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</si>
  <si>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</si>
  <si>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</si>
  <si>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</si>
  <si>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</si>
  <si>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</si>
  <si>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</si>
  <si>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</si>
  <si>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</si>
  <si>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</si>
  <si>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</si>
  <si>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</si>
  <si>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</si>
  <si>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</si>
  <si>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</si>
  <si>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</si>
  <si>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</si>
  <si>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</si>
  <si>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</si>
  <si>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</si>
  <si>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</si>
  <si>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</si>
  <si>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</si>
  <si>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</si>
  <si>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</si>
  <si>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</si>
  <si>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</si>
  <si>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</si>
  <si>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</si>
  <si>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</si>
  <si>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</si>
  <si>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</si>
  <si>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</si>
  <si>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</si>
  <si>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</si>
  <si>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</si>
  <si>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</si>
  <si>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</si>
  <si>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</si>
  <si>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</si>
  <si>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</si>
  <si>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</si>
  <si>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</si>
  <si>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</si>
  <si>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</si>
  <si>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</si>
  <si>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</si>
  <si>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</si>
  <si>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</si>
  <si>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</si>
  <si>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</si>
  <si>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</si>
  <si>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</si>
  <si>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</si>
  <si>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</si>
  <si>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</si>
  <si>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</si>
  <si>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</si>
  <si>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</si>
  <si>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</si>
  <si>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</si>
  <si>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</si>
  <si>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</si>
  <si>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</si>
  <si>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</si>
  <si>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</si>
  <si>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</si>
  <si>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</si>
  <si>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</si>
  <si>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</si>
  <si>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</si>
  <si>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</si>
  <si>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</si>
  <si>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</si>
  <si>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</si>
  <si>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</si>
  <si>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</si>
  <si>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</si>
  <si>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</si>
  <si>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</si>
  <si>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</si>
  <si>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</si>
  <si>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</si>
  <si>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</si>
  <si>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</si>
  <si>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</si>
  <si>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</si>
  <si>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</si>
  <si>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</si>
  <si>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</si>
  <si>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</si>
  <si>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</si>
  <si>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</si>
  <si>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</si>
  <si>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</si>
  <si>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</si>
  <si>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</si>
  <si>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</si>
  <si>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</si>
  <si>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</si>
  <si>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</si>
  <si>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</si>
  <si>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</si>
  <si>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</si>
  <si>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</si>
  <si>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</si>
  <si>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</si>
  <si>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</si>
  <si>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</si>
  <si>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</si>
  <si>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</si>
  <si>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</si>
  <si>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</si>
  <si>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</si>
  <si>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</si>
  <si>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</si>
  <si>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</si>
  <si>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</si>
  <si>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</si>
  <si>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</si>
  <si>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</si>
  <si>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</si>
  <si>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</si>
  <si>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</si>
  <si>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</si>
  <si>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</si>
  <si>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</si>
  <si>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</si>
  <si>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</si>
  <si>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</si>
  <si>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</si>
  <si>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</si>
  <si>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</si>
  <si>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</si>
  <si>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</si>
  <si>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</si>
  <si>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</si>
  <si>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</si>
  <si>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</si>
  <si>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</si>
  <si>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</si>
  <si>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</si>
  <si>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</si>
  <si>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</si>
  <si>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</si>
  <si>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</si>
  <si>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</si>
  <si>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</si>
  <si>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</si>
  <si>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</si>
  <si>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</si>
  <si>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</si>
  <si>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</si>
  <si>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</si>
  <si>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</si>
  <si>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</si>
  <si>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</si>
  <si>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</si>
  <si>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</si>
  <si>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</si>
  <si>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</si>
  <si>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</si>
  <si>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</si>
  <si>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</si>
  <si>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</si>
  <si>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</si>
  <si>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</si>
  <si>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</si>
  <si>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</si>
  <si>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</si>
  <si>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</si>
  <si>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</si>
  <si>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</si>
  <si>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</si>
  <si>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</si>
  <si>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</si>
  <si>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</si>
  <si>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</si>
  <si>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</si>
  <si>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</si>
  <si>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</si>
  <si>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</si>
  <si>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</si>
  <si>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</si>
  <si>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</si>
  <si>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</si>
  <si>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</si>
  <si>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</si>
  <si>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</si>
  <si>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</si>
  <si>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</si>
  <si>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</si>
  <si>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</si>
  <si>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</si>
  <si>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</si>
  <si>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</si>
  <si>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</si>
  <si>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</si>
  <si>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</si>
  <si>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</si>
  <si>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</si>
  <si>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</si>
  <si>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</si>
  <si>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</si>
  <si>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</si>
  <si>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</si>
  <si>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</si>
  <si>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</si>
  <si>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</si>
  <si>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</si>
  <si>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</si>
  <si>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</si>
  <si>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</si>
  <si>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</si>
  <si>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</si>
  <si>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</si>
  <si>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</si>
  <si>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</si>
  <si>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</si>
  <si>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</si>
  <si>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</si>
  <si>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</si>
  <si>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</si>
  <si>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</si>
  <si>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</si>
  <si>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</si>
  <si>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</si>
  <si>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</si>
  <si>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</si>
  <si>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</si>
  <si>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</si>
  <si>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</si>
  <si>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</si>
  <si>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</si>
  <si>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</si>
  <si>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</si>
  <si>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</si>
  <si>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</si>
  <si>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</si>
  <si>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</si>
  <si>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</si>
  <si>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</si>
  <si>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</si>
  <si>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</si>
  <si>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</si>
  <si>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</si>
  <si>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</si>
  <si>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</si>
  <si>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</si>
  <si>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</si>
  <si>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</si>
  <si>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</si>
  <si>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</si>
  <si>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</si>
  <si>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</si>
  <si>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</si>
  <si>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</si>
  <si>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</si>
  <si>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</si>
  <si>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</si>
  <si>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</si>
  <si>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</si>
  <si>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</si>
  <si>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</si>
  <si>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</si>
  <si>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</si>
  <si>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</si>
  <si>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</si>
  <si>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</si>
  <si>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</si>
  <si>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</si>
  <si>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</si>
  <si>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</si>
  <si>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</si>
  <si>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</si>
  <si>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</si>
  <si>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</si>
  <si>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</si>
  <si>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</si>
  <si>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</si>
  <si>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</si>
  <si>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</si>
  <si>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</si>
  <si>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</si>
  <si>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</si>
  <si>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</si>
  <si>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</si>
  <si>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</si>
  <si>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</si>
  <si>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</si>
  <si>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</si>
  <si>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</si>
  <si>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</si>
  <si>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</si>
  <si>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</si>
  <si>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</si>
  <si>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</si>
  <si>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</si>
  <si>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</si>
  <si>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</si>
  <si>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</si>
  <si>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</si>
  <si>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</si>
  <si>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</si>
  <si>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</si>
  <si>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</si>
  <si>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</si>
  <si>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</si>
  <si>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</si>
  <si>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</si>
  <si>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</si>
  <si>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</si>
  <si>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</si>
  <si>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</si>
  <si>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</si>
  <si>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</si>
  <si>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</si>
  <si>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</si>
  <si>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</si>
  <si>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</si>
  <si>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</si>
  <si>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</si>
  <si>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</si>
  <si>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</si>
  <si>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</si>
  <si>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</si>
  <si>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</si>
  <si>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</si>
  <si>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</si>
  <si>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</si>
  <si>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</si>
  <si>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</si>
  <si>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</si>
  <si>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</si>
  <si>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</si>
  <si>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</si>
  <si>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</si>
  <si>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</si>
  <si>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</si>
  <si>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</si>
  <si>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</si>
  <si>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</si>
  <si>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</si>
  <si>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</si>
  <si>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</si>
  <si>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</si>
  <si>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</si>
  <si>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</si>
  <si>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</si>
  <si>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</si>
  <si>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</si>
  <si>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</si>
  <si>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</si>
  <si>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</si>
  <si>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</si>
  <si>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</si>
  <si>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</si>
  <si>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</si>
  <si>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</si>
  <si>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</si>
  <si>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</si>
  <si>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</si>
  <si>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</si>
  <si>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</si>
  <si>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</si>
  <si>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</si>
  <si>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</si>
  <si>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</si>
  <si>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</si>
  <si>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</si>
  <si>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</si>
  <si>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</si>
  <si>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</si>
  <si>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</si>
  <si>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</si>
  <si>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</si>
  <si>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</si>
  <si>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</si>
  <si>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</si>
  <si>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</si>
  <si>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</si>
  <si>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</si>
  <si>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</si>
  <si>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</si>
  <si>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</si>
  <si>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</si>
  <si>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</si>
  <si>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</si>
  <si>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</si>
  <si>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</si>
  <si>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</si>
  <si>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</si>
  <si>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</si>
  <si>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</si>
  <si>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</si>
  <si>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</si>
  <si>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</si>
  <si>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</si>
  <si>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</si>
  <si>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</si>
  <si>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</si>
  <si>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</si>
  <si>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</si>
  <si>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</si>
  <si>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</si>
  <si>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</si>
  <si>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</si>
  <si>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</si>
  <si>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</si>
  <si>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</si>
  <si>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</si>
  <si>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</si>
  <si>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</si>
  <si>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</si>
  <si>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</si>
  <si>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</si>
  <si>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</si>
  <si>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</si>
  <si>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</si>
  <si>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</si>
  <si>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</si>
  <si>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</si>
  <si>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</si>
  <si>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</si>
  <si>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</si>
  <si>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</si>
  <si>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</si>
  <si>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</si>
  <si>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</si>
  <si>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</si>
  <si>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</si>
  <si>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</si>
  <si>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</si>
  <si>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</si>
  <si>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</si>
  <si>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</si>
  <si>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</si>
  <si>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</si>
  <si>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</si>
  <si>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</si>
  <si>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</si>
  <si>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</si>
  <si>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</si>
  <si>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</si>
  <si>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</si>
  <si>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</si>
  <si>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</si>
  <si>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</si>
  <si>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</si>
  <si>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</si>
  <si>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</si>
  <si>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</si>
  <si>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</si>
  <si>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</si>
  <si>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</si>
  <si>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</si>
  <si>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</si>
  <si>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</si>
  <si>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</si>
  <si>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</si>
  <si>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</si>
  <si>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</si>
  <si>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</si>
  <si>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</si>
  <si>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</si>
  <si>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</si>
  <si>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</si>
  <si>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</si>
  <si>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</si>
  <si>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</si>
  <si>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</si>
  <si>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</si>
  <si>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</si>
  <si>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</si>
  <si>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</si>
  <si>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</si>
  <si>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</si>
  <si>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</si>
  <si>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</si>
  <si>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</si>
  <si>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</si>
  <si>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</si>
  <si>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</si>
  <si>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</si>
  <si>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</si>
  <si>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</si>
  <si>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</si>
  <si>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</si>
  <si>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</si>
  <si>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</si>
  <si>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</si>
  <si>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</si>
  <si>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</si>
  <si>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</si>
  <si>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</si>
  <si>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</si>
  <si>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</si>
  <si>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</si>
  <si>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</si>
  <si>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</si>
  <si>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</si>
  <si>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</si>
  <si>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</si>
  <si>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</si>
  <si>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</si>
  <si>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</si>
  <si>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</si>
  <si>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</si>
  <si>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</si>
  <si>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</si>
  <si>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</si>
  <si>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</si>
  <si>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</si>
  <si>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</si>
  <si>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</si>
  <si>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</si>
  <si>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</si>
  <si>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</si>
  <si>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</si>
  <si>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</si>
  <si>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</si>
  <si>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</si>
  <si>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</si>
  <si>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</si>
  <si>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</si>
  <si>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</si>
  <si>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</si>
  <si>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</si>
  <si>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</si>
  <si>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</si>
  <si>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</si>
  <si>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</si>
  <si>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</si>
  <si>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</si>
  <si>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</si>
  <si>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</si>
  <si>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</si>
  <si>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</si>
  <si>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</si>
  <si>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</si>
  <si>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</si>
  <si>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</si>
  <si>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</si>
  <si>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</si>
  <si>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</si>
  <si>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</si>
  <si>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</si>
  <si>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</si>
  <si>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</si>
  <si>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</si>
  <si>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</si>
  <si>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</si>
  <si>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</si>
  <si>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</si>
  <si>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</si>
  <si>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</si>
  <si>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</si>
  <si>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</si>
  <si>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</si>
  <si>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</si>
  <si>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</si>
  <si>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</si>
  <si>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</si>
  <si>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</si>
  <si>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</si>
  <si>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</si>
  <si>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</si>
  <si>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</si>
  <si>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</si>
  <si>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</si>
  <si>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</si>
  <si>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</si>
  <si>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</si>
  <si>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</si>
  <si>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</si>
  <si>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</si>
  <si>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</si>
  <si>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</si>
  <si>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</si>
  <si>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</si>
  <si>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</si>
  <si>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</si>
  <si>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</si>
  <si>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</si>
  <si>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</si>
  <si>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</si>
  <si>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</si>
  <si>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</si>
  <si>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</si>
  <si>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</si>
  <si>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</si>
  <si>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</si>
  <si>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</si>
  <si>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</si>
  <si>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</si>
  <si>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</si>
  <si>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</si>
  <si>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</si>
  <si>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</si>
  <si>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</si>
  <si>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</si>
  <si>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</si>
  <si>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</si>
  <si>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</si>
  <si>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</si>
  <si>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</si>
  <si>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</si>
  <si>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</si>
  <si>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</si>
  <si>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</si>
  <si>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</si>
  <si>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</si>
  <si>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</si>
  <si>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</si>
  <si>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</si>
  <si>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</si>
  <si>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</si>
  <si>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</si>
  <si>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</si>
  <si>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</si>
  <si>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</si>
  <si>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</si>
  <si>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</si>
  <si>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</si>
  <si>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</si>
  <si>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</si>
  <si>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</si>
  <si>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</si>
  <si>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</si>
  <si>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</si>
  <si>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</si>
  <si>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</si>
  <si>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</si>
  <si>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</si>
  <si>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</si>
  <si>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</si>
  <si>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</si>
  <si>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</si>
  <si>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</si>
  <si>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</si>
  <si>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</si>
  <si>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</si>
  <si>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</si>
  <si>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</si>
  <si>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</si>
  <si>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</si>
  <si>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</si>
  <si>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</si>
  <si>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</si>
  <si>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</si>
  <si>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</si>
  <si>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</si>
  <si>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</si>
  <si>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</si>
  <si>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</si>
  <si>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</si>
  <si>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</si>
  <si>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</si>
  <si>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</si>
  <si>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</si>
  <si>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</si>
  <si>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</si>
  <si>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</si>
  <si>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</si>
  <si>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</si>
  <si>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</si>
  <si>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</si>
  <si>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</si>
  <si>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</si>
  <si>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</si>
  <si>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</si>
  <si>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</si>
  <si>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</si>
  <si>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</si>
  <si>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</si>
  <si>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</si>
  <si>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</si>
  <si>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</si>
  <si>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</si>
  <si>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</si>
  <si>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</si>
  <si>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</si>
  <si>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</si>
  <si>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</si>
  <si>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</si>
  <si>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</si>
  <si>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</si>
  <si>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</si>
  <si>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</si>
  <si>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</si>
  <si>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</si>
  <si>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</si>
  <si>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</si>
  <si>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</si>
  <si>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</si>
  <si>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</si>
  <si>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</si>
  <si>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</si>
  <si>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</si>
  <si>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</si>
  <si>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</si>
  <si>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</si>
  <si>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</si>
  <si>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</si>
  <si>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</si>
  <si>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</si>
  <si>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</si>
  <si>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</si>
  <si>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</si>
  <si>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</si>
  <si>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</si>
  <si>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</si>
  <si>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</si>
  <si>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</si>
  <si>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</si>
  <si>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</si>
  <si>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</si>
  <si>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</si>
  <si>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</si>
  <si>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</si>
  <si>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</si>
  <si>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</si>
  <si>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</si>
  <si>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</si>
  <si>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</si>
  <si>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</si>
  <si>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</si>
  <si>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</si>
  <si>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</si>
  <si>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</si>
  <si>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</si>
  <si>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</si>
  <si>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</si>
  <si>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</si>
  <si>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</si>
  <si>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</si>
  <si>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</si>
  <si>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</si>
  <si>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</si>
  <si>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</si>
  <si>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</si>
  <si>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</si>
  <si>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</si>
  <si>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</si>
  <si>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</si>
  <si>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</si>
  <si>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</si>
  <si>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</si>
  <si>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</si>
  <si>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</si>
  <si>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</si>
  <si>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</si>
  <si>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</si>
  <si>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</si>
  <si>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</si>
  <si>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</si>
  <si>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</si>
  <si>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</si>
  <si>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</si>
  <si>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</si>
  <si>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</si>
  <si>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</si>
  <si>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</si>
  <si>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</si>
  <si>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</si>
  <si>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</si>
  <si>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</si>
  <si>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</si>
  <si>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</si>
  <si>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</si>
  <si>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</si>
  <si>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</si>
  <si>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</si>
  <si>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</si>
  <si>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</si>
  <si>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</si>
  <si>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</si>
  <si>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</si>
  <si>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</si>
  <si>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</si>
  <si>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</si>
  <si>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</si>
  <si>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</si>
  <si>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</si>
  <si>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</si>
  <si>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</si>
  <si>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</si>
  <si>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</si>
  <si>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</si>
  <si>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</si>
  <si>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</si>
  <si>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</si>
  <si>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</si>
  <si>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</si>
  <si>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</si>
  <si>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</si>
  <si>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</si>
  <si>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</si>
  <si>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</si>
  <si>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</si>
  <si>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</si>
  <si>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</si>
  <si>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</si>
  <si>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</si>
  <si>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</si>
  <si>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</si>
  <si>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</si>
  <si>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</si>
  <si>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</si>
  <si>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</si>
  <si>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</si>
  <si>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</si>
  <si>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</si>
  <si>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</si>
  <si>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</si>
  <si>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</si>
  <si>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</si>
  <si>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</si>
  <si>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</si>
  <si>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</si>
  <si>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</si>
  <si>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</si>
  <si>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</si>
  <si>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</si>
  <si>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</si>
  <si>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</si>
  <si>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</si>
  <si>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</si>
  <si>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</si>
  <si>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</si>
  <si>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</si>
  <si>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</si>
  <si>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</si>
  <si>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</si>
  <si>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</si>
  <si>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</si>
  <si>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</si>
  <si>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</si>
  <si>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</si>
  <si>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</si>
  <si>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</si>
  <si>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</si>
  <si>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</si>
  <si>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</si>
  <si>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</si>
  <si>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</si>
  <si>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</si>
  <si>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</si>
  <si>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</si>
  <si>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</si>
  <si>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</si>
  <si>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</si>
  <si>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</si>
  <si>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</si>
  <si>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</si>
  <si>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</si>
  <si>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</si>
  <si>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</si>
  <si>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</si>
  <si>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</si>
  <si>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</si>
  <si>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</si>
  <si>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</si>
  <si>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</si>
  <si>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</si>
  <si>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</si>
  <si>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</si>
  <si>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</si>
  <si>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</si>
  <si>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</si>
  <si>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</si>
  <si>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</si>
  <si>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</si>
  <si>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</si>
  <si>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</si>
  <si>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</si>
  <si>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</si>
  <si>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</si>
  <si>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</si>
  <si>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</si>
  <si>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</si>
  <si>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</si>
  <si>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</si>
  <si>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</si>
  <si>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</si>
  <si>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</si>
  <si>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</si>
  <si>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</si>
  <si>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</si>
  <si>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</si>
  <si>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</si>
  <si>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</si>
  <si>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</si>
  <si>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</si>
  <si>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</si>
  <si>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</si>
  <si>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</si>
  <si>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</si>
  <si>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</si>
  <si>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</si>
  <si>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</si>
  <si>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</si>
  <si>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</si>
  <si>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</si>
  <si>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</si>
  <si>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</si>
  <si>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</si>
  <si>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</si>
  <si>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</si>
  <si>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</si>
  <si>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</si>
  <si>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</si>
  <si>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</si>
  <si>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</si>
  <si>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</si>
  <si>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</si>
  <si>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</si>
  <si>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</si>
  <si>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</si>
  <si>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</si>
  <si>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</si>
  <si>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</si>
  <si>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</si>
  <si>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</si>
  <si>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</si>
  <si>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</si>
  <si>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</si>
  <si>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</si>
  <si>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</si>
  <si>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</si>
  <si>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</si>
  <si>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</si>
  <si>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</si>
  <si>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</si>
  <si>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</si>
  <si>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</si>
  <si>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</si>
  <si>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</si>
  <si>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</si>
  <si>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</si>
  <si>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</si>
  <si>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</si>
  <si>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</si>
  <si>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</si>
  <si>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</si>
  <si>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</si>
  <si>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</si>
  <si>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</si>
  <si>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</si>
  <si>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</si>
  <si>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</si>
  <si>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</si>
  <si>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</si>
  <si>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</si>
  <si>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</si>
  <si>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</si>
  <si>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</si>
  <si>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</si>
  <si>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</si>
  <si>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</si>
  <si>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</si>
  <si>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</si>
  <si>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</si>
  <si>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</si>
  <si>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</si>
  <si>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</si>
  <si>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</si>
  <si>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</si>
  <si>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</si>
  <si>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</si>
  <si>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</si>
  <si>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</si>
  <si>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</si>
  <si>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</si>
  <si>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</si>
  <si>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</si>
  <si>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</si>
  <si>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</si>
  <si>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</si>
  <si>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</si>
  <si>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</si>
  <si>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</si>
  <si>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</si>
  <si>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</si>
  <si>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</si>
  <si>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</si>
  <si>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</si>
  <si>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</si>
  <si>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</si>
  <si>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</si>
  <si>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</si>
  <si>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</si>
  <si>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</si>
  <si>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</si>
  <si>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</si>
  <si>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</si>
  <si>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</si>
  <si>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</si>
  <si>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</si>
  <si>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</si>
  <si>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</si>
  <si>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</si>
  <si>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</si>
  <si>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</si>
  <si>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</si>
  <si>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</si>
  <si>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</si>
  <si>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</si>
  <si>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</si>
  <si>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</si>
  <si>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</si>
  <si>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</si>
  <si>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</si>
  <si>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</si>
  <si>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</si>
  <si>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</si>
  <si>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</si>
  <si>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</si>
  <si>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</si>
  <si>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</si>
  <si>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</si>
  <si>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</si>
  <si>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</si>
  <si>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</si>
  <si>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</si>
  <si>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</si>
  <si>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</si>
  <si>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</si>
  <si>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</si>
  <si>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</si>
  <si>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</si>
  <si>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</si>
  <si>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</si>
  <si>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</si>
  <si>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</si>
  <si>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</si>
  <si>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</si>
  <si>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</si>
  <si>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</si>
  <si>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</si>
  <si>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</si>
  <si>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</si>
  <si>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</si>
  <si>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</si>
  <si>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</si>
  <si>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</si>
  <si>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</si>
  <si>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</si>
  <si>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</si>
  <si>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</si>
  <si>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</si>
  <si>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</si>
  <si>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</si>
  <si>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</si>
  <si>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</si>
  <si>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</si>
  <si>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</si>
  <si>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</si>
  <si>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</si>
  <si>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</si>
  <si>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</si>
  <si>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</si>
  <si>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</si>
  <si>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</si>
  <si>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</si>
  <si>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</si>
  <si>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</si>
  <si>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</si>
  <si>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</si>
  <si>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</si>
  <si>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</si>
  <si>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</si>
  <si>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</si>
  <si>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</si>
  <si>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</si>
  <si>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</si>
  <si>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</si>
  <si>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</si>
  <si>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</si>
  <si>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</si>
  <si>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</si>
  <si>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</si>
  <si>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</si>
  <si>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</si>
  <si>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</si>
  <si>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</si>
  <si>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</si>
  <si>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</si>
  <si>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</si>
  <si>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</si>
  <si>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</si>
  <si>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</si>
  <si>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</si>
  <si>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</si>
  <si>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</si>
  <si>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</si>
  <si>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</si>
  <si>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</si>
  <si>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</si>
  <si>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</si>
  <si>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</si>
  <si>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</si>
  <si>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</si>
  <si>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</si>
  <si>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</si>
  <si>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</si>
  <si>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</si>
  <si>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</si>
  <si>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</si>
  <si>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</si>
  <si>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</si>
  <si>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</si>
  <si>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</si>
  <si>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</si>
  <si>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</si>
  <si>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</si>
  <si>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</si>
  <si>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</si>
  <si>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</si>
  <si>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</si>
  <si>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</si>
  <si>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</si>
  <si>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</si>
  <si>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</si>
  <si>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</si>
  <si>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</si>
  <si>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</si>
  <si>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</si>
  <si>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</si>
  <si>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</si>
  <si>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</si>
  <si>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</si>
  <si>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</si>
  <si>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</si>
  <si>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</si>
  <si>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</si>
  <si>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</si>
  <si>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</si>
  <si>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</si>
  <si>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</si>
  <si>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</si>
  <si>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</si>
  <si>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</si>
  <si>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</si>
  <si>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</si>
  <si>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</si>
  <si>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</si>
  <si>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</si>
  <si>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</si>
  <si>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</si>
  <si>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</si>
  <si>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</si>
  <si>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</si>
  <si>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</si>
  <si>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</si>
  <si>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</si>
  <si>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</si>
  <si>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</si>
  <si>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</si>
  <si>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</si>
  <si>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</si>
  <si>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</si>
  <si>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</si>
  <si>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</si>
  <si>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</si>
  <si>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</si>
  <si>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</si>
  <si>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</si>
  <si>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</si>
  <si>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</si>
  <si>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</si>
  <si>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</si>
  <si>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</si>
  <si>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</si>
  <si>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</si>
  <si>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</si>
  <si>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</si>
  <si>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</si>
  <si>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</si>
  <si>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</si>
  <si>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</si>
  <si>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</si>
  <si>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</si>
  <si>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</si>
  <si>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</si>
  <si>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</si>
  <si>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</si>
  <si>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</si>
  <si>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</si>
  <si>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</si>
  <si>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</si>
  <si>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</si>
  <si>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</si>
  <si>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</si>
  <si>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</si>
  <si>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</si>
  <si>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</si>
  <si>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</si>
  <si>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</si>
  <si>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</si>
  <si>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</si>
  <si>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</si>
  <si>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</si>
  <si>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</si>
  <si>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</si>
  <si>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</si>
  <si>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</si>
  <si>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</si>
  <si>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</si>
  <si>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</si>
  <si>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</si>
  <si>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</si>
  <si>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</si>
  <si>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</si>
  <si>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</si>
  <si>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</si>
  <si>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</si>
  <si>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</si>
  <si>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</si>
  <si>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</si>
  <si>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</si>
  <si>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</si>
  <si>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</si>
  <si>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</si>
  <si>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</si>
  <si>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</si>
  <si>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</si>
  <si>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</si>
  <si>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</si>
  <si>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</si>
  <si>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</si>
  <si>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</si>
  <si>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</si>
  <si>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</si>
  <si>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</si>
  <si>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</si>
  <si>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</si>
  <si>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</si>
  <si>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</si>
  <si>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</si>
  <si>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</si>
  <si>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</si>
  <si>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</si>
  <si>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</si>
  <si>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</si>
  <si>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</si>
  <si>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</si>
  <si>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</si>
  <si>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</si>
  <si>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</si>
  <si>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</si>
  <si>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</si>
  <si>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</si>
  <si>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</si>
  <si>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</si>
  <si>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</si>
  <si>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</si>
  <si>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</si>
  <si>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</si>
  <si>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</si>
  <si>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</si>
  <si>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</si>
  <si>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</si>
  <si>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</si>
  <si>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</si>
  <si>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</si>
  <si>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</si>
  <si>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</si>
  <si>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</si>
  <si>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</si>
  <si>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</si>
  <si>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</si>
  <si>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</si>
  <si>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</si>
  <si>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</si>
  <si>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</si>
  <si>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</si>
  <si>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</si>
  <si>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</si>
  <si>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</si>
  <si>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</si>
  <si>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</si>
  <si>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</si>
  <si>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</si>
  <si>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</si>
  <si>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</si>
  <si>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</si>
  <si>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</si>
  <si>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</si>
  <si>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</si>
  <si>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</si>
  <si>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</si>
  <si>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</si>
  <si>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</si>
  <si>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</si>
  <si>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</si>
  <si>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</si>
  <si>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</si>
  <si>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</si>
  <si>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</si>
  <si>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</si>
  <si>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</si>
  <si>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</si>
  <si>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</si>
  <si>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</si>
  <si>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</si>
  <si>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</si>
  <si>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</si>
  <si>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</si>
  <si>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</si>
  <si>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</si>
  <si>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</si>
  <si>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</si>
  <si>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</si>
  <si>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</si>
  <si>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</si>
  <si>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</si>
  <si>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</si>
  <si>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</si>
  <si>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</si>
  <si>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</si>
  <si>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</si>
  <si>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</si>
  <si>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</si>
  <si>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</si>
  <si>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</si>
  <si>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</si>
  <si>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</si>
  <si>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</si>
  <si>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</si>
  <si>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</si>
  <si>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</si>
  <si>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</si>
  <si>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</si>
  <si>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</si>
  <si>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</si>
  <si>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</si>
  <si>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</si>
  <si>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</si>
  <si>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</si>
  <si>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</si>
  <si>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</si>
  <si>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</si>
  <si>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</si>
  <si>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</si>
  <si>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</si>
  <si>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</si>
  <si>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</si>
  <si>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</si>
  <si>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</si>
  <si>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</si>
  <si>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</si>
  <si>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</si>
  <si>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</si>
  <si>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</si>
  <si>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</si>
  <si>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</si>
  <si>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</si>
  <si>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</si>
  <si>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</si>
  <si>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</si>
  <si>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</si>
  <si>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</si>
  <si>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</si>
  <si>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</si>
  <si>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</si>
  <si>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</si>
  <si>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</si>
  <si>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</si>
  <si>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</si>
  <si>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</si>
  <si>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</si>
  <si>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</si>
  <si>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</si>
  <si>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</si>
  <si>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</si>
  <si>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</si>
  <si>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</si>
  <si>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</si>
  <si>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</si>
  <si>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</si>
  <si>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</si>
  <si>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</si>
  <si>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</si>
  <si>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</si>
  <si>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</si>
  <si>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</si>
  <si>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</si>
  <si>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</si>
  <si>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</si>
  <si>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</si>
  <si>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</si>
  <si>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</si>
  <si>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</si>
  <si>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</si>
  <si>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</si>
  <si>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</si>
  <si>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</si>
  <si>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</si>
  <si>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</si>
  <si>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</si>
  <si>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</si>
  <si>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</si>
  <si>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</si>
  <si>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</si>
  <si>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</si>
  <si>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</si>
  <si>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</si>
  <si>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</si>
  <si>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</si>
  <si>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</si>
  <si>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</si>
  <si>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</si>
  <si>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</si>
  <si>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</si>
  <si>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</si>
  <si>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</si>
  <si>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</si>
  <si>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</si>
  <si>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</si>
  <si>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</si>
  <si>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</si>
  <si>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</si>
  <si>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</si>
  <si>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</si>
  <si>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</si>
  <si>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</si>
  <si>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</si>
  <si>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</si>
  <si>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</si>
  <si>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</si>
  <si>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</si>
  <si>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</si>
  <si>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</si>
  <si>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</si>
  <si>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</si>
  <si>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</si>
  <si>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</si>
  <si>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</si>
  <si>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</si>
  <si>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</si>
  <si>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</si>
  <si>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</si>
  <si>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</si>
  <si>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</si>
  <si>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</si>
  <si>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</si>
  <si>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</si>
  <si>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</si>
  <si>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</si>
  <si>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</si>
  <si>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</si>
  <si>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</si>
  <si>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</si>
  <si>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</si>
  <si>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</si>
  <si>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</si>
  <si>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</si>
  <si>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</si>
  <si>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</si>
  <si>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</si>
  <si>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</si>
  <si>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</si>
  <si>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</si>
  <si>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</si>
  <si>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</si>
  <si>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</si>
  <si>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</si>
  <si>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</si>
  <si>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</si>
  <si>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</si>
  <si>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</si>
  <si>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</si>
  <si>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</si>
  <si>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</si>
  <si>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</si>
  <si>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</si>
  <si>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</si>
  <si>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</si>
  <si>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</si>
  <si>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</si>
  <si>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</si>
  <si>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</si>
  <si>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</si>
  <si>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</si>
  <si>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</si>
  <si>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</si>
  <si>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</si>
  <si>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</si>
  <si>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</si>
  <si>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</si>
  <si>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</si>
  <si>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</si>
  <si>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</si>
  <si>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</si>
  <si>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</si>
  <si>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</si>
  <si>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</si>
  <si>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</si>
  <si>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</si>
  <si>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</si>
  <si>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</si>
  <si>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</si>
  <si>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</si>
  <si>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</si>
  <si>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</si>
  <si>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</si>
  <si>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</si>
  <si>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</si>
  <si>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</si>
  <si>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</si>
  <si>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</si>
  <si>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</si>
  <si>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</si>
  <si>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</si>
  <si>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</si>
  <si>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</si>
  <si>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</si>
  <si>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</si>
  <si>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</si>
  <si>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</si>
  <si>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</si>
  <si>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</si>
  <si>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</si>
  <si>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</si>
  <si>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</si>
  <si>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</si>
  <si>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</si>
  <si>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</si>
  <si>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</si>
  <si>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</si>
  <si>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</si>
  <si>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</si>
  <si>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</si>
  <si>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</si>
  <si>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</si>
  <si>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</si>
  <si>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</si>
  <si>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</si>
  <si>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</si>
  <si>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</si>
  <si>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</si>
  <si>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</si>
  <si>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</si>
  <si>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</si>
  <si>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</si>
  <si>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</si>
  <si>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</si>
  <si>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</si>
  <si>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</si>
  <si>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</si>
  <si>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</si>
  <si>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</si>
  <si>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</si>
  <si>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</si>
  <si>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</si>
  <si>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</si>
  <si>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</si>
  <si>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</si>
  <si>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</si>
  <si>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</si>
  <si>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</si>
  <si>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</si>
  <si>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</si>
  <si>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</si>
  <si>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</si>
  <si>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</si>
  <si>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</si>
  <si>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</si>
  <si>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</si>
  <si>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</si>
  <si>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</si>
  <si>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</si>
  <si>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</si>
  <si>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</si>
  <si>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</si>
  <si>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</si>
  <si>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</si>
  <si>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</si>
  <si>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</si>
  <si>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</si>
  <si>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</si>
  <si>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</si>
  <si>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</si>
  <si>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</si>
  <si>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</si>
  <si>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</si>
  <si>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</si>
  <si>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</si>
  <si>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</si>
  <si>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</si>
  <si>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</si>
  <si>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</si>
  <si>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</si>
  <si>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</si>
  <si>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</si>
  <si>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</si>
  <si>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</si>
  <si>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</si>
  <si>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</si>
  <si>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</si>
  <si>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</si>
  <si>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</si>
  <si>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</si>
  <si>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</si>
  <si>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</si>
  <si>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</si>
  <si>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</si>
  <si>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</si>
  <si>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</si>
  <si>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</si>
  <si>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</si>
  <si>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</si>
  <si>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</si>
  <si>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</si>
  <si>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</si>
  <si>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</si>
  <si>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</si>
  <si>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</si>
  <si>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</si>
  <si>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</si>
  <si>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</si>
  <si>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</si>
  <si>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</si>
  <si>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</si>
  <si>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</si>
  <si>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</si>
  <si>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</si>
  <si>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</si>
  <si>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</si>
  <si>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</si>
  <si>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</si>
  <si>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</si>
  <si>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</si>
  <si>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</si>
  <si>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</si>
  <si>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</si>
  <si>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</si>
  <si>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</si>
  <si>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</si>
  <si>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</si>
  <si>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</si>
  <si>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</si>
  <si>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</si>
  <si>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</si>
  <si>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</si>
  <si>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</si>
  <si>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</si>
  <si>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</si>
  <si>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</si>
  <si>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</si>
  <si>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</si>
  <si>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</si>
  <si>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</si>
  <si>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</si>
  <si>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</si>
  <si>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</si>
  <si>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</si>
  <si>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</si>
  <si>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</si>
  <si>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</si>
  <si>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</si>
  <si>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</si>
  <si>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</si>
  <si>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</si>
  <si>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</si>
  <si>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</si>
  <si>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</si>
  <si>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</si>
  <si>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</si>
  <si>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</si>
  <si>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</si>
  <si>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</si>
  <si>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</si>
  <si>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</si>
  <si>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</si>
  <si>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</si>
  <si>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</si>
  <si>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</si>
  <si>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</si>
  <si>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</si>
  <si>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</si>
  <si>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</si>
  <si>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</si>
  <si>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</si>
  <si>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</si>
  <si>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</si>
  <si>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</si>
  <si>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</si>
  <si>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</si>
  <si>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</si>
  <si>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</si>
  <si>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</si>
  <si>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</si>
  <si>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</si>
  <si>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</si>
  <si>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</si>
  <si>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</si>
  <si>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</si>
  <si>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</si>
  <si>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</si>
  <si>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</si>
  <si>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</si>
  <si>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</si>
  <si>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</si>
  <si>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</si>
  <si>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</si>
  <si>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</si>
  <si>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</si>
  <si>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</si>
  <si>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</si>
  <si>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</si>
  <si>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</si>
  <si>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</si>
  <si>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</si>
  <si>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</si>
  <si>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</si>
  <si>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</si>
  <si>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</si>
  <si>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</si>
  <si>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</si>
  <si>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</si>
  <si>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</si>
  <si>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</si>
  <si>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</si>
  <si>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</si>
  <si>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</si>
  <si>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</si>
  <si>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</si>
  <si>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</si>
  <si>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</si>
  <si>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</si>
  <si>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</si>
  <si>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</si>
  <si>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</si>
  <si>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</si>
  <si>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</si>
  <si>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</si>
  <si>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</si>
  <si>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</si>
  <si>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</si>
  <si>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</si>
  <si>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</si>
  <si>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</si>
  <si>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</si>
  <si>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</si>
  <si>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</si>
  <si>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</si>
  <si>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</si>
  <si>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</si>
  <si>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</si>
  <si>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</si>
  <si>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</si>
  <si>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</si>
  <si>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</si>
  <si>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</si>
  <si>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</si>
  <si>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</si>
  <si>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</si>
  <si>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</si>
  <si>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</si>
  <si>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</si>
  <si>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</si>
  <si>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</si>
  <si>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</si>
  <si>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</si>
  <si>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</si>
  <si>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</si>
  <si>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</si>
  <si>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</si>
  <si>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</si>
  <si>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</si>
  <si>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</si>
  <si>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</si>
  <si>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</si>
  <si>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</si>
  <si>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</si>
  <si>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</si>
  <si>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</si>
  <si>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</si>
  <si>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</si>
  <si>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</si>
  <si>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</si>
  <si>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</si>
  <si>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</si>
  <si>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</si>
  <si>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</si>
  <si>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</si>
  <si>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</si>
  <si>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</si>
  <si>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</si>
  <si>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</si>
  <si>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</si>
  <si>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</si>
  <si>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</si>
  <si>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</si>
  <si>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</si>
  <si>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</si>
  <si>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</si>
  <si>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</si>
  <si>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</si>
  <si>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</si>
  <si>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</si>
  <si>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</si>
  <si>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</si>
  <si>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</si>
  <si>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</si>
  <si>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</si>
  <si>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</si>
  <si>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</si>
  <si>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</si>
  <si>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</si>
  <si>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</si>
  <si>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</si>
  <si>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</si>
  <si>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</si>
  <si>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</si>
  <si>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</si>
  <si>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</si>
  <si>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</si>
  <si>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</si>
  <si>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</si>
  <si>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</si>
  <si>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</si>
  <si>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</si>
  <si>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</si>
  <si>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</si>
  <si>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</si>
  <si>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</si>
  <si>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</si>
  <si>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</si>
  <si>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</si>
  <si>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</si>
  <si>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</si>
  <si>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</si>
  <si>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</si>
  <si>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</si>
  <si>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</si>
  <si>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</si>
  <si>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</si>
  <si>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</si>
  <si>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</si>
  <si>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</si>
  <si>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</si>
  <si>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</si>
  <si>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</si>
  <si>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</si>
  <si>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</si>
  <si>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</si>
  <si>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</si>
  <si>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</si>
  <si>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</si>
  <si>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</si>
  <si>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</si>
  <si>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</si>
  <si>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</si>
  <si>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</si>
  <si>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</si>
  <si>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</si>
  <si>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</si>
  <si>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</si>
  <si>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</si>
  <si>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</si>
  <si>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</si>
  <si>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</si>
  <si>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</si>
  <si>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</si>
  <si>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</si>
  <si>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</si>
  <si>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</si>
  <si>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</si>
  <si>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</si>
  <si>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</si>
  <si>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</si>
  <si>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</si>
  <si>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</si>
  <si>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</si>
  <si>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</si>
  <si>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</si>
  <si>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</si>
  <si>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</si>
  <si>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</si>
  <si>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</si>
  <si>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</si>
  <si>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</si>
  <si>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</si>
  <si>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</si>
  <si>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</si>
  <si>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</si>
  <si>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</si>
  <si>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</si>
  <si>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</si>
  <si>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</si>
  <si>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</si>
  <si>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</si>
  <si>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</si>
  <si>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</si>
  <si>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</si>
  <si>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</si>
  <si>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</si>
  <si>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</si>
  <si>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</si>
  <si>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</si>
  <si>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</si>
  <si>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</si>
  <si>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</si>
  <si>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</si>
  <si>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</si>
  <si>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</si>
  <si>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</si>
  <si>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</si>
  <si>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</si>
  <si>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</si>
  <si>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</si>
  <si>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</si>
  <si>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</si>
  <si>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</si>
  <si>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</si>
  <si>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</si>
  <si>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</si>
  <si>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</si>
  <si>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</si>
  <si>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</si>
  <si>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</si>
  <si>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</si>
  <si>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</si>
  <si>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</si>
  <si>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</si>
  <si>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</si>
  <si>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</si>
  <si>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</si>
  <si>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</si>
  <si>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</si>
  <si>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</si>
  <si>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</si>
  <si>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</si>
  <si>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</si>
  <si>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</si>
  <si>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</si>
  <si>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</si>
  <si>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</si>
  <si>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</si>
  <si>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</si>
  <si>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</si>
  <si>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</si>
  <si>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</si>
  <si>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</si>
  <si>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</si>
  <si>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</si>
  <si>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</si>
  <si>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</si>
  <si>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</si>
  <si>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</si>
  <si>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</si>
  <si>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</si>
  <si>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</si>
  <si>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</si>
  <si>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</si>
  <si>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</si>
  <si>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</si>
  <si>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</si>
  <si>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</si>
  <si>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</si>
  <si>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</si>
  <si>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</si>
  <si>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</si>
  <si>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</si>
  <si>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</si>
  <si>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</si>
  <si>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</si>
  <si>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</si>
  <si>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</si>
  <si>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</si>
  <si>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</si>
  <si>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</si>
  <si>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</si>
  <si>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</si>
  <si>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</si>
  <si>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</si>
  <si>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</si>
  <si>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</si>
  <si>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</si>
  <si>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</si>
  <si>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</si>
  <si>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</si>
  <si>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</si>
  <si>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</si>
  <si>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</si>
  <si>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</si>
  <si>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</si>
  <si>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</si>
  <si>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</si>
  <si>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</si>
  <si>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</si>
  <si>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</si>
  <si>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</si>
  <si>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</si>
  <si>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</si>
  <si>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</si>
  <si>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</si>
  <si>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</si>
  <si>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</si>
  <si>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</si>
  <si>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</si>
  <si>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</si>
  <si>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</si>
  <si>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</si>
  <si>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</si>
  <si>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</si>
  <si>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</si>
  <si>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</si>
  <si>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</si>
  <si>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</si>
  <si>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</si>
  <si>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</si>
  <si>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</si>
  <si>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</si>
  <si>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</si>
  <si>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</si>
  <si>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</si>
  <si>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</si>
  <si>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</si>
  <si>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</si>
  <si>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</si>
  <si>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</si>
  <si>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</si>
  <si>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</si>
  <si>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</si>
  <si>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</si>
  <si>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</si>
  <si>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</si>
  <si>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</si>
  <si>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</si>
  <si>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</si>
  <si>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</si>
  <si>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</si>
  <si>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</si>
  <si>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</si>
  <si>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</si>
  <si>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</si>
  <si>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</si>
  <si>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</si>
  <si>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</si>
  <si>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</si>
  <si>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</si>
  <si>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</si>
  <si>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</si>
  <si>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</si>
  <si>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</si>
  <si>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</si>
  <si>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</si>
  <si>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</si>
  <si>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</si>
  <si>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</si>
  <si>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</si>
  <si>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</si>
  <si>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</si>
  <si>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</si>
  <si>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</si>
  <si>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</si>
  <si>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</si>
  <si>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</si>
  <si>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</si>
  <si>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</si>
  <si>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</si>
  <si>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</si>
  <si>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</si>
  <si>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</si>
  <si>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</si>
  <si>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</si>
  <si>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</si>
  <si>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</si>
  <si>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</si>
  <si>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</si>
  <si>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</si>
  <si>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</si>
  <si>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</si>
  <si>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</si>
  <si>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</si>
  <si>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</si>
  <si>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</si>
  <si>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</si>
  <si>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</si>
  <si>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</si>
  <si>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</si>
  <si>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</si>
  <si>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</si>
  <si>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</si>
  <si>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</si>
  <si>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</si>
  <si>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</si>
  <si>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</si>
  <si>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</si>
  <si>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</si>
  <si>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</si>
  <si>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</si>
  <si>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</si>
  <si>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</si>
  <si>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</si>
  <si>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</si>
  <si>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</si>
  <si>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</si>
  <si>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</si>
  <si>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</si>
  <si>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</si>
  <si>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</si>
  <si>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</si>
  <si>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</si>
  <si>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</si>
  <si>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</si>
  <si>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</si>
  <si>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</si>
  <si>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</si>
  <si>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</si>
  <si>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</si>
  <si>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</si>
  <si>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</si>
  <si>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</si>
  <si>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</si>
  <si>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</si>
  <si>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</si>
  <si>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</si>
  <si>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</si>
  <si>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</si>
  <si>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</si>
  <si>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</si>
  <si>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</si>
  <si>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</si>
  <si>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</si>
  <si>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</si>
  <si>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</si>
  <si>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</si>
  <si>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</si>
  <si>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</si>
  <si>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</si>
  <si>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</si>
  <si>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</si>
  <si>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</si>
  <si>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</si>
  <si>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</si>
  <si>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</si>
  <si>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</si>
  <si>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</si>
  <si>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</si>
  <si>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</si>
  <si>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</si>
  <si>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</si>
  <si>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</si>
  <si>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</si>
  <si>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</si>
  <si>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</si>
  <si>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</si>
  <si>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</si>
  <si>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</si>
  <si>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</si>
  <si>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</si>
  <si>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</si>
  <si>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</si>
  <si>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</si>
  <si>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</si>
  <si>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</si>
  <si>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</si>
  <si>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</si>
  <si>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</si>
  <si>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</si>
  <si>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</si>
  <si>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</si>
  <si>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</si>
  <si>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</si>
  <si>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</si>
  <si>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</si>
  <si>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</si>
  <si>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</si>
  <si>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</si>
  <si>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</si>
  <si>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</si>
  <si>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</si>
  <si>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</si>
  <si>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</si>
  <si>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</si>
  <si>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</si>
  <si>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</si>
  <si>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</si>
  <si>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</si>
  <si>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</si>
  <si>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</si>
  <si>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</si>
  <si>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</si>
  <si>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</si>
  <si>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</si>
  <si>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</si>
  <si>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</si>
  <si>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</si>
  <si>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</si>
  <si>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</si>
  <si>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</si>
  <si>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</si>
  <si>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</si>
  <si>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</si>
  <si>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</si>
  <si>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</si>
  <si>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</si>
  <si>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</si>
  <si>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</si>
  <si>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</si>
  <si>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</si>
  <si>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</si>
  <si>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</si>
  <si>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</si>
  <si>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</si>
  <si>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</si>
  <si>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</si>
  <si>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</si>
  <si>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</si>
  <si>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</si>
  <si>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</si>
  <si>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</si>
  <si>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</si>
  <si>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</si>
  <si>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</si>
  <si>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</si>
  <si>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</si>
  <si>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</si>
  <si>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</si>
  <si>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</si>
  <si>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</si>
  <si>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</si>
  <si>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</si>
  <si>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</si>
  <si>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</si>
  <si>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</si>
  <si>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</si>
  <si>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</si>
  <si>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</si>
  <si>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</si>
  <si>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</si>
  <si>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</si>
  <si>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</si>
  <si>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</si>
  <si>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</si>
  <si>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</si>
  <si>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</si>
  <si>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</si>
  <si>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</si>
  <si>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</si>
  <si>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</si>
  <si>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</si>
  <si>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</si>
  <si>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</si>
  <si>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</si>
  <si>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</si>
  <si>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</si>
  <si>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</si>
  <si>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</si>
  <si>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</si>
  <si>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</si>
  <si>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</si>
  <si>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</si>
  <si>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</si>
  <si>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</si>
  <si>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</si>
  <si>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</si>
  <si>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</si>
  <si>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</si>
  <si>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</si>
  <si>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</si>
  <si>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</si>
  <si>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</si>
  <si>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</si>
  <si>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</si>
  <si>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</si>
  <si>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</si>
  <si>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</si>
  <si>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</si>
  <si>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</si>
  <si>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</si>
  <si>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</si>
  <si>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</si>
  <si>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</si>
  <si>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</si>
  <si>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</si>
  <si>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</si>
  <si>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</si>
  <si>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</si>
  <si>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</si>
  <si>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</si>
  <si>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</si>
  <si>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</si>
  <si>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</si>
  <si>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</si>
  <si>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</si>
  <si>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</si>
  <si>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</si>
  <si>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</si>
  <si>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</si>
  <si>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</si>
  <si>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</si>
  <si>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</si>
  <si>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</si>
  <si>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</si>
  <si>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</si>
  <si>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</si>
  <si>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</si>
  <si>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</si>
  <si>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</si>
  <si>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</si>
  <si>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</si>
  <si>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</si>
  <si>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</si>
  <si>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</si>
  <si>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</si>
  <si>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</si>
  <si>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</si>
  <si>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</si>
  <si>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</si>
  <si>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</si>
  <si>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</si>
  <si>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</si>
  <si>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</si>
  <si>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</si>
  <si>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</si>
  <si>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</si>
  <si>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</si>
  <si>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</si>
  <si>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</si>
  <si>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</si>
  <si>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</si>
  <si>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</si>
  <si>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</si>
  <si>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</si>
  <si>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</si>
  <si>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</si>
  <si>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</si>
  <si>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</si>
  <si>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</si>
  <si>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</si>
  <si>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</si>
  <si>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</si>
  <si>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</si>
  <si>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</si>
  <si>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</si>
  <si>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</si>
  <si>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</si>
  <si>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</si>
  <si>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</si>
  <si>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</si>
  <si>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</si>
  <si>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</si>
  <si>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</si>
  <si>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</si>
  <si>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</si>
  <si>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</si>
  <si>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</si>
  <si>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</si>
  <si>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</si>
  <si>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</si>
  <si>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</si>
  <si>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</si>
  <si>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</si>
  <si>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</si>
  <si>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</si>
  <si>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</si>
  <si>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</si>
  <si>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</si>
  <si>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</si>
  <si>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</si>
  <si>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</si>
  <si>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</si>
  <si>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</si>
  <si>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</si>
  <si>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</si>
  <si>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</si>
  <si>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</si>
  <si>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</si>
  <si>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</si>
  <si>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</si>
  <si>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</si>
  <si>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</si>
  <si>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</si>
  <si>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</si>
  <si>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</si>
  <si>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</si>
  <si>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</si>
  <si>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</si>
  <si>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</si>
  <si>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</si>
  <si>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</si>
  <si>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</si>
  <si>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</si>
  <si>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</si>
  <si>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</si>
  <si>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</si>
  <si>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</si>
  <si>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</si>
  <si>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</si>
  <si>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</si>
  <si>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</si>
  <si>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</si>
  <si>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</si>
  <si>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</si>
  <si>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</si>
  <si>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</si>
  <si>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</si>
  <si>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</si>
  <si>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</si>
  <si>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</si>
  <si>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</si>
  <si>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</si>
  <si>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</si>
  <si>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</si>
  <si>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</si>
  <si>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</si>
  <si>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</si>
  <si>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</si>
  <si>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</si>
  <si>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</si>
  <si>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</si>
  <si>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</si>
  <si>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</si>
  <si>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</si>
  <si>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</si>
  <si>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</si>
  <si>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</si>
  <si>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</si>
  <si>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</si>
  <si>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</si>
  <si>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</si>
  <si>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</si>
  <si>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</si>
  <si>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</si>
  <si>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</si>
  <si>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</si>
  <si>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</si>
  <si>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</si>
  <si>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</si>
  <si>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</si>
  <si>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</si>
  <si>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</si>
  <si>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</si>
  <si>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</si>
  <si>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</si>
  <si>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</si>
  <si>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</si>
  <si>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</si>
  <si>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</si>
  <si>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</si>
  <si>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</si>
  <si>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</si>
  <si>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</si>
  <si>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</si>
  <si>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</si>
  <si>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</si>
  <si>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</si>
  <si>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</si>
  <si>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</si>
  <si>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</si>
  <si>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</si>
  <si>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</si>
  <si>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</si>
  <si>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</si>
  <si>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</si>
  <si>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</si>
  <si>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</si>
  <si>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</si>
  <si>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</si>
  <si>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</si>
  <si>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</si>
  <si>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</si>
  <si>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</si>
  <si>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</si>
  <si>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</si>
  <si>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</si>
  <si>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</si>
  <si>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</si>
  <si>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</si>
  <si>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</si>
  <si>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</si>
  <si>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</si>
  <si>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</si>
  <si>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</si>
  <si>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</si>
  <si>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</si>
  <si>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</si>
  <si>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</si>
  <si>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</si>
  <si>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</si>
  <si>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</si>
  <si>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</si>
  <si>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</si>
  <si>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</si>
  <si>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</si>
  <si>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</si>
  <si>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</si>
  <si>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</si>
  <si>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</si>
  <si>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</si>
  <si>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</si>
  <si>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</si>
  <si>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</si>
  <si>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</si>
  <si>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</si>
  <si>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</si>
  <si>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</si>
  <si>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</si>
  <si>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</si>
  <si>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</si>
  <si>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</si>
  <si>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</si>
  <si>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</si>
  <si>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</si>
  <si>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</si>
  <si>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</si>
  <si>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</si>
  <si>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</si>
  <si>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</si>
  <si>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</si>
  <si>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</si>
  <si>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</si>
  <si>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</si>
  <si>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</si>
  <si>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</si>
  <si>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</si>
  <si>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</si>
  <si>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</si>
  <si>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</si>
  <si>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</si>
  <si>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</si>
  <si>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</si>
  <si>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</si>
  <si>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</si>
  <si>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</si>
  <si>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</si>
  <si>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</si>
  <si>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</si>
  <si>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</si>
  <si>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</si>
  <si>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</si>
  <si>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</si>
  <si>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</si>
  <si>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</si>
  <si>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</si>
  <si>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</si>
  <si>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</si>
  <si>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</si>
  <si>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</si>
  <si>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</si>
  <si>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</si>
  <si>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</si>
  <si>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</si>
  <si>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</si>
  <si>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</si>
  <si>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</si>
  <si>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</si>
  <si>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</si>
  <si>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</si>
  <si>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</si>
  <si>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</si>
  <si>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</si>
  <si>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</si>
  <si>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</si>
  <si>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</si>
  <si>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</si>
  <si>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</si>
  <si>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</si>
  <si>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</si>
  <si>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</si>
  <si>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</si>
  <si>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</si>
  <si>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</si>
  <si>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</si>
  <si>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</si>
  <si>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</si>
  <si>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</si>
  <si>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</si>
  <si>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</si>
  <si>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</si>
  <si>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</si>
  <si>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</si>
  <si>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</si>
  <si>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国有建设用地使用权出让合同</t>
    <phoneticPr fontId="135" type="noConversion"/>
  </si>
  <si>
    <t>受让人</t>
    <phoneticPr fontId="135" type="noConversion"/>
  </si>
  <si>
    <t>绵阳天宜上佳新材料有限公司</t>
    <phoneticPr fontId="135" type="noConversion"/>
  </si>
  <si>
    <t>宗地面积</t>
    <phoneticPr fontId="135" type="noConversion"/>
  </si>
  <si>
    <t>交付</t>
    <phoneticPr fontId="135" type="noConversion"/>
  </si>
  <si>
    <t>交付标准</t>
    <phoneticPr fontId="135" type="noConversion"/>
  </si>
  <si>
    <t>地上无构建筑物</t>
    <phoneticPr fontId="135" type="noConversion"/>
  </si>
  <si>
    <t>通路</t>
    <phoneticPr fontId="135" type="noConversion"/>
  </si>
  <si>
    <t>通电</t>
    <phoneticPr fontId="135" type="noConversion"/>
  </si>
  <si>
    <t>通讯</t>
    <phoneticPr fontId="135" type="noConversion"/>
  </si>
  <si>
    <t>年期</t>
    <phoneticPr fontId="135" type="noConversion"/>
  </si>
  <si>
    <t>地价款</t>
    <phoneticPr fontId="135" type="noConversion"/>
  </si>
  <si>
    <t xml:space="preserve"> </t>
    <phoneticPr fontId="135" type="noConversion"/>
  </si>
  <si>
    <t>地面单价</t>
    <phoneticPr fontId="135" type="noConversion"/>
  </si>
  <si>
    <t>限高</t>
    <phoneticPr fontId="135" type="noConversion"/>
  </si>
  <si>
    <t>密度</t>
    <phoneticPr fontId="135" type="noConversion"/>
  </si>
  <si>
    <t>绿地率</t>
    <phoneticPr fontId="135" type="noConversion"/>
  </si>
  <si>
    <t>开工</t>
    <phoneticPr fontId="135" type="noConversion"/>
  </si>
  <si>
    <t>竣工</t>
    <phoneticPr fontId="135" type="noConversion"/>
  </si>
  <si>
    <t>工业用地</t>
    <phoneticPr fontId="135" type="noConversion"/>
  </si>
  <si>
    <t>用途</t>
    <phoneticPr fontId="135" type="noConversion"/>
  </si>
  <si>
    <t>签订</t>
    <phoneticPr fontId="135" type="noConversion"/>
  </si>
  <si>
    <t>土地证</t>
    <phoneticPr fontId="135" type="noConversion"/>
  </si>
  <si>
    <t>大证</t>
    <phoneticPr fontId="135" type="noConversion"/>
  </si>
  <si>
    <t>一期</t>
    <phoneticPr fontId="135" type="noConversion"/>
  </si>
  <si>
    <t>二期</t>
    <phoneticPr fontId="135" type="noConversion"/>
  </si>
  <si>
    <t>三期</t>
    <phoneticPr fontId="135" type="noConversion"/>
  </si>
  <si>
    <t>已建成</t>
    <phoneticPr fontId="135" type="noConversion"/>
  </si>
  <si>
    <t>快建成</t>
    <phoneticPr fontId="135" type="noConversion"/>
  </si>
  <si>
    <t>房地产市场价值</t>
  </si>
  <si>
    <t>房地产抵押价值</t>
  </si>
  <si>
    <t>其他：</t>
  </si>
  <si>
    <t>企业</t>
  </si>
  <si>
    <t>地上</t>
  </si>
  <si>
    <t>地下</t>
  </si>
  <si>
    <t>一期</t>
    <phoneticPr fontId="4" type="noConversion"/>
  </si>
  <si>
    <r>
      <t>1</t>
    </r>
    <r>
      <rPr>
        <sz val="10"/>
        <color indexed="8"/>
        <rFont val="宋体"/>
        <family val="3"/>
        <charset val="134"/>
      </rPr>
      <t>号厂房</t>
    </r>
    <phoneticPr fontId="4" type="noConversion"/>
  </si>
  <si>
    <t>1-2</t>
    <phoneticPr fontId="4" type="noConversion"/>
  </si>
  <si>
    <r>
      <t>4</t>
    </r>
    <r>
      <rPr>
        <sz val="10"/>
        <color indexed="8"/>
        <rFont val="宋体"/>
        <family val="3"/>
        <charset val="134"/>
      </rPr>
      <t>号厂房</t>
    </r>
    <phoneticPr fontId="4" type="noConversion"/>
  </si>
  <si>
    <r>
      <t>1-4</t>
    </r>
    <r>
      <rPr>
        <sz val="10"/>
        <color indexed="8"/>
        <rFont val="宋体"/>
        <family val="3"/>
        <charset val="134"/>
      </rPr>
      <t>号厂房连廊</t>
    </r>
    <phoneticPr fontId="4" type="noConversion"/>
  </si>
  <si>
    <t>门卫与消防泵房</t>
    <phoneticPr fontId="4" type="noConversion"/>
  </si>
  <si>
    <t>-1-1</t>
    <phoneticPr fontId="4" type="noConversion"/>
  </si>
  <si>
    <t>二期</t>
    <phoneticPr fontId="4" type="noConversion"/>
  </si>
  <si>
    <r>
      <rPr>
        <sz val="10"/>
        <color indexed="8"/>
        <rFont val="宋体"/>
        <family val="3"/>
        <charset val="134"/>
      </rPr>
      <t>厂房</t>
    </r>
    <r>
      <rPr>
        <sz val="10"/>
        <color indexed="8"/>
        <rFont val="Arial"/>
        <family val="2"/>
      </rPr>
      <t>2</t>
    </r>
    <phoneticPr fontId="4" type="noConversion"/>
  </si>
  <si>
    <r>
      <rPr>
        <sz val="11"/>
        <color indexed="8"/>
        <rFont val="宋体"/>
        <family val="3"/>
        <charset val="134"/>
      </rPr>
      <t>厂房</t>
    </r>
    <r>
      <rPr>
        <sz val="11"/>
        <color indexed="8"/>
        <rFont val="Arial"/>
        <family val="2"/>
      </rPr>
      <t>3</t>
    </r>
    <phoneticPr fontId="4" type="noConversion"/>
  </si>
  <si>
    <r>
      <rPr>
        <sz val="11"/>
        <color indexed="8"/>
        <rFont val="宋体"/>
        <family val="3"/>
        <charset val="134"/>
      </rPr>
      <t>厂房</t>
    </r>
    <r>
      <rPr>
        <sz val="11"/>
        <color indexed="8"/>
        <rFont val="Arial"/>
        <family val="2"/>
      </rPr>
      <t>5</t>
    </r>
    <phoneticPr fontId="4" type="noConversion"/>
  </si>
  <si>
    <r>
      <rPr>
        <sz val="11"/>
        <color indexed="8"/>
        <rFont val="宋体"/>
        <family val="3"/>
        <charset val="134"/>
      </rPr>
      <t>厂房</t>
    </r>
    <r>
      <rPr>
        <sz val="11"/>
        <color indexed="8"/>
        <rFont val="Arial"/>
        <family val="2"/>
      </rPr>
      <t>6</t>
    </r>
    <r>
      <rPr>
        <sz val="11"/>
        <color theme="1"/>
        <rFont val="宋体"/>
        <family val="2"/>
        <charset val="134"/>
        <scheme val="minor"/>
      </rPr>
      <t/>
    </r>
  </si>
  <si>
    <r>
      <rPr>
        <sz val="11"/>
        <color indexed="8"/>
        <rFont val="宋体"/>
        <family val="3"/>
        <charset val="134"/>
      </rPr>
      <t>厂房</t>
    </r>
    <r>
      <rPr>
        <sz val="11"/>
        <color indexed="8"/>
        <rFont val="Arial"/>
        <family val="2"/>
      </rPr>
      <t>7</t>
    </r>
    <r>
      <rPr>
        <sz val="11"/>
        <color theme="1"/>
        <rFont val="宋体"/>
        <family val="2"/>
        <charset val="134"/>
        <scheme val="minor"/>
      </rPr>
      <t/>
    </r>
  </si>
  <si>
    <r>
      <rPr>
        <sz val="11"/>
        <color indexed="8"/>
        <rFont val="宋体"/>
        <family val="3"/>
        <charset val="134"/>
      </rPr>
      <t>厂房</t>
    </r>
    <r>
      <rPr>
        <sz val="11"/>
        <color indexed="8"/>
        <rFont val="Arial"/>
        <family val="2"/>
      </rPr>
      <t>8</t>
    </r>
    <r>
      <rPr>
        <sz val="11"/>
        <color theme="1"/>
        <rFont val="宋体"/>
        <family val="2"/>
        <charset val="134"/>
        <scheme val="minor"/>
      </rPr>
      <t/>
    </r>
  </si>
  <si>
    <r>
      <rPr>
        <sz val="11"/>
        <color indexed="8"/>
        <rFont val="宋体"/>
        <family val="3"/>
        <charset val="134"/>
      </rPr>
      <t>厂房</t>
    </r>
    <r>
      <rPr>
        <sz val="11"/>
        <color indexed="8"/>
        <rFont val="Arial"/>
        <family val="2"/>
      </rPr>
      <t>9</t>
    </r>
    <r>
      <rPr>
        <sz val="11"/>
        <color theme="1"/>
        <rFont val="宋体"/>
        <family val="2"/>
        <charset val="134"/>
        <scheme val="minor"/>
      </rPr>
      <t/>
    </r>
  </si>
  <si>
    <t>1-3</t>
    <phoneticPr fontId="4" type="noConversion"/>
  </si>
  <si>
    <r>
      <rPr>
        <sz val="11"/>
        <color indexed="8"/>
        <rFont val="宋体"/>
        <family val="3"/>
        <charset val="134"/>
      </rPr>
      <t>库房</t>
    </r>
    <r>
      <rPr>
        <sz val="11"/>
        <color indexed="8"/>
        <rFont val="Arial"/>
        <family val="2"/>
      </rPr>
      <t>1</t>
    </r>
    <phoneticPr fontId="4" type="noConversion"/>
  </si>
  <si>
    <r>
      <rPr>
        <sz val="11"/>
        <color indexed="8"/>
        <rFont val="宋体"/>
        <family val="3"/>
        <charset val="134"/>
      </rPr>
      <t>库房</t>
    </r>
    <r>
      <rPr>
        <sz val="11"/>
        <color indexed="8"/>
        <rFont val="Arial"/>
        <family val="2"/>
      </rPr>
      <t>2</t>
    </r>
    <r>
      <rPr>
        <sz val="11"/>
        <color theme="1"/>
        <rFont val="宋体"/>
        <family val="2"/>
        <charset val="134"/>
        <scheme val="minor"/>
      </rPr>
      <t/>
    </r>
  </si>
  <si>
    <r>
      <rPr>
        <sz val="11"/>
        <color indexed="8"/>
        <rFont val="宋体"/>
        <family val="3"/>
        <charset val="134"/>
      </rPr>
      <t>库房</t>
    </r>
    <r>
      <rPr>
        <sz val="11"/>
        <color indexed="8"/>
        <rFont val="Arial"/>
        <family val="2"/>
      </rPr>
      <t>3</t>
    </r>
    <r>
      <rPr>
        <sz val="11"/>
        <color theme="1"/>
        <rFont val="宋体"/>
        <family val="2"/>
        <charset val="134"/>
        <scheme val="minor"/>
      </rPr>
      <t/>
    </r>
  </si>
  <si>
    <t>研发楼</t>
    <phoneticPr fontId="4" type="noConversion"/>
  </si>
  <si>
    <t>食堂活动中心</t>
    <phoneticPr fontId="4" type="noConversion"/>
  </si>
  <si>
    <t>倒班房</t>
    <phoneticPr fontId="4" type="noConversion"/>
  </si>
  <si>
    <t>门卫二</t>
    <phoneticPr fontId="4" type="noConversion"/>
  </si>
  <si>
    <t>三期</t>
    <phoneticPr fontId="4" type="noConversion"/>
  </si>
  <si>
    <r>
      <rPr>
        <sz val="11"/>
        <color indexed="8"/>
        <rFont val="宋体"/>
        <family val="3"/>
        <charset val="134"/>
      </rPr>
      <t>厂房</t>
    </r>
    <r>
      <rPr>
        <sz val="11"/>
        <color indexed="8"/>
        <rFont val="Arial"/>
        <family val="2"/>
      </rPr>
      <t>10</t>
    </r>
    <phoneticPr fontId="4" type="noConversion"/>
  </si>
  <si>
    <r>
      <rPr>
        <sz val="11"/>
        <color indexed="8"/>
        <rFont val="宋体"/>
        <family val="3"/>
        <charset val="134"/>
      </rPr>
      <t>厂房</t>
    </r>
    <r>
      <rPr>
        <sz val="11"/>
        <color indexed="8"/>
        <rFont val="Arial"/>
        <family val="2"/>
      </rPr>
      <t>11</t>
    </r>
    <r>
      <rPr>
        <sz val="11"/>
        <color theme="1"/>
        <rFont val="宋体"/>
        <family val="2"/>
        <charset val="134"/>
        <scheme val="minor"/>
      </rPr>
      <t/>
    </r>
  </si>
  <si>
    <r>
      <rPr>
        <sz val="11"/>
        <color indexed="8"/>
        <rFont val="宋体"/>
        <family val="3"/>
        <charset val="134"/>
      </rPr>
      <t>厂房</t>
    </r>
    <r>
      <rPr>
        <sz val="11"/>
        <color indexed="8"/>
        <rFont val="Arial"/>
        <family val="2"/>
      </rPr>
      <t>12</t>
    </r>
    <r>
      <rPr>
        <sz val="11"/>
        <color theme="1"/>
        <rFont val="宋体"/>
        <family val="2"/>
        <charset val="134"/>
        <scheme val="minor"/>
      </rPr>
      <t/>
    </r>
  </si>
  <si>
    <r>
      <rPr>
        <sz val="11"/>
        <color indexed="8"/>
        <rFont val="宋体"/>
        <family val="3"/>
        <charset val="134"/>
      </rPr>
      <t>厂房</t>
    </r>
    <r>
      <rPr>
        <sz val="11"/>
        <color indexed="8"/>
        <rFont val="Arial"/>
        <family val="2"/>
      </rPr>
      <t>13</t>
    </r>
    <r>
      <rPr>
        <sz val="11"/>
        <color theme="1"/>
        <rFont val="宋体"/>
        <family val="2"/>
        <charset val="134"/>
        <scheme val="minor"/>
      </rPr>
      <t/>
    </r>
  </si>
  <si>
    <r>
      <rPr>
        <sz val="11"/>
        <color indexed="8"/>
        <rFont val="宋体"/>
        <family val="3"/>
        <charset val="134"/>
      </rPr>
      <t>门卫</t>
    </r>
    <r>
      <rPr>
        <sz val="11"/>
        <color indexed="8"/>
        <rFont val="Arial"/>
        <family val="2"/>
      </rPr>
      <t>3</t>
    </r>
    <phoneticPr fontId="4" type="noConversion"/>
  </si>
  <si>
    <r>
      <rPr>
        <sz val="11"/>
        <color indexed="8"/>
        <rFont val="宋体"/>
        <family val="3"/>
        <charset val="134"/>
      </rPr>
      <t>门卫</t>
    </r>
    <r>
      <rPr>
        <sz val="11"/>
        <color indexed="8"/>
        <rFont val="Arial"/>
        <family val="2"/>
      </rPr>
      <t>4</t>
    </r>
    <phoneticPr fontId="4" type="noConversion"/>
  </si>
  <si>
    <r>
      <rPr>
        <sz val="11"/>
        <color indexed="8"/>
        <rFont val="宋体"/>
        <family val="3"/>
        <charset val="134"/>
      </rPr>
      <t>库房</t>
    </r>
    <r>
      <rPr>
        <sz val="11"/>
        <color indexed="8"/>
        <rFont val="Arial"/>
        <family val="2"/>
      </rPr>
      <t>4</t>
    </r>
    <phoneticPr fontId="4" type="noConversion"/>
  </si>
  <si>
    <r>
      <rPr>
        <sz val="11"/>
        <color indexed="8"/>
        <rFont val="宋体"/>
        <family val="3"/>
        <charset val="134"/>
      </rPr>
      <t>库房</t>
    </r>
    <r>
      <rPr>
        <sz val="11"/>
        <color indexed="8"/>
        <rFont val="Arial"/>
        <family val="2"/>
      </rPr>
      <t>5</t>
    </r>
    <phoneticPr fontId="4" type="noConversion"/>
  </si>
  <si>
    <r>
      <rPr>
        <sz val="11"/>
        <color indexed="8"/>
        <rFont val="宋体"/>
        <family val="3"/>
        <charset val="134"/>
      </rPr>
      <t>库房</t>
    </r>
    <r>
      <rPr>
        <sz val="11"/>
        <color indexed="8"/>
        <rFont val="Arial"/>
        <family val="2"/>
      </rPr>
      <t>6</t>
    </r>
    <phoneticPr fontId="4" type="noConversion"/>
  </si>
  <si>
    <t>余热发电机房</t>
    <phoneticPr fontId="4" type="noConversion"/>
  </si>
  <si>
    <t>余热发电泵房</t>
    <phoneticPr fontId="4" type="noConversion"/>
  </si>
  <si>
    <t>1-4</t>
    <phoneticPr fontId="4" type="noConversion"/>
  </si>
  <si>
    <t>是</t>
  </si>
  <si>
    <t>工业</t>
    <phoneticPr fontId="8" type="noConversion"/>
  </si>
  <si>
    <t>一期</t>
    <phoneticPr fontId="4" type="noConversion"/>
  </si>
  <si>
    <t>二期</t>
    <phoneticPr fontId="4" type="noConversion"/>
  </si>
  <si>
    <t>三期</t>
    <phoneticPr fontId="4" type="noConversion"/>
  </si>
  <si>
    <t>工程进度</t>
  </si>
  <si>
    <t>收益法</t>
  </si>
  <si>
    <t>厂房</t>
    <phoneticPr fontId="4" type="noConversion"/>
  </si>
  <si>
    <t>库房</t>
    <phoneticPr fontId="4" type="noConversion"/>
  </si>
  <si>
    <t>研发</t>
    <phoneticPr fontId="4" type="noConversion"/>
  </si>
  <si>
    <t>其他</t>
    <phoneticPr fontId="4" type="noConversion"/>
  </si>
  <si>
    <t>面积</t>
    <phoneticPr fontId="4" type="noConversion"/>
  </si>
  <si>
    <t>租金</t>
    <phoneticPr fontId="4" type="noConversion"/>
  </si>
  <si>
    <t>在建（套用方法）</t>
  </si>
  <si>
    <t>自定义</t>
  </si>
  <si>
    <t>钢混</t>
  </si>
  <si>
    <t>生产用房</t>
  </si>
  <si>
    <t>地块名称</t>
  </si>
  <si>
    <t>城市</t>
  </si>
  <si>
    <t>省份</t>
  </si>
  <si>
    <t>区县</t>
  </si>
  <si>
    <t>土地位置</t>
  </si>
  <si>
    <t>用地性质</t>
  </si>
  <si>
    <t>建设用地面积(㎡)</t>
  </si>
  <si>
    <t>规划建筑面积(㎡)</t>
  </si>
  <si>
    <t>容积率</t>
  </si>
  <si>
    <t>容积率上限</t>
  </si>
  <si>
    <t>详细规划</t>
  </si>
  <si>
    <t>成交时间</t>
  </si>
  <si>
    <t>成交状态</t>
  </si>
  <si>
    <t>受让单位</t>
  </si>
  <si>
    <t>成交价(万元)</t>
  </si>
  <si>
    <t>成交土地单价(元/㎡)</t>
  </si>
  <si>
    <t>成交每亩价(万元/亩)</t>
  </si>
  <si>
    <t>成交楼面价(元/㎡)</t>
  </si>
  <si>
    <t>溢价率(%)</t>
  </si>
  <si>
    <t>出让年限(年)</t>
  </si>
  <si>
    <t>开工进度</t>
  </si>
  <si>
    <t>武都镇南塔村</t>
  </si>
  <si>
    <t>绵阳市</t>
  </si>
  <si>
    <t xml:space="preserve"> 四川省</t>
  </si>
  <si>
    <t xml:space="preserve"> 江油市</t>
  </si>
  <si>
    <t xml:space="preserve"> --</t>
  </si>
  <si>
    <t xml:space="preserve"> 武都镇南塔村</t>
  </si>
  <si>
    <t xml:space="preserve"> 工业用地</t>
  </si>
  <si>
    <t xml:space="preserve"> 1.000≤ 并且 ≤2.000</t>
  </si>
  <si>
    <t xml:space="preserve"> -- </t>
  </si>
  <si>
    <t xml:space="preserve"> 未成交</t>
  </si>
  <si>
    <t xml:space="preserve"> 50年</t>
  </si>
  <si>
    <t xml:space="preserve"> 未开工</t>
  </si>
  <si>
    <t>战旗镇瓦子村</t>
  </si>
  <si>
    <t xml:space="preserve"> 战旗镇瓦子村</t>
  </si>
  <si>
    <t xml:space="preserve"> 0.500≤</t>
  </si>
  <si>
    <t xml:space="preserve"> 已成交</t>
  </si>
  <si>
    <t xml:space="preserve"> 江油中科绵投环境科技有限公司  </t>
  </si>
  <si>
    <t xml:space="preserve"> 已开工</t>
  </si>
  <si>
    <t>含增镇石材产业园南北干道以东</t>
  </si>
  <si>
    <t xml:space="preserve"> 含增镇石材产业园南北干道以东</t>
  </si>
  <si>
    <t xml:space="preserve"> 1.000≤ 并且 ≤5.000</t>
  </si>
  <si>
    <t xml:space="preserve"> 江油市宏维矿业有限公司  </t>
  </si>
  <si>
    <t>北邻龙云村5组、东邻龙云村5组、7组、南邻规划道路、西邻龙云村5、6、7组</t>
  </si>
  <si>
    <t xml:space="preserve"> 北邻龙云村5组、东邻龙云村5组、7组、南邻规划道路、西邻龙云村5、6、7组</t>
  </si>
  <si>
    <t xml:space="preserve"> 四川勇丰环保新材料有限公司  </t>
  </si>
  <si>
    <t>北邻界池村7组、东邻界池村7组、南邻界池村7组、西邻界池村7组</t>
  </si>
  <si>
    <t xml:space="preserve"> 北邻界池村7组、东邻界池村7组、南邻界池村7组、西邻界池村7组</t>
  </si>
  <si>
    <t xml:space="preserve"> 江油均伟环保科技有限公司  </t>
  </si>
  <si>
    <t>北邻绵阳优丰磊德新型建材公司、东邻东山路、南邻三合镇广新村十一组、西邻绵阳优丰磊德新型建材公司</t>
  </si>
  <si>
    <t xml:space="preserve"> 北邻绵阳优丰磊德新型建材公司、东邻东山路、南邻三合镇广新村十一组、西邻绵阳优丰磊德新型建材公司</t>
  </si>
  <si>
    <t xml:space="preserve"> 绵阳优丰磊德新型建材有限公司  </t>
  </si>
  <si>
    <t xml:space="preserve"> 34年</t>
  </si>
  <si>
    <t>龙凤镇龙云村、凤凤村</t>
  </si>
  <si>
    <t xml:space="preserve"> 龙凤镇龙云村、凤凤村</t>
  </si>
  <si>
    <t xml:space="preserve"> 大于或等于1</t>
  </si>
  <si>
    <t xml:space="preserve"> 四川富临兴建材科技有限公司  </t>
  </si>
  <si>
    <t>马角镇龙宫村</t>
  </si>
  <si>
    <t xml:space="preserve"> 马角镇龙宫村</t>
  </si>
  <si>
    <t xml:space="preserve"> 大于或等于1并且小于或等于1.5</t>
  </si>
  <si>
    <t xml:space="preserve"> 江油日昌升新材料有限公司  </t>
  </si>
  <si>
    <t>中雁路以南、工业大道以东</t>
  </si>
  <si>
    <t xml:space="preserve"> 中雁路以南、工业大道以东</t>
  </si>
  <si>
    <t xml:space="preserve"> 大于或等于0.8并且小于或等于3</t>
  </si>
  <si>
    <t xml:space="preserve"> 江油市江明建材有限公司  </t>
  </si>
  <si>
    <t>小溪坝镇人民村</t>
  </si>
  <si>
    <t xml:space="preserve"> 小溪坝镇人民村</t>
  </si>
  <si>
    <t xml:space="preserve"> 大于或等于1并且小于或等于2</t>
  </si>
  <si>
    <t xml:space="preserve"> 绵阳圆会新型环保建材有限公司  </t>
  </si>
  <si>
    <t>重华镇灵溪村</t>
  </si>
  <si>
    <t xml:space="preserve"> 重华镇灵溪村</t>
  </si>
  <si>
    <t xml:space="preserve"> 大于或等于1并且小于或等于3</t>
  </si>
  <si>
    <t xml:space="preserve"> 江油市越华食品有限公司  </t>
  </si>
  <si>
    <t>攀羊路以北</t>
  </si>
  <si>
    <t xml:space="preserve"> 攀羊路以北</t>
  </si>
  <si>
    <t xml:space="preserve"> 绵阳融通高科先进材料有限公司  </t>
  </si>
  <si>
    <t>铁东路以东、羊河路以北</t>
  </si>
  <si>
    <t xml:space="preserve"> 铁东路以东、羊河路以北</t>
  </si>
  <si>
    <t xml:space="preserve"> 江油市产城融合建设发展有限公司  </t>
  </si>
  <si>
    <t>羊河路以南、宝羊路以东</t>
  </si>
  <si>
    <t xml:space="preserve"> 羊河路以南、宝羊路以东</t>
  </si>
  <si>
    <t xml:space="preserve"> 四川新润鑫铝业制品有限公司  </t>
  </si>
  <si>
    <t>大鹏路东段以南、东山路以西</t>
  </si>
  <si>
    <t xml:space="preserve"> 大鹏路东段以南、东山路以西</t>
  </si>
  <si>
    <t xml:space="preserve"> 江油市创元开发建设投资有限公司  </t>
  </si>
  <si>
    <t>大鹏路东段以北、宝羊路以西</t>
  </si>
  <si>
    <t xml:space="preserve"> 大鹏路东段以北、宝羊路以西</t>
  </si>
  <si>
    <t>羊河路以南、铁东路以东</t>
  </si>
  <si>
    <t xml:space="preserve"> 羊河路以南、铁东路以东</t>
  </si>
  <si>
    <t>攀羊路以北、东山路以西</t>
  </si>
  <si>
    <t xml:space="preserve"> 攀羊路以北、东山路以西</t>
  </si>
  <si>
    <t>西屏镇石材产业园香水水电站北侧</t>
  </si>
  <si>
    <t xml:space="preserve"> 西屏镇石材产业园香水水电站北侧</t>
  </si>
  <si>
    <t xml:space="preserve"> 小于或等于0.8</t>
  </si>
  <si>
    <t xml:space="preserve"> 四川省江油市丰宇塑编有限责任公司  </t>
  </si>
  <si>
    <t>宝成铁路以东、铁东路以西</t>
  </si>
  <si>
    <t xml:space="preserve"> 宝成铁路以东、铁东路以西</t>
  </si>
  <si>
    <t xml:space="preserve"> 四川九红教学设备有限公司  </t>
  </si>
  <si>
    <t>喻火路以北</t>
  </si>
  <si>
    <t xml:space="preserve"> 喻火路以北</t>
  </si>
  <si>
    <t xml:space="preserve"> 四川省再生新废旧物资回收有限公司  </t>
  </si>
  <si>
    <t>龙凤镇</t>
  </si>
  <si>
    <t xml:space="preserve"> 龙凤镇</t>
  </si>
  <si>
    <t xml:space="preserve"> 四川省交通建设集团股份有限公司  </t>
  </si>
  <si>
    <t>东山路以西、攀羊路以南</t>
  </si>
  <si>
    <t xml:space="preserve"> 东山路以西、攀羊路以南</t>
  </si>
  <si>
    <t xml:space="preserve"> 江油星创联精密电子科技有限公司  </t>
  </si>
  <si>
    <t xml:space="preserve"> 已竣工</t>
  </si>
  <si>
    <t>铁东路以东、宝轮路以南</t>
  </si>
  <si>
    <t xml:space="preserve"> 铁东路以东、宝轮路以南</t>
  </si>
  <si>
    <t xml:space="preserve"> 四川越洋长特新材料科技有限公司  </t>
  </si>
  <si>
    <t>大鹏路以北</t>
  </si>
  <si>
    <t xml:space="preserve"> 大鹏路以北</t>
  </si>
  <si>
    <t xml:space="preserve"> 绵阳九方环保节能科技有限公司  </t>
  </si>
  <si>
    <t>含增镇界池村、谭庄村一组</t>
  </si>
  <si>
    <t xml:space="preserve"> 含增镇界池村、谭庄村一组</t>
  </si>
  <si>
    <t xml:space="preserve"> 四川省江油市蜀玉实业有限公司  </t>
  </si>
  <si>
    <t>桂香村三组(大鹏路以北)</t>
  </si>
  <si>
    <t xml:space="preserve"> 桂香村三组(大鹏路以北)</t>
  </si>
  <si>
    <t xml:space="preserve"> 四川省华盛鑫线缆制造有限公司  </t>
  </si>
  <si>
    <t>含增镇界池村、太平镇青龙村</t>
  </si>
  <si>
    <t xml:space="preserve"> 含增镇界池村、太平镇青龙村</t>
  </si>
  <si>
    <t>双河镇(原新兴乡新红村2组)</t>
  </si>
  <si>
    <t xml:space="preserve"> 双河镇(原新兴乡新红村2组)</t>
  </si>
  <si>
    <t xml:space="preserve"> 流拍</t>
  </si>
  <si>
    <t>东山路西侧、喻攀路北侧</t>
  </si>
  <si>
    <t xml:space="preserve"> 东山路西侧、喻攀路北侧</t>
  </si>
  <si>
    <t>创元路以东、羊河路以北</t>
  </si>
  <si>
    <t xml:space="preserve"> 创元路以东、羊河路以北</t>
  </si>
  <si>
    <t>大堰高速出入口、江油大道北侧</t>
  </si>
  <si>
    <t xml:space="preserve"> 大堰高速出入口、江油大道北侧</t>
  </si>
  <si>
    <t xml:space="preserve"> 仓储用地</t>
  </si>
  <si>
    <t xml:space="preserve"> 江油市方孝商贸有限公司 、大堰加气站  </t>
  </si>
  <si>
    <t>南一环以北、东河以西</t>
  </si>
  <si>
    <t xml:space="preserve"> 南一环以北、东河以西</t>
  </si>
  <si>
    <t>未包含在土地购买价格中</t>
  </si>
  <si>
    <t>已包含在土地取得成本中</t>
  </si>
  <si>
    <t>成本法</t>
  </si>
  <si>
    <t>假设开发法</t>
  </si>
  <si>
    <t>在建</t>
  </si>
  <si>
    <t>项目全部</t>
  </si>
  <si>
    <t>单位面积地价</t>
  </si>
  <si>
    <t>总价</t>
  </si>
  <si>
    <t>四川省绵阳市江油市工业用房</t>
    <phoneticPr fontId="7" type="noConversion"/>
  </si>
  <si>
    <t>一期</t>
    <phoneticPr fontId="135" type="noConversion"/>
  </si>
  <si>
    <t>建筑面积</t>
    <phoneticPr fontId="135" type="noConversion"/>
  </si>
  <si>
    <t>建设投资</t>
  </si>
  <si>
    <t>100.00%</t>
  </si>
  <si>
    <t>工程建设费用</t>
  </si>
  <si>
    <t>80.52%</t>
  </si>
  <si>
    <t>工程前期费用</t>
  </si>
  <si>
    <t>690.88</t>
  </si>
  <si>
    <t>1.95%</t>
  </si>
  <si>
    <t>土建工程</t>
  </si>
  <si>
    <t>61.88%</t>
  </si>
  <si>
    <t>安装工程</t>
  </si>
  <si>
    <t>6.67%</t>
  </si>
  <si>
    <t>基础设施绿化</t>
  </si>
  <si>
    <t>575.30</t>
  </si>
  <si>
    <t>1.62%</t>
  </si>
  <si>
    <t>间接费用</t>
  </si>
  <si>
    <t>45.95</t>
  </si>
  <si>
    <t>0.13%</t>
  </si>
  <si>
    <t>附属设备工程</t>
  </si>
  <si>
    <t>8.28%</t>
  </si>
  <si>
    <t>土地购置费</t>
  </si>
  <si>
    <t>15.45%</t>
  </si>
  <si>
    <t>预备费</t>
  </si>
  <si>
    <t>4.03%</t>
  </si>
  <si>
    <t>否</t>
  </si>
  <si>
    <t>主体</t>
    <phoneticPr fontId="4" type="noConversion"/>
  </si>
  <si>
    <t>地上</t>
    <phoneticPr fontId="4" type="noConversion"/>
  </si>
  <si>
    <t>地下</t>
    <phoneticPr fontId="4" type="noConversion"/>
  </si>
  <si>
    <t>设备</t>
    <phoneticPr fontId="4" type="noConversion"/>
  </si>
  <si>
    <t>装修</t>
    <phoneticPr fontId="4" type="noConversion"/>
  </si>
  <si>
    <t>室外工程</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</si>
</sst>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theme="1"/>
      <name val="宋体"/>
      <family val="2"/>
      <scheme val="minor"/>
    </font>
    <font>
      <sz val="12"/>
      <color rgb="FFFF0000"/>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1" fillId="0" borderId="0"/>
  </cellStyleXfs>
  <cellXfs count="381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96" fillId="0" borderId="0" xfId="0" applyFont="1">
      <alignment vertical="center"/>
    </xf>
    <xf numFmtId="14" fontId="0" fillId="0" borderId="0" xfId="0" applyNumberFormat="1">
      <alignment vertical="center"/>
    </xf>
    <xf numFmtId="9" fontId="0" fillId="0" borderId="0" xfId="0" applyNumberFormat="1">
      <alignment vertical="center"/>
    </xf>
    <xf numFmtId="49" fontId="223" fillId="12" borderId="4" xfId="0" applyNumberFormat="1" applyFont="1" applyFill="1" applyBorder="1" applyAlignment="1" applyProtection="1">
      <alignment horizontal="left" vertical="center"/>
      <protection locked="0"/>
    </xf>
    <xf numFmtId="0" fontId="78" fillId="0" borderId="1" xfId="0" applyFont="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129" fillId="0" borderId="1" xfId="0" applyFont="1" applyBorder="1" applyAlignment="1" applyProtection="1">
      <alignment horizontal="center" vertical="center" wrapText="1"/>
      <protection locked="0"/>
    </xf>
    <xf numFmtId="49" fontId="45" fillId="0" borderId="2" xfId="0" applyNumberFormat="1" applyFont="1" applyBorder="1" applyAlignment="1" applyProtection="1">
      <alignment horizontal="center" vertical="center" wrapText="1"/>
      <protection locked="0"/>
    </xf>
    <xf numFmtId="0" fontId="78"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270" fillId="0" borderId="0" xfId="0" applyFont="1" applyFill="1">
      <alignment vertical="center"/>
    </xf>
    <xf numFmtId="0" fontId="270" fillId="0" borderId="0" xfId="0" applyFont="1">
      <alignment vertical="center"/>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185"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5" fontId="52" fillId="6" borderId="1" xfId="0" applyNumberFormat="1"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9"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45" fillId="6" borderId="54" xfId="0" applyFont="1" applyFill="1" applyBorder="1" applyAlignment="1" applyProtection="1">
      <alignment horizontal="center" vertical="center"/>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71" fillId="0" borderId="0" xfId="19" applyNumberFormat="1"/>
    <xf numFmtId="0" fontId="272" fillId="0" borderId="0" xfId="19" applyNumberFormat="1" applyFont="1"/>
    <xf numFmtId="14" fontId="249" fillId="0" borderId="0" xfId="19" applyNumberFormat="1" applyFont="1"/>
    <xf numFmtId="14" fontId="271" fillId="0" borderId="0" xfId="19" applyNumberFormat="1"/>
    <xf numFmtId="0" fontId="0" fillId="0" borderId="0" xfId="0" applyAlignment="1" applyProtection="1">
      <alignment horizontal="left" vertical="center" wrapText="1"/>
      <protection locked="0"/>
    </xf>
    <xf numFmtId="176" fontId="97" fillId="0" borderId="0" xfId="0" applyNumberFormat="1" applyFont="1" applyAlignment="1" applyProtection="1">
      <alignment horizontal="left" vertical="center" wrapText="1"/>
      <protection locked="0"/>
    </xf>
    <xf numFmtId="176" fontId="0" fillId="0" borderId="0" xfId="0" applyNumberFormat="1" applyAlignment="1" applyProtection="1">
      <alignment horizontal="right" vertical="center" wrapText="1"/>
      <protection locked="0"/>
    </xf>
    <xf numFmtId="0" fontId="129" fillId="12" borderId="0" xfId="0" applyFont="1" applyFill="1" applyAlignment="1" applyProtection="1">
      <alignment vertical="center"/>
      <protection locked="0"/>
    </xf>
    <xf numFmtId="176" fontId="48" fillId="12" borderId="0" xfId="0" applyNumberFormat="1" applyFont="1" applyFill="1" applyAlignment="1" applyProtection="1">
      <alignment horizontal="center" vertical="center"/>
      <protection locked="0"/>
    </xf>
    <xf numFmtId="9" fontId="48" fillId="12" borderId="0" xfId="0" applyNumberFormat="1" applyFont="1" applyFill="1" applyAlignment="1" applyProtection="1">
      <alignment horizontal="center" vertical="center"/>
      <protection locked="0"/>
    </xf>
    <xf numFmtId="0" fontId="129" fillId="12" borderId="0" xfId="0" applyFont="1" applyFill="1" applyAlignment="1" applyProtection="1">
      <alignment horizontal="right" vertical="center"/>
      <protection locked="0"/>
    </xf>
    <xf numFmtId="0" fontId="48" fillId="12" borderId="0" xfId="0" applyFont="1" applyFill="1" applyAlignment="1" applyProtection="1">
      <alignment horizontal="right"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10</xdr:col>
      <xdr:colOff>332819</xdr:colOff>
      <xdr:row>3</xdr:row>
      <xdr:rowOff>9481</xdr:rowOff>
    </xdr:to>
    <xdr:pic>
      <xdr:nvPicPr>
        <xdr:cNvPr id="2" name="图片 1"/>
        <xdr:cNvPicPr>
          <a:picLocks noChangeAspect="1"/>
        </xdr:cNvPicPr>
      </xdr:nvPicPr>
      <xdr:blipFill>
        <a:blip xmlns:r="http://schemas.openxmlformats.org/officeDocument/2006/relationships" r:embed="rId1"/>
        <a:stretch>
          <a:fillRect/>
        </a:stretch>
      </xdr:blipFill>
      <xdr:spPr>
        <a:xfrm>
          <a:off x="2971800" y="171450"/>
          <a:ext cx="4447619" cy="352381"/>
        </a:xfrm>
        <a:prstGeom prst="rect">
          <a:avLst/>
        </a:prstGeom>
      </xdr:spPr>
    </xdr:pic>
    <xdr:clientData/>
  </xdr:twoCellAnchor>
  <xdr:twoCellAnchor editAs="oneCell">
    <xdr:from>
      <xdr:col>6</xdr:col>
      <xdr:colOff>0</xdr:colOff>
      <xdr:row>4</xdr:row>
      <xdr:rowOff>0</xdr:rowOff>
    </xdr:from>
    <xdr:to>
      <xdr:col>11</xdr:col>
      <xdr:colOff>580524</xdr:colOff>
      <xdr:row>39</xdr:row>
      <xdr:rowOff>123060</xdr:rowOff>
    </xdr:to>
    <xdr:pic>
      <xdr:nvPicPr>
        <xdr:cNvPr id="3" name="图片 2"/>
        <xdr:cNvPicPr>
          <a:picLocks noChangeAspect="1"/>
        </xdr:cNvPicPr>
      </xdr:nvPicPr>
      <xdr:blipFill>
        <a:blip xmlns:r="http://schemas.openxmlformats.org/officeDocument/2006/relationships" r:embed="rId2"/>
        <a:stretch>
          <a:fillRect/>
        </a:stretch>
      </xdr:blipFill>
      <xdr:spPr>
        <a:xfrm>
          <a:off x="4343400" y="685800"/>
          <a:ext cx="4009524" cy="61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114300</xdr:colOff>
      <xdr:row>16</xdr:row>
      <xdr:rowOff>32173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
          <a:ext cx="5600700" cy="2775372"/>
        </a:xfrm>
        <a:prstGeom prst="rect">
          <a:avLst/>
        </a:prstGeom>
      </xdr:spPr>
    </xdr:pic>
    <xdr:clientData/>
  </xdr:twoCellAnchor>
  <xdr:twoCellAnchor editAs="oneCell">
    <xdr:from>
      <xdr:col>0</xdr:col>
      <xdr:colOff>0</xdr:colOff>
      <xdr:row>16</xdr:row>
      <xdr:rowOff>85725</xdr:rowOff>
    </xdr:from>
    <xdr:to>
      <xdr:col>9</xdr:col>
      <xdr:colOff>305630</xdr:colOff>
      <xdr:row>41</xdr:row>
      <xdr:rowOff>46821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828925"/>
          <a:ext cx="6477830" cy="4247346"/>
        </a:xfrm>
        <a:prstGeom prst="rect">
          <a:avLst/>
        </a:prstGeom>
      </xdr:spPr>
    </xdr:pic>
    <xdr:clientData/>
  </xdr:twoCellAnchor>
  <xdr:twoCellAnchor editAs="oneCell">
    <xdr:from>
      <xdr:col>10</xdr:col>
      <xdr:colOff>571500</xdr:colOff>
      <xdr:row>0</xdr:row>
      <xdr:rowOff>0</xdr:rowOff>
    </xdr:from>
    <xdr:to>
      <xdr:col>19</xdr:col>
      <xdr:colOff>446428</xdr:colOff>
      <xdr:row>22</xdr:row>
      <xdr:rowOff>42177</xdr:rowOff>
    </xdr:to>
    <xdr:pic>
      <xdr:nvPicPr>
        <xdr:cNvPr id="4" name="图片 3"/>
        <xdr:cNvPicPr>
          <a:picLocks noChangeAspect="1"/>
        </xdr:cNvPicPr>
      </xdr:nvPicPr>
      <xdr:blipFill>
        <a:blip xmlns:r="http://schemas.openxmlformats.org/officeDocument/2006/relationships" r:embed="rId3"/>
        <a:stretch>
          <a:fillRect/>
        </a:stretch>
      </xdr:blipFill>
      <xdr:spPr>
        <a:xfrm>
          <a:off x="7429500" y="0"/>
          <a:ext cx="6047128" cy="3814077"/>
        </a:xfrm>
        <a:prstGeom prst="rect">
          <a:avLst/>
        </a:prstGeom>
      </xdr:spPr>
    </xdr:pic>
    <xdr:clientData/>
  </xdr:twoCellAnchor>
  <xdr:twoCellAnchor editAs="oneCell">
    <xdr:from>
      <xdr:col>10</xdr:col>
      <xdr:colOff>609600</xdr:colOff>
      <xdr:row>22</xdr:row>
      <xdr:rowOff>131432</xdr:rowOff>
    </xdr:from>
    <xdr:to>
      <xdr:col>22</xdr:col>
      <xdr:colOff>27388</xdr:colOff>
      <xdr:row>46</xdr:row>
      <xdr:rowOff>8905</xdr:rowOff>
    </xdr:to>
    <xdr:pic>
      <xdr:nvPicPr>
        <xdr:cNvPr id="5" name="图片 4"/>
        <xdr:cNvPicPr>
          <a:picLocks noChangeAspect="1"/>
        </xdr:cNvPicPr>
      </xdr:nvPicPr>
      <xdr:blipFill>
        <a:blip xmlns:r="http://schemas.openxmlformats.org/officeDocument/2006/relationships" r:embed="rId4"/>
        <a:stretch>
          <a:fillRect/>
        </a:stretch>
      </xdr:blipFill>
      <xdr:spPr>
        <a:xfrm>
          <a:off x="7467600" y="3903332"/>
          <a:ext cx="7647388" cy="3992273"/>
        </a:xfrm>
        <a:prstGeom prst="rect">
          <a:avLst/>
        </a:prstGeom>
      </xdr:spPr>
    </xdr:pic>
    <xdr:clientData/>
  </xdr:twoCellAnchor>
  <xdr:twoCellAnchor editAs="oneCell">
    <xdr:from>
      <xdr:col>0</xdr:col>
      <xdr:colOff>0</xdr:colOff>
      <xdr:row>42</xdr:row>
      <xdr:rowOff>0</xdr:rowOff>
    </xdr:from>
    <xdr:to>
      <xdr:col>13</xdr:col>
      <xdr:colOff>103648</xdr:colOff>
      <xdr:row>80</xdr:row>
      <xdr:rowOff>65853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200900"/>
          <a:ext cx="9019048" cy="6580953"/>
        </a:xfrm>
        <a:prstGeom prst="rect">
          <a:avLst/>
        </a:prstGeom>
      </xdr:spPr>
    </xdr:pic>
    <xdr:clientData/>
  </xdr:twoCellAnchor>
  <xdr:twoCellAnchor editAs="oneCell">
    <xdr:from>
      <xdr:col>0</xdr:col>
      <xdr:colOff>0</xdr:colOff>
      <xdr:row>81</xdr:row>
      <xdr:rowOff>0</xdr:rowOff>
    </xdr:from>
    <xdr:to>
      <xdr:col>13</xdr:col>
      <xdr:colOff>589363</xdr:colOff>
      <xdr:row>91</xdr:row>
      <xdr:rowOff>28357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887450"/>
          <a:ext cx="9504763" cy="1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四川省绵阳市江油市工业用房出让国有建设用地使用权及在建建筑物房地产市场价值预评估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受贵公司委托，我公司对四川省绵阳市江油市工业用房出让国有建设用地使用权及在建建筑物房地产抵押价值进行了预评估。</v>
      </c>
    </row>
    <row r="7" spans="1:2" s="1203" customFormat="1">
      <c r="A7" s="1201" t="s">
        <v>566</v>
      </c>
      <c r="B7" s="1202" t="str">
        <f>'预评函-1'!A7</f>
        <v>估价对象为四川省绵阳市江油市工业用房出让国有建设用地使用权及在建建筑物房地产，为所有。根据《国有土地使用证》[]，估价对象（分摊）出让国有建设用地使用权面积为368153.3平方米，建筑面积为253739.7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四川省绵阳市江油市工业用房出让国有建设用地使用权及在建建筑物房地产,为开发建设的，该项目尚在开发建设中。根据《国有土地使用证》[]，估价对象（分摊）出让国有建设用地使用权面积为368153.3平方米，规划建筑面积为253739.7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四川省绵阳市江油市工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2023年12月14日（评估专业人员实地查勘之日）</v>
      </c>
    </row>
    <row r="13" spans="1:2" s="1203" customFormat="1">
      <c r="A13" s="1201" t="s">
        <v>529</v>
      </c>
      <c r="B13" s="1202" t="str">
        <f>'预评函-1'!A18</f>
        <v>本次估价的“房地产价值”是指在正常市场情况下，在价值时点2023年12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本次评估采用的主估价方法为成本法和假设开发法。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59875</v>
      </c>
    </row>
    <row r="21" spans="1:2" s="1203" customFormat="1">
      <c r="A21" s="1201" t="s">
        <v>537</v>
      </c>
      <c r="B21" s="1202">
        <f ca="1">'预评函-2'!D7</f>
        <v>2360</v>
      </c>
    </row>
    <row r="22" spans="1:2" s="1203" customFormat="1">
      <c r="A22" s="1201" t="s">
        <v>538</v>
      </c>
      <c r="B22" s="1202" t="str">
        <f ca="1">'预评函-2'!D6</f>
        <v>伍亿玖仟捌佰柒拾伍万元整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59875</v>
      </c>
    </row>
    <row r="31" spans="1:2" s="1203" customFormat="1">
      <c r="A31" s="1201" t="s">
        <v>576</v>
      </c>
      <c r="B31" s="1202">
        <f ca="1">'预评函-2'!D15</f>
        <v>2360</v>
      </c>
    </row>
    <row r="32" spans="1:2" s="1203" customFormat="1">
      <c r="A32" s="1201" t="s">
        <v>543</v>
      </c>
      <c r="B32" s="1202" t="str">
        <f ca="1">'预评函-2'!D14</f>
        <v>伍亿玖仟捌佰柒拾伍万元整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四川省绵阳市江油市工业用房出让国有建设用地使用权及在建建筑物房地产</v>
      </c>
    </row>
    <row r="42" spans="1:2" s="1203" customFormat="1" ht="31.2">
      <c r="A42" s="1201" t="s">
        <v>590</v>
      </c>
      <c r="B42" s="1202" t="str">
        <f>'预评函-3'!B2</f>
        <v>建筑面积</v>
      </c>
    </row>
    <row r="43" spans="1:2" s="1203" customFormat="1">
      <c r="A43" s="1201" t="s">
        <v>591</v>
      </c>
      <c r="B43" s="1202">
        <f>'预评函-3'!B4</f>
        <v>253739.7</v>
      </c>
    </row>
    <row r="44" spans="1:2" s="1203" customFormat="1" ht="31.2">
      <c r="A44" s="1201" t="s">
        <v>575</v>
      </c>
      <c r="B44" s="1202" t="str">
        <f>'预评函-3'!C2</f>
        <v>(分摊)土地面积</v>
      </c>
    </row>
    <row r="45" spans="1:2" s="1203" customFormat="1">
      <c r="A45" s="1201" t="s">
        <v>547</v>
      </c>
      <c r="B45" s="1202">
        <f>'预评函-3'!C4</f>
        <v>368153.3</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2580</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2581</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省绵阳市江油市工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4" t="s">
        <v>385</v>
      </c>
      <c r="C54" s="1551" t="s">
        <v>583</v>
      </c>
    </row>
    <row r="55" spans="1:4">
      <c r="A55" s="3500"/>
      <c r="B55" s="1554" t="s">
        <v>386</v>
      </c>
      <c r="C55" s="1551" t="s">
        <v>584</v>
      </c>
    </row>
    <row r="56" spans="1:4">
      <c r="A56" s="3500"/>
      <c r="B56" s="1554" t="s">
        <v>387</v>
      </c>
      <c r="C56" s="1551" t="s">
        <v>588</v>
      </c>
    </row>
    <row r="57" spans="1:4">
      <c r="A57" s="350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1" t="s">
        <v>2583</v>
      </c>
      <c r="J2" s="3501"/>
      <c r="K2" s="3501"/>
      <c r="L2" s="3501"/>
      <c r="M2" s="3501"/>
      <c r="N2" s="3501"/>
      <c r="O2" s="3501"/>
      <c r="P2" s="3501"/>
      <c r="Q2" s="3501"/>
      <c r="R2" s="3501"/>
    </row>
    <row r="3" spans="1:18">
      <c r="A3" s="3019" t="s">
        <v>2504</v>
      </c>
      <c r="B3" s="3020">
        <f>项目基本情况!D3</f>
        <v>45274</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3.01</v>
      </c>
      <c r="D5" s="3024">
        <f>IF(ISERROR(ROUND(POWER(1+E5,A5-C5)*(POWER(1+E5,C5)-1)/(POWER(1+E5,A5)-1),3)),0,ROUND(POWER(1+E5,A5-C5)*(POWER(1+E5,C5)-1)/(POWER(1+E5,A5)-1),4))</f>
        <v>0.1406</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13.02</v>
      </c>
      <c r="D6" s="3024">
        <f>IF(ISERROR(ROUND(POWER(1+E6,A6-C6)*(POWER(1+E6,C6)-1)/(POWER(1+E6,A6)-1),3)),0,ROUND(POWER(1+E6,A6-C6)*(POWER(1+E6,C6)-1)/(POWER(1+E6,A6)-1),4))</f>
        <v>0.46539999999999998</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33.03</v>
      </c>
      <c r="D7" s="3024">
        <f>IF(ISERROR(ROUND(POWER(1+E7,A7-C7)*(POWER(1+E7,C7)-1)/(POWER(1+E7,A7)-1),3)),0,ROUND(POWER(1+E7,A7-C7)*(POWER(1+E7,C7)-1)/(POWER(1+E7,A7)-1),4))</f>
        <v>0.77610000000000001</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5" thickBot="1">
      <c r="A18" s="3030" t="s">
        <v>2519</v>
      </c>
      <c r="B18" s="3031">
        <f>ROUND(B17*F11/F12,2)</f>
        <v>5541.87</v>
      </c>
      <c r="C18" s="3031">
        <f>ROUND(F11/F12,4)</f>
        <v>1.1521999999999999</v>
      </c>
      <c r="D18" s="3032"/>
      <c r="E18" s="3032"/>
      <c r="F18" s="3033"/>
    </row>
    <row r="19" spans="1:13" ht="15" thickBot="1"/>
    <row r="20" spans="1:13" s="3068" customFormat="1" ht="1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F10" sqref="F10"/>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2167</v>
      </c>
      <c r="B1" s="3502" t="str">
        <f>IF(B10="北京市","北京市",C10)&amp;F10&amp;IF(结果表!G1="在建","出让国有建设用地使用权及在建建筑物",IF(结果表!G1="土地","出让国有建设用地使用权",))&amp;B9&amp;"预评估"</f>
        <v>四川省绵阳市江油市工业用房出让国有建设用地使用权及在建建筑物房地产市场价值预评估</v>
      </c>
      <c r="C1" s="3503"/>
      <c r="D1" s="3503"/>
      <c r="E1" s="3503"/>
      <c r="F1" s="3503"/>
      <c r="G1" s="3503"/>
      <c r="H1" s="3503"/>
      <c r="I1" s="350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四川省绵阳市江油市工业用房出让国有建设用地使用权及在建建筑物房地产抵押价值</v>
      </c>
      <c r="T1" s="1745"/>
      <c r="U1" s="1745"/>
      <c r="V1" s="1745"/>
      <c r="W1" s="1745"/>
      <c r="X1" s="1745"/>
      <c r="Y1" s="1745"/>
      <c r="Z1" s="1745"/>
      <c r="AA1" s="1745"/>
      <c r="AB1" s="1745"/>
    </row>
    <row r="2" spans="1:30">
      <c r="A2" s="2367" t="s">
        <v>2168</v>
      </c>
      <c r="B2" s="2371"/>
      <c r="C2" s="2372"/>
      <c r="D2" s="2669"/>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四川省绵阳市江油市工业用房出让国有建设用地使用权及在建建筑物房地产</v>
      </c>
      <c r="T2" s="1745"/>
      <c r="U2" s="1745"/>
      <c r="V2" s="1745"/>
      <c r="W2" s="1745"/>
      <c r="X2" s="1745"/>
      <c r="Y2" s="1745"/>
      <c r="Z2" s="1745"/>
      <c r="AA2" s="1745"/>
      <c r="AB2" s="1745"/>
    </row>
    <row r="3" spans="1:30">
      <c r="A3" s="302" t="s">
        <v>2169</v>
      </c>
      <c r="B3" s="2373">
        <v>45274</v>
      </c>
      <c r="C3" s="2374" t="s">
        <v>2170</v>
      </c>
      <c r="D3" s="2373">
        <f>B3</f>
        <v>45274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t="s">
        <v>3382</v>
      </c>
      <c r="C8" s="2390"/>
      <c r="D8" s="3505" t="s">
        <v>2176</v>
      </c>
      <c r="E8" s="2391" t="s">
        <v>3413</v>
      </c>
      <c r="F8" s="2392"/>
      <c r="G8" s="2663"/>
      <c r="H8" s="2663"/>
      <c r="I8" s="2663"/>
      <c r="J8" s="2439"/>
      <c r="K8" s="2614"/>
      <c r="L8" s="2613"/>
      <c r="M8" s="2613"/>
      <c r="N8" s="2439"/>
      <c r="O8" s="2450"/>
      <c r="P8" s="2439"/>
      <c r="Q8" s="2439"/>
      <c r="R8" s="2439"/>
    </row>
    <row r="9" spans="1:30" ht="13.8" thickBot="1">
      <c r="A9" s="2393" t="s">
        <v>2177</v>
      </c>
      <c r="B9" s="2394" t="s">
        <v>3412</v>
      </c>
      <c r="C9" s="2395"/>
      <c r="D9" s="3506"/>
      <c r="E9" s="2394" t="s">
        <v>43</v>
      </c>
      <c r="F9" s="2396"/>
      <c r="G9" s="2665"/>
      <c r="H9" s="2665"/>
      <c r="I9" s="2665"/>
      <c r="J9" s="2439"/>
      <c r="K9" s="2616"/>
      <c r="L9" s="2613"/>
      <c r="M9" s="2613"/>
      <c r="N9" s="2439"/>
      <c r="O9" s="2450"/>
      <c r="P9" s="2439"/>
      <c r="Q9" s="2439"/>
      <c r="R9" s="2439"/>
    </row>
    <row r="10" spans="1:30" ht="13.8" thickTop="1">
      <c r="A10" s="2397" t="s">
        <v>2178</v>
      </c>
      <c r="B10" s="2398" t="s">
        <v>3414</v>
      </c>
      <c r="C10" s="2399"/>
      <c r="D10" s="2382"/>
      <c r="E10" s="2400" t="s">
        <v>2179</v>
      </c>
      <c r="F10" s="3451" t="s">
        <v>3614</v>
      </c>
      <c r="G10" s="2666"/>
      <c r="H10" s="2667"/>
      <c r="I10" s="2668"/>
      <c r="J10" s="2439"/>
      <c r="K10" s="2616"/>
      <c r="L10" s="2613"/>
      <c r="M10" s="2613"/>
      <c r="N10" s="2439"/>
      <c r="O10" s="2450"/>
      <c r="P10" s="2439"/>
      <c r="Q10" s="2439"/>
      <c r="R10" s="2439"/>
    </row>
    <row r="11" spans="1:30">
      <c r="A11" s="2401" t="s">
        <v>2180</v>
      </c>
      <c r="B11" s="2402" t="s">
        <v>3415</v>
      </c>
      <c r="C11" s="2403"/>
      <c r="D11" s="2404"/>
      <c r="E11" s="2370"/>
      <c r="F11" s="2370"/>
      <c r="G11" s="2370"/>
      <c r="H11" s="2370"/>
      <c r="I11" s="2370"/>
      <c r="J11" s="3060"/>
      <c r="K11" s="3059"/>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8" t="s">
        <v>2579</v>
      </c>
      <c r="J12" s="3061"/>
      <c r="K12" s="2613"/>
      <c r="L12" s="2613"/>
      <c r="M12" s="2439"/>
      <c r="N12" s="2450"/>
      <c r="O12" s="2439"/>
      <c r="P12" s="2439"/>
      <c r="Q12" s="2439"/>
      <c r="AD12" s="1745"/>
    </row>
    <row r="13" spans="1:30">
      <c r="A13" s="3422" t="s">
        <v>3335</v>
      </c>
      <c r="B13" s="2407" t="s">
        <v>2189</v>
      </c>
      <c r="C13" s="856"/>
      <c r="D13" s="856"/>
      <c r="E13" s="856"/>
      <c r="F13" s="856"/>
      <c r="G13" s="856"/>
      <c r="H13" s="856">
        <v>62616</v>
      </c>
      <c r="I13" s="856"/>
      <c r="J13" s="3061"/>
      <c r="K13" s="2613"/>
      <c r="L13" s="2613"/>
      <c r="M13" s="2439"/>
      <c r="N13" s="2450"/>
      <c r="O13" s="2439"/>
      <c r="P13" s="2439"/>
      <c r="Q13" s="2439"/>
      <c r="AD13" s="1745"/>
    </row>
    <row r="14" spans="1:30">
      <c r="A14" s="1081"/>
      <c r="B14" s="2407" t="s">
        <v>2190</v>
      </c>
      <c r="C14" s="2408"/>
      <c r="D14" s="2408"/>
      <c r="E14" s="2408"/>
      <c r="F14" s="2408"/>
      <c r="G14" s="2408"/>
      <c r="H14" s="2408">
        <v>50</v>
      </c>
      <c r="I14" s="2408"/>
      <c r="J14" s="3062"/>
      <c r="K14" s="2613"/>
      <c r="L14" s="2613"/>
      <c r="M14" s="2439"/>
      <c r="N14" s="2450"/>
      <c r="O14" s="2439"/>
      <c r="P14" s="2439"/>
      <c r="Q14" s="2439"/>
      <c r="AD14" s="1745"/>
    </row>
    <row r="15" spans="1:30">
      <c r="A15" s="320"/>
      <c r="B15" s="2409" t="s">
        <v>2191</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47.51</v>
      </c>
      <c r="I15" s="2410" t="str">
        <f>IF(A13="出让",IF(I13="","",ROUNDDOWN(MIN((I13-$D$3)/365,I14),2)),I14)</f>
        <v/>
      </c>
      <c r="J15" s="3063"/>
      <c r="K15" s="2451"/>
      <c r="L15" s="2451"/>
      <c r="M15" s="2509"/>
      <c r="N15" s="2451"/>
      <c r="O15" s="2509"/>
      <c r="P15" s="2439"/>
      <c r="Q15" s="2439"/>
      <c r="AD15" s="1745"/>
    </row>
    <row r="16" spans="1:30">
      <c r="A16" s="2400" t="s">
        <v>2192</v>
      </c>
      <c r="B16" s="3512"/>
      <c r="C16" s="3513"/>
      <c r="D16" s="3514"/>
      <c r="E16" s="2413" t="s">
        <v>2193</v>
      </c>
      <c r="F16" s="3515"/>
      <c r="G16" s="3516"/>
      <c r="H16" s="3516"/>
      <c r="I16" s="3517"/>
      <c r="J16" s="2439"/>
      <c r="K16" s="2617"/>
      <c r="L16" s="2451"/>
      <c r="M16" s="2451"/>
      <c r="N16" s="2509"/>
      <c r="O16" s="2451"/>
      <c r="P16" s="2509"/>
      <c r="Q16" s="2439"/>
      <c r="R16" s="2439"/>
    </row>
    <row r="17" spans="1:28">
      <c r="A17" s="313" t="s">
        <v>2194</v>
      </c>
      <c r="B17" s="302" t="s">
        <v>2195</v>
      </c>
      <c r="C17" s="8">
        <f>'数据-汇总表'!E3</f>
        <v>253739.7</v>
      </c>
      <c r="D17" s="2322" t="s">
        <v>2196</v>
      </c>
      <c r="E17" s="3518" t="s">
        <v>2197</v>
      </c>
      <c r="F17" s="3519"/>
      <c r="G17" s="3519"/>
      <c r="H17" s="3519"/>
      <c r="I17" s="3520"/>
      <c r="J17" s="2439"/>
      <c r="K17" s="2618"/>
      <c r="L17" s="2451"/>
      <c r="M17" s="2451"/>
      <c r="N17" s="2509"/>
      <c r="O17" s="2451"/>
      <c r="P17" s="2509"/>
      <c r="Q17" s="2439"/>
      <c r="R17" s="2439"/>
      <c r="S17" s="2439"/>
      <c r="T17" s="2439"/>
      <c r="U17" s="2439"/>
      <c r="V17" s="2439"/>
    </row>
    <row r="18" spans="1:28" ht="24.6" thickBot="1">
      <c r="A18" s="2414" t="s">
        <v>2198</v>
      </c>
      <c r="B18" s="1090" t="s">
        <v>2199</v>
      </c>
      <c r="C18" s="2415">
        <f>'数据-汇总表'!D3</f>
        <v>368153.3</v>
      </c>
      <c r="D18" s="1092" t="s">
        <v>2200</v>
      </c>
      <c r="E18" s="3521" t="s">
        <v>2201</v>
      </c>
      <c r="F18" s="3522"/>
      <c r="G18" s="3522"/>
      <c r="H18" s="3522"/>
      <c r="I18" s="3523"/>
      <c r="J18" s="2439"/>
      <c r="K18" s="2618"/>
      <c r="L18" s="2451"/>
      <c r="M18" s="2451"/>
      <c r="N18" s="2509"/>
      <c r="O18" s="2451"/>
      <c r="P18" s="2509"/>
      <c r="Q18" s="2439"/>
      <c r="R18" s="2439"/>
      <c r="S18" s="2439"/>
      <c r="T18" s="2439"/>
      <c r="U18" s="2439"/>
      <c r="V18" s="2439"/>
    </row>
    <row r="19" spans="1:28" ht="37.200000000000003"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08" t="s">
        <v>2205</v>
      </c>
      <c r="C20" s="3509"/>
      <c r="D20" s="3510" t="s">
        <v>2206</v>
      </c>
      <c r="E20" s="3511"/>
      <c r="F20" s="2647" t="s">
        <v>1056</v>
      </c>
      <c r="G20" s="2664"/>
      <c r="H20" s="2664"/>
      <c r="I20" s="2664"/>
      <c r="J20" s="2439"/>
      <c r="K20" s="3507"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2208</v>
      </c>
      <c r="C21" s="2634" t="s">
        <v>1057</v>
      </c>
      <c r="D21" s="1568" t="s">
        <v>2209</v>
      </c>
      <c r="E21" s="2635" t="s">
        <v>1057</v>
      </c>
      <c r="F21" s="2648"/>
      <c r="G21" s="2664"/>
      <c r="H21" s="2664"/>
      <c r="I21" s="2664"/>
      <c r="J21" s="2439"/>
      <c r="K21" s="350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2210</v>
      </c>
      <c r="C22" s="2634" t="s">
        <v>1058</v>
      </c>
      <c r="D22" s="2663"/>
      <c r="E22" s="2663"/>
      <c r="F22" s="2663"/>
      <c r="G22" s="2664"/>
      <c r="H22" s="2664"/>
      <c r="I22" s="2664"/>
      <c r="J22" s="2439"/>
      <c r="K22" s="350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5"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5"/>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5"/>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6"/>
      <c r="B30" s="302" t="s">
        <v>2217</v>
      </c>
      <c r="C30" s="3527"/>
      <c r="D30" s="3528"/>
      <c r="E30" s="2664"/>
      <c r="F30" s="2664"/>
      <c r="G30" s="2664"/>
      <c r="H30" s="2664"/>
      <c r="I30" s="2664"/>
      <c r="J30" s="2439"/>
      <c r="K30" s="2616"/>
      <c r="L30" s="2613"/>
      <c r="M30" s="2613"/>
      <c r="N30" s="2439"/>
      <c r="O30" s="2450"/>
      <c r="P30" s="2439"/>
      <c r="Q30" s="2439"/>
      <c r="R30" s="2439"/>
      <c r="S30" s="2439"/>
      <c r="T30" s="2439"/>
      <c r="U30" s="2439"/>
      <c r="V30" s="2439"/>
    </row>
    <row r="31" spans="1:28">
      <c r="A31" s="3529"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524" t="s">
        <v>2227</v>
      </c>
      <c r="T34" s="2428" t="str">
        <f>NUMBERSTRING(7-K34,1)&amp;"通"</f>
        <v>七通</v>
      </c>
      <c r="U34" s="2439"/>
      <c r="V34" s="2439"/>
    </row>
    <row r="35" spans="1:30">
      <c r="A35" s="2429"/>
      <c r="B35" s="3531" t="s">
        <v>2228</v>
      </c>
      <c r="C35" s="3531"/>
      <c r="D35" s="3531"/>
      <c r="E35" s="353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4"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v>368153.3</v>
      </c>
      <c r="B3" s="11">
        <f>IF(C3="否",G5-AT5,G5)</f>
        <v>253739.7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253739.7</v>
      </c>
      <c r="H5" s="13">
        <f t="shared" ref="H5:AT5" si="0">SUM(H13:H656)</f>
        <v>253739.7</v>
      </c>
      <c r="I5" s="13">
        <f t="shared" si="0"/>
        <v>253546.02500000002</v>
      </c>
      <c r="J5" s="13">
        <f t="shared" si="0"/>
        <v>0</v>
      </c>
      <c r="K5" s="13">
        <f t="shared" si="0"/>
        <v>193.67500000000001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253739.7</v>
      </c>
      <c r="BA5" s="15">
        <f t="shared" si="1"/>
        <v>253739.7</v>
      </c>
      <c r="BB5" s="15">
        <f t="shared" si="1"/>
        <v>253546.02500000002</v>
      </c>
      <c r="BC5" s="15">
        <f t="shared" si="1"/>
        <v>193.67500000000001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368153.3</v>
      </c>
      <c r="F6" s="13" t="s">
        <v>0</v>
      </c>
      <c r="G6" s="13" t="s">
        <v>1</v>
      </c>
      <c r="H6" s="17">
        <f>SUMIF(I$12:AB$12,"总值",I6:AB6)</f>
        <v>368153.3</v>
      </c>
      <c r="I6" s="13">
        <f t="shared" ref="I6:AB6" si="2">ROUND($A$3*I5/$B$3,2)</f>
        <v>367872.3</v>
      </c>
      <c r="J6" s="13">
        <f t="shared" si="2"/>
        <v>0</v>
      </c>
      <c r="K6" s="13">
        <f t="shared" si="2"/>
        <v>281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368153.3</v>
      </c>
      <c r="AZ6" s="13" t="s">
        <v>2</v>
      </c>
      <c r="BA6" s="13">
        <f>ROUND($AY$6*BA5/$AZ$5,2)</f>
        <v>368153.3</v>
      </c>
      <c r="BB6" s="13">
        <f>ROUND($AY$6*BB5/$AZ$5,2)</f>
        <v>367872.3</v>
      </c>
      <c r="BC6" s="13">
        <f t="shared" ref="BC6:BH6" si="4">ROUND($AY$6*BC5/$AZ$5,2)</f>
        <v>281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3416</v>
      </c>
      <c r="J9" s="809"/>
      <c r="K9" s="1603" t="s">
        <v>3417</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3452" t="s">
        <v>3418</v>
      </c>
      <c r="B13" s="1051" t="s">
        <v>3419</v>
      </c>
      <c r="C13" s="2438" t="s">
        <v>3420</v>
      </c>
      <c r="D13" s="1625" t="s">
        <v>3454</v>
      </c>
      <c r="E13" s="13">
        <f>IF($C$3="是",ROUND($A$3*G13/$B$3,2),ROUND($A$3*(G13-AT13)/$B$3,2))</f>
        <v>37069.47</v>
      </c>
      <c r="F13" s="29"/>
      <c r="G13" s="30">
        <f>H13+AC13+AT13</f>
        <v>25549.13</v>
      </c>
      <c r="H13" s="17">
        <f>SUMIF(I$12:AB$12,"总值",I13:AB13)</f>
        <v>25549.13</v>
      </c>
      <c r="I13" s="1626">
        <v>25549.13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t="str">
        <f t="shared" ref="AV13:AX17" si="6">A13</f>
        <v>一期</v>
      </c>
      <c r="AW13" s="8" t="str">
        <f t="shared" si="6"/>
        <v>1号厂房</v>
      </c>
      <c r="AX13" s="8" t="str">
        <f t="shared" si="6"/>
        <v>1-2</v>
      </c>
      <c r="AY13" s="1349">
        <f>ROUND($AY$6*AZ13/$AZ$5,2)</f>
        <v>37069.47</v>
      </c>
      <c r="AZ13" s="13">
        <f>BA13+BL13</f>
        <v>25549.13</v>
      </c>
      <c r="BA13" s="13">
        <f>SUM(BB13:BK13)</f>
        <v>25549.13</v>
      </c>
      <c r="BB13" s="13">
        <f>IF($D13="是",I13-J13,0)</f>
        <v>25549.13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v>47218.12</v>
      </c>
      <c r="B14" s="1051" t="s">
        <v>3421</v>
      </c>
      <c r="C14" s="2438" t="s">
        <v>3420</v>
      </c>
      <c r="D14" s="1625" t="s">
        <v>3454</v>
      </c>
      <c r="E14" s="13">
        <f>IF($C$3="是",ROUND($A$3*G14/$B$3,2),ROUND($A$3*(G14-AT14)/$B$3,2))</f>
        <v>30638.16</v>
      </c>
      <c r="F14" s="29"/>
      <c r="G14" s="30">
        <f>H14+AC14+AT14</f>
        <v>21116.52</v>
      </c>
      <c r="H14" s="17">
        <f>SUMIF(I$12:AB$12,"总值",I14:AB14)</f>
        <v>21116.52</v>
      </c>
      <c r="I14" s="1626">
        <v>21116.52</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47218.12</v>
      </c>
      <c r="AW14" s="8" t="str">
        <f t="shared" si="6"/>
        <v>4号厂房</v>
      </c>
      <c r="AX14" s="8" t="str">
        <f t="shared" si="6"/>
        <v>1-2</v>
      </c>
      <c r="AY14" s="1349">
        <f>ROUND($AY$6*AZ14/$AZ$5,2)</f>
        <v>30638.16</v>
      </c>
      <c r="AZ14" s="13">
        <f>BA14+BL14</f>
        <v>21116.52</v>
      </c>
      <c r="BA14" s="13">
        <f>SUM(BB14:BK14)</f>
        <v>21116.52</v>
      </c>
      <c r="BB14" s="13">
        <f>IF($D14="是",I14-J14,0)</f>
        <v>21116.52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26.4">
      <c r="A15" s="1051"/>
      <c r="B15" s="1051" t="s">
        <v>3422</v>
      </c>
      <c r="C15" s="1570">
        <v>1</v>
      </c>
      <c r="D15" s="1625" t="s">
        <v>3454</v>
      </c>
      <c r="E15" s="13">
        <f>IF($C$3="是",ROUND($A$3*G15/$B$3,2),ROUND($A$3*(G15-AT15)/$B$3,2))</f>
        <v>239.57</v>
      </c>
      <c r="F15" s="29"/>
      <c r="G15" s="30">
        <f>H15+AC15+AT15</f>
        <v>165.12</v>
      </c>
      <c r="H15" s="17">
        <f>SUMIF(I$12:AB$12,"总值",I15:AB15)</f>
        <v>165.12</v>
      </c>
      <c r="I15" s="1626">
        <v>165.12</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t="str">
        <f t="shared" si="6"/>
        <v>1-4号厂房连廊</v>
      </c>
      <c r="AX15" s="8">
        <f t="shared" si="6"/>
        <v>1</v>
      </c>
      <c r="AY15" s="1349">
        <f>ROUND($AY$6*AZ15/$AZ$5,2)</f>
        <v>239.57</v>
      </c>
      <c r="AZ15" s="13">
        <f>BA15+BL15</f>
        <v>165.12</v>
      </c>
      <c r="BA15" s="13">
        <f>SUM(BB15:BK15)</f>
        <v>165.12</v>
      </c>
      <c r="BB15" s="13">
        <f>IF($D15="是",I15-J15,0)</f>
        <v>165.12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6.4">
      <c r="A16" s="1051"/>
      <c r="B16" s="3452" t="s">
        <v>3423</v>
      </c>
      <c r="C16" s="2438" t="s">
        <v>3424</v>
      </c>
      <c r="D16" s="1625" t="s">
        <v>3454</v>
      </c>
      <c r="E16" s="13">
        <f>IF($C$3="是",ROUND($A$3*G16/$B$3,2),ROUND($A$3*(G16-AT16)/$B$3,2))</f>
        <v>562.01</v>
      </c>
      <c r="F16" s="29"/>
      <c r="G16" s="30">
        <f>H16+AC16+AT16</f>
        <v>387.35</v>
      </c>
      <c r="H16" s="17">
        <f>SUMIF(I$12:AB$12,"总值",I16:AB16)</f>
        <v>387.35</v>
      </c>
      <c r="I16" s="1626">
        <f>387.35/2</f>
        <v>193.67500000000001</v>
      </c>
      <c r="J16" s="1626"/>
      <c r="K16" s="1626">
        <f>I16</f>
        <v>193.67500000000001</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t="str">
        <f t="shared" si="6"/>
        <v>门卫与消防泵房</v>
      </c>
      <c r="AX16" s="8" t="str">
        <f t="shared" si="6"/>
        <v>-1-1</v>
      </c>
      <c r="AY16" s="1349">
        <f>ROUND($AY$6*AZ16/$AZ$5,2)</f>
        <v>562.01</v>
      </c>
      <c r="AZ16" s="13">
        <f>BA16+BL16</f>
        <v>387.35</v>
      </c>
      <c r="BA16" s="13">
        <f>SUM(BB16:BK16)</f>
        <v>387.35</v>
      </c>
      <c r="BB16" s="13">
        <f>IF($D16="是",I16-J16,0)</f>
        <v>193.67500000000001</v>
      </c>
      <c r="BC16" s="13">
        <f>IF($D16="是",K16-L16,0)</f>
        <v>193.67500000000001</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3452" t="s">
        <v>3425</v>
      </c>
      <c r="B17" s="1051" t="s">
        <v>3426</v>
      </c>
      <c r="C17" s="1570">
        <v>1</v>
      </c>
      <c r="D17" s="1625" t="s">
        <v>3454</v>
      </c>
      <c r="E17" s="13">
        <f>IF($C$3="是",ROUND($A$3*G17/$B$3,2),ROUND($A$3*(G17-AT17)/$B$3,2))</f>
        <v>28880.7</v>
      </c>
      <c r="F17" s="29"/>
      <c r="G17" s="30">
        <f>H17+AC17+AT17</f>
        <v>19905.240000000002</v>
      </c>
      <c r="H17" s="17">
        <f>SUMIF(I$12:AB$12,"总值",I17:AB17)</f>
        <v>19905.240000000002</v>
      </c>
      <c r="I17" s="1626">
        <v>19905.240000000002</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t="str">
        <f t="shared" si="6"/>
        <v>二期</v>
      </c>
      <c r="AW17" s="8" t="str">
        <f t="shared" si="6"/>
        <v>厂房2</v>
      </c>
      <c r="AX17" s="8">
        <f t="shared" si="6"/>
        <v>1</v>
      </c>
      <c r="AY17" s="1349">
        <f>ROUND($AY$6*AZ17/$AZ$5,2)</f>
        <v>28880.7</v>
      </c>
      <c r="AZ17" s="13">
        <f>BA17+BL17</f>
        <v>19905.240000000002</v>
      </c>
      <c r="BA17" s="13">
        <f>SUM(BB17:BK17)</f>
        <v>19905.240000000002</v>
      </c>
      <c r="BB17" s="13">
        <f>IF($D17="是",I17-J17,0)</f>
        <v>19905.240000000002</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14.4">
      <c r="A18" s="6">
        <v>131836.94</v>
      </c>
      <c r="B18" s="31" t="s">
        <v>3427</v>
      </c>
      <c r="C18" s="31">
        <v>1</v>
      </c>
      <c r="D18" s="1625" t="s">
        <v>3454</v>
      </c>
      <c r="E18" s="32">
        <f t="shared" ref="E18:E112" si="7">IF($C$3="是",ROUND($A$3*G18/$B$3,2),ROUND($A$3*(G18-AT18)/$B$3,2))</f>
        <v>23547.65</v>
      </c>
      <c r="F18" s="33"/>
      <c r="G18" s="34">
        <f t="shared" ref="G18:G109" si="8">H18+AC18+AT18</f>
        <v>16229.58</v>
      </c>
      <c r="H18" s="35">
        <f t="shared" ref="H18:H109" si="9">SUMIF(I$12:AB$12,"总值",I18:AB18)</f>
        <v>16229.58</v>
      </c>
      <c r="I18" s="36">
        <v>16229.58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131836.94</v>
      </c>
      <c r="AW18" s="1343" t="str">
        <f t="shared" ref="AW18:AW112" si="12">B18</f>
        <v>厂房3</v>
      </c>
      <c r="AX18" s="1343">
        <f t="shared" ref="AX18:AX112" si="13">C18</f>
        <v>1</v>
      </c>
      <c r="AY18" s="39">
        <f t="shared" ref="AY18:AY109" si="14">ROUND($AY$6*AZ18/$AZ$5,2)</f>
        <v>23547.65</v>
      </c>
      <c r="AZ18" s="32">
        <f t="shared" ref="AZ18:AZ109" si="15">BA18+BL18</f>
        <v>16229.58</v>
      </c>
      <c r="BA18" s="32">
        <f t="shared" ref="BA18:BA109" si="16">SUM(BB18:BK18)</f>
        <v>16229.58</v>
      </c>
      <c r="BB18" s="32">
        <f t="shared" ref="BB18:BB109" si="17">IF($D18="是",I18-J18,0)</f>
        <v>16229.58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14.4">
      <c r="A19" s="6"/>
      <c r="B19" s="31" t="s">
        <v>3428</v>
      </c>
      <c r="C19" s="2438" t="s">
        <v>3420</v>
      </c>
      <c r="D19" s="1625" t="s">
        <v>3454</v>
      </c>
      <c r="E19" s="32">
        <f t="shared" si="7"/>
        <v>28574.5</v>
      </c>
      <c r="F19" s="33"/>
      <c r="G19" s="34">
        <f t="shared" si="8"/>
        <v>19694.2</v>
      </c>
      <c r="H19" s="35">
        <f t="shared" si="9"/>
        <v>19694.2</v>
      </c>
      <c r="I19" s="36">
        <v>19694.2</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t="str">
        <f t="shared" si="12"/>
        <v>厂房5</v>
      </c>
      <c r="AX19" s="1343" t="str">
        <f t="shared" si="13"/>
        <v>1-2</v>
      </c>
      <c r="AY19" s="39">
        <f t="shared" si="14"/>
        <v>28574.5</v>
      </c>
      <c r="AZ19" s="32">
        <f t="shared" si="15"/>
        <v>19694.2</v>
      </c>
      <c r="BA19" s="32">
        <f t="shared" si="16"/>
        <v>19694.2</v>
      </c>
      <c r="BB19" s="32">
        <f t="shared" si="17"/>
        <v>19694.2</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ht="14.4">
      <c r="A20" s="6"/>
      <c r="B20" s="31" t="s">
        <v>3429</v>
      </c>
      <c r="C20" s="31">
        <v>1</v>
      </c>
      <c r="D20" s="1625" t="s">
        <v>3454</v>
      </c>
      <c r="E20" s="32">
        <f t="shared" si="7"/>
        <v>21683.43</v>
      </c>
      <c r="F20" s="33"/>
      <c r="G20" s="34">
        <f t="shared" si="8"/>
        <v>14944.72</v>
      </c>
      <c r="H20" s="35">
        <f t="shared" si="9"/>
        <v>14944.72</v>
      </c>
      <c r="I20" s="36">
        <v>14944.72</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t="str">
        <f t="shared" si="12"/>
        <v>厂房6</v>
      </c>
      <c r="AX20" s="1343">
        <f t="shared" si="13"/>
        <v>1</v>
      </c>
      <c r="AY20" s="39">
        <f t="shared" si="14"/>
        <v>21683.43</v>
      </c>
      <c r="AZ20" s="32">
        <f t="shared" si="15"/>
        <v>14944.72</v>
      </c>
      <c r="BA20" s="32">
        <f t="shared" si="16"/>
        <v>14944.72</v>
      </c>
      <c r="BB20" s="32">
        <f t="shared" si="17"/>
        <v>14944.72</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ht="14.4">
      <c r="A21" s="6"/>
      <c r="B21" s="31" t="s">
        <v>3430</v>
      </c>
      <c r="C21" s="2438" t="s">
        <v>3433</v>
      </c>
      <c r="D21" s="1625" t="s">
        <v>3454</v>
      </c>
      <c r="E21" s="32">
        <f t="shared" si="7"/>
        <v>37145.410000000003</v>
      </c>
      <c r="F21" s="33"/>
      <c r="G21" s="34">
        <f t="shared" si="8"/>
        <v>25601.47</v>
      </c>
      <c r="H21" s="35">
        <f t="shared" si="9"/>
        <v>25601.47</v>
      </c>
      <c r="I21" s="36">
        <v>25601.47</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t="str">
        <f t="shared" si="12"/>
        <v>厂房7</v>
      </c>
      <c r="AX21" s="1343" t="str">
        <f t="shared" si="13"/>
        <v>1-3</v>
      </c>
      <c r="AY21" s="39">
        <f t="shared" si="14"/>
        <v>37145.410000000003</v>
      </c>
      <c r="AZ21" s="32">
        <f t="shared" si="15"/>
        <v>25601.47</v>
      </c>
      <c r="BA21" s="32">
        <f t="shared" si="16"/>
        <v>25601.47</v>
      </c>
      <c r="BB21" s="32">
        <f t="shared" si="17"/>
        <v>25601.47</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ht="14.4">
      <c r="A22" s="6"/>
      <c r="B22" s="31" t="s">
        <v>3431</v>
      </c>
      <c r="C22" s="31">
        <v>1</v>
      </c>
      <c r="D22" s="1625" t="s">
        <v>3454</v>
      </c>
      <c r="E22" s="32">
        <f t="shared" si="7"/>
        <v>23966.6</v>
      </c>
      <c r="F22" s="33"/>
      <c r="G22" s="34">
        <f t="shared" si="8"/>
        <v>16518.330000000002</v>
      </c>
      <c r="H22" s="35">
        <f t="shared" si="9"/>
        <v>16518.330000000002</v>
      </c>
      <c r="I22" s="36">
        <v>16518.330000000002</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t="str">
        <f t="shared" si="12"/>
        <v>厂房8</v>
      </c>
      <c r="AX22" s="1343">
        <f t="shared" si="13"/>
        <v>1</v>
      </c>
      <c r="AY22" s="39">
        <f t="shared" si="14"/>
        <v>23966.6</v>
      </c>
      <c r="AZ22" s="32">
        <f t="shared" si="15"/>
        <v>16518.330000000002</v>
      </c>
      <c r="BA22" s="32">
        <f t="shared" si="16"/>
        <v>16518.330000000002</v>
      </c>
      <c r="BB22" s="32">
        <f t="shared" si="17"/>
        <v>16518.330000000002</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ht="14.4">
      <c r="A23" s="6"/>
      <c r="B23" s="31" t="s">
        <v>3432</v>
      </c>
      <c r="C23" s="31">
        <v>1</v>
      </c>
      <c r="D23" s="1625" t="s">
        <v>3454</v>
      </c>
      <c r="E23" s="32">
        <f t="shared" si="7"/>
        <v>7170.84</v>
      </c>
      <c r="F23" s="33"/>
      <c r="G23" s="34">
        <f t="shared" si="8"/>
        <v>4942.3100000000004</v>
      </c>
      <c r="H23" s="35">
        <f t="shared" si="9"/>
        <v>4942.3100000000004</v>
      </c>
      <c r="I23" s="36">
        <v>4942.3100000000004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t="str">
        <f t="shared" si="12"/>
        <v>厂房9</v>
      </c>
      <c r="AX23" s="1343">
        <f t="shared" si="13"/>
        <v>1</v>
      </c>
      <c r="AY23" s="39">
        <f t="shared" si="14"/>
        <v>7170.84</v>
      </c>
      <c r="AZ23" s="32">
        <f t="shared" si="15"/>
        <v>4942.3100000000004</v>
      </c>
      <c r="BA23" s="32">
        <f t="shared" si="16"/>
        <v>4942.3100000000004</v>
      </c>
      <c r="BB23" s="32">
        <f t="shared" si="17"/>
        <v>4942.3100000000004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ht="14.4">
      <c r="A24" s="6"/>
      <c r="B24" s="31" t="s">
        <v>3434</v>
      </c>
      <c r="C24" s="31">
        <v>1</v>
      </c>
      <c r="D24" s="1625" t="s">
        <v>3454</v>
      </c>
      <c r="E24" s="32">
        <f t="shared" si="7"/>
        <v>1267.82</v>
      </c>
      <c r="F24" s="33"/>
      <c r="G24" s="34">
        <f t="shared" si="8"/>
        <v>873.81</v>
      </c>
      <c r="H24" s="35">
        <f t="shared" si="9"/>
        <v>873.81</v>
      </c>
      <c r="I24" s="36">
        <v>873.81</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t="str">
        <f t="shared" si="12"/>
        <v>库房1</v>
      </c>
      <c r="AX24" s="1343">
        <f t="shared" si="13"/>
        <v>1</v>
      </c>
      <c r="AY24" s="39">
        <f t="shared" si="14"/>
        <v>1267.82</v>
      </c>
      <c r="AZ24" s="32">
        <f t="shared" si="15"/>
        <v>873.81</v>
      </c>
      <c r="BA24" s="32">
        <f t="shared" si="16"/>
        <v>873.81</v>
      </c>
      <c r="BB24" s="32">
        <f t="shared" si="17"/>
        <v>873.81</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ht="14.4">
      <c r="A25" s="6"/>
      <c r="B25" s="31" t="s">
        <v>3435</v>
      </c>
      <c r="C25" s="31">
        <v>1</v>
      </c>
      <c r="D25" s="1625" t="s">
        <v>3454</v>
      </c>
      <c r="E25" s="32">
        <f t="shared" si="7"/>
        <v>1959.69</v>
      </c>
      <c r="F25" s="33"/>
      <c r="G25" s="34">
        <f t="shared" si="8"/>
        <v>1350.66</v>
      </c>
      <c r="H25" s="35">
        <f t="shared" si="9"/>
        <v>1350.66</v>
      </c>
      <c r="I25" s="36">
        <v>1350.66</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t="str">
        <f t="shared" si="12"/>
        <v>库房2</v>
      </c>
      <c r="AX25" s="1343">
        <f t="shared" si="13"/>
        <v>1</v>
      </c>
      <c r="AY25" s="39">
        <f t="shared" si="14"/>
        <v>1959.69</v>
      </c>
      <c r="AZ25" s="32">
        <f t="shared" si="15"/>
        <v>1350.66</v>
      </c>
      <c r="BA25" s="32">
        <f t="shared" si="16"/>
        <v>1350.66</v>
      </c>
      <c r="BB25" s="32">
        <f t="shared" si="17"/>
        <v>1350.66</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ht="14.4">
      <c r="A26" s="6"/>
      <c r="B26" s="31" t="s">
        <v>3436</v>
      </c>
      <c r="C26" s="31">
        <v>1</v>
      </c>
      <c r="D26" s="1625" t="s">
        <v>3454</v>
      </c>
      <c r="E26" s="32">
        <f t="shared" si="7"/>
        <v>823.52</v>
      </c>
      <c r="F26" s="33"/>
      <c r="G26" s="34">
        <f t="shared" si="8"/>
        <v>567.59</v>
      </c>
      <c r="H26" s="35">
        <f t="shared" si="9"/>
        <v>567.59</v>
      </c>
      <c r="I26" s="36">
        <v>567.59</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t="str">
        <f t="shared" si="12"/>
        <v>库房3</v>
      </c>
      <c r="AX26" s="1343">
        <f t="shared" si="13"/>
        <v>1</v>
      </c>
      <c r="AY26" s="39">
        <f t="shared" si="14"/>
        <v>823.52</v>
      </c>
      <c r="AZ26" s="32">
        <f t="shared" si="15"/>
        <v>567.59</v>
      </c>
      <c r="BA26" s="32">
        <f t="shared" si="16"/>
        <v>567.59</v>
      </c>
      <c r="BB26" s="32">
        <f t="shared" si="17"/>
        <v>567.59</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ht="14.4">
      <c r="A27" s="6"/>
      <c r="B27" s="3453" t="s">
        <v>3437</v>
      </c>
      <c r="C27" s="31">
        <v>5</v>
      </c>
      <c r="D27" s="1625" t="s">
        <v>3454</v>
      </c>
      <c r="E27" s="32">
        <f t="shared" si="7"/>
        <v>5727.9</v>
      </c>
      <c r="F27" s="33"/>
      <c r="G27" s="34">
        <f t="shared" si="8"/>
        <v>3947.8</v>
      </c>
      <c r="H27" s="35">
        <f t="shared" si="9"/>
        <v>3947.8</v>
      </c>
      <c r="I27" s="36">
        <v>3947.8</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t="str">
        <f t="shared" si="12"/>
        <v>研发楼</v>
      </c>
      <c r="AX27" s="1343">
        <f t="shared" si="13"/>
        <v>5</v>
      </c>
      <c r="AY27" s="39">
        <f t="shared" si="14"/>
        <v>5727.9</v>
      </c>
      <c r="AZ27" s="32">
        <f t="shared" si="15"/>
        <v>3947.8</v>
      </c>
      <c r="BA27" s="32">
        <f t="shared" si="16"/>
        <v>3947.8</v>
      </c>
      <c r="BB27" s="32">
        <f t="shared" si="17"/>
        <v>3947.8</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ht="28.8">
      <c r="A28" s="6"/>
      <c r="B28" s="3453" t="s">
        <v>3438</v>
      </c>
      <c r="C28" s="31">
        <v>2</v>
      </c>
      <c r="D28" s="1625" t="s">
        <v>3454</v>
      </c>
      <c r="E28" s="32">
        <f t="shared" si="7"/>
        <v>4230.07</v>
      </c>
      <c r="F28" s="33"/>
      <c r="G28" s="34">
        <f t="shared" si="8"/>
        <v>2915.46</v>
      </c>
      <c r="H28" s="35">
        <f t="shared" si="9"/>
        <v>2915.46</v>
      </c>
      <c r="I28" s="36">
        <v>2915.46</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t="str">
        <f t="shared" si="12"/>
        <v>食堂活动中心</v>
      </c>
      <c r="AX28" s="1343">
        <f t="shared" si="13"/>
        <v>2</v>
      </c>
      <c r="AY28" s="39">
        <f t="shared" si="14"/>
        <v>4230.07</v>
      </c>
      <c r="AZ28" s="32">
        <f t="shared" si="15"/>
        <v>2915.46</v>
      </c>
      <c r="BA28" s="32">
        <f t="shared" si="16"/>
        <v>2915.46</v>
      </c>
      <c r="BB28" s="32">
        <f t="shared" si="17"/>
        <v>2915.46</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ht="14.4">
      <c r="A29" s="6"/>
      <c r="B29" s="3453" t="s">
        <v>3439</v>
      </c>
      <c r="C29" s="31">
        <v>5</v>
      </c>
      <c r="D29" s="1625" t="s">
        <v>3454</v>
      </c>
      <c r="E29" s="32">
        <f t="shared" si="7"/>
        <v>6163.46</v>
      </c>
      <c r="F29" s="33"/>
      <c r="G29" s="34">
        <f t="shared" si="8"/>
        <v>4248</v>
      </c>
      <c r="H29" s="35">
        <f t="shared" si="9"/>
        <v>4248</v>
      </c>
      <c r="I29" s="36">
        <v>4248</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t="str">
        <f t="shared" si="12"/>
        <v>倒班房</v>
      </c>
      <c r="AX29" s="1343">
        <f t="shared" si="13"/>
        <v>5</v>
      </c>
      <c r="AY29" s="39">
        <f t="shared" si="14"/>
        <v>6163.46</v>
      </c>
      <c r="AZ29" s="32">
        <f t="shared" si="15"/>
        <v>4248</v>
      </c>
      <c r="BA29" s="32">
        <f t="shared" si="16"/>
        <v>4248</v>
      </c>
      <c r="BB29" s="32">
        <f t="shared" si="17"/>
        <v>4248</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ht="14.4">
      <c r="A30" s="6"/>
      <c r="B30" s="3453" t="s">
        <v>3440</v>
      </c>
      <c r="C30" s="31">
        <v>1</v>
      </c>
      <c r="D30" s="1625" t="s">
        <v>3454</v>
      </c>
      <c r="E30" s="32">
        <f t="shared" si="7"/>
        <v>141.86000000000001</v>
      </c>
      <c r="F30" s="33"/>
      <c r="G30" s="34">
        <f t="shared" si="8"/>
        <v>97.77</v>
      </c>
      <c r="H30" s="35">
        <f t="shared" si="9"/>
        <v>97.77</v>
      </c>
      <c r="I30" s="36">
        <v>97.77</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t="str">
        <f t="shared" si="12"/>
        <v>门卫二</v>
      </c>
      <c r="AX30" s="1343">
        <f t="shared" si="13"/>
        <v>1</v>
      </c>
      <c r="AY30" s="39">
        <f t="shared" si="14"/>
        <v>141.86000000000001</v>
      </c>
      <c r="AZ30" s="32">
        <f t="shared" si="15"/>
        <v>97.77</v>
      </c>
      <c r="BA30" s="32">
        <f t="shared" si="16"/>
        <v>97.77</v>
      </c>
      <c r="BB30" s="32">
        <f t="shared" si="17"/>
        <v>97.77</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ht="14.4">
      <c r="A31" s="3454" t="s">
        <v>3441</v>
      </c>
      <c r="B31" s="31" t="s">
        <v>3442</v>
      </c>
      <c r="C31" s="31">
        <v>1</v>
      </c>
      <c r="D31" s="1625" t="s">
        <v>3454</v>
      </c>
      <c r="E31" s="32">
        <f t="shared" si="7"/>
        <v>23267.040000000001</v>
      </c>
      <c r="F31" s="33"/>
      <c r="G31" s="34">
        <f t="shared" si="8"/>
        <v>16036.18</v>
      </c>
      <c r="H31" s="35">
        <f t="shared" si="9"/>
        <v>16036.18</v>
      </c>
      <c r="I31" s="36">
        <v>16036.18</v>
      </c>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t="str">
        <f t="shared" si="11"/>
        <v>三期</v>
      </c>
      <c r="AW31" s="1343" t="str">
        <f t="shared" si="12"/>
        <v>厂房10</v>
      </c>
      <c r="AX31" s="1343">
        <f t="shared" si="13"/>
        <v>1</v>
      </c>
      <c r="AY31" s="39">
        <f t="shared" si="14"/>
        <v>23267.040000000001</v>
      </c>
      <c r="AZ31" s="32">
        <f t="shared" si="15"/>
        <v>16036.18</v>
      </c>
      <c r="BA31" s="32">
        <f t="shared" si="16"/>
        <v>16036.18</v>
      </c>
      <c r="BB31" s="32">
        <f t="shared" si="17"/>
        <v>16036.18</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ht="14.4">
      <c r="A32" s="6">
        <v>74684.639999999999</v>
      </c>
      <c r="B32" s="31" t="s">
        <v>3443</v>
      </c>
      <c r="C32" s="2438" t="s">
        <v>3433</v>
      </c>
      <c r="D32" s="1625" t="s">
        <v>3454</v>
      </c>
      <c r="E32" s="32">
        <f t="shared" si="7"/>
        <v>32972.32</v>
      </c>
      <c r="F32" s="33"/>
      <c r="G32" s="34">
        <f t="shared" si="8"/>
        <v>22725.279999999999</v>
      </c>
      <c r="H32" s="35">
        <f t="shared" si="9"/>
        <v>22725.279999999999</v>
      </c>
      <c r="I32" s="36">
        <v>22725.279999999999</v>
      </c>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74684.639999999999</v>
      </c>
      <c r="AW32" s="1343" t="str">
        <f t="shared" si="12"/>
        <v>厂房11</v>
      </c>
      <c r="AX32" s="1343" t="str">
        <f t="shared" si="13"/>
        <v>1-3</v>
      </c>
      <c r="AY32" s="39">
        <f t="shared" si="14"/>
        <v>32972.32</v>
      </c>
      <c r="AZ32" s="32">
        <f t="shared" si="15"/>
        <v>22725.279999999999</v>
      </c>
      <c r="BA32" s="32">
        <f t="shared" si="16"/>
        <v>22725.279999999999</v>
      </c>
      <c r="BB32" s="32">
        <f t="shared" si="17"/>
        <v>22725.279999999999</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ht="14.4">
      <c r="A33" s="6"/>
      <c r="B33" s="31" t="s">
        <v>3444</v>
      </c>
      <c r="C33" s="2438" t="s">
        <v>3433</v>
      </c>
      <c r="D33" s="1625" t="s">
        <v>3454</v>
      </c>
      <c r="E33" s="32">
        <f t="shared" si="7"/>
        <v>27147.65</v>
      </c>
      <c r="F33" s="33"/>
      <c r="G33" s="34">
        <f t="shared" si="8"/>
        <v>18710.78</v>
      </c>
      <c r="H33" s="35">
        <f t="shared" si="9"/>
        <v>18710.78</v>
      </c>
      <c r="I33" s="36">
        <v>18710.78</v>
      </c>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t="str">
        <f t="shared" si="12"/>
        <v>厂房12</v>
      </c>
      <c r="AX33" s="1343" t="str">
        <f t="shared" si="13"/>
        <v>1-3</v>
      </c>
      <c r="AY33" s="39">
        <f t="shared" si="14"/>
        <v>27147.65</v>
      </c>
      <c r="AZ33" s="32">
        <f t="shared" si="15"/>
        <v>18710.78</v>
      </c>
      <c r="BA33" s="32">
        <f t="shared" si="16"/>
        <v>18710.78</v>
      </c>
      <c r="BB33" s="32">
        <f t="shared" si="17"/>
        <v>18710.78</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ht="14.4">
      <c r="A34" s="6"/>
      <c r="B34" s="31" t="s">
        <v>3445</v>
      </c>
      <c r="C34" s="31">
        <v>1</v>
      </c>
      <c r="D34" s="1625" t="s">
        <v>3454</v>
      </c>
      <c r="E34" s="32">
        <f t="shared" si="7"/>
        <v>19401.2</v>
      </c>
      <c r="F34" s="33"/>
      <c r="G34" s="34">
        <f t="shared" si="8"/>
        <v>13371.75</v>
      </c>
      <c r="H34" s="35">
        <f t="shared" si="9"/>
        <v>13371.75</v>
      </c>
      <c r="I34" s="36">
        <v>13371.75</v>
      </c>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t="str">
        <f t="shared" si="12"/>
        <v>厂房13</v>
      </c>
      <c r="AX34" s="1343">
        <f t="shared" si="13"/>
        <v>1</v>
      </c>
      <c r="AY34" s="39">
        <f t="shared" si="14"/>
        <v>19401.2</v>
      </c>
      <c r="AZ34" s="32">
        <f t="shared" si="15"/>
        <v>13371.75</v>
      </c>
      <c r="BA34" s="32">
        <f t="shared" si="16"/>
        <v>13371.75</v>
      </c>
      <c r="BB34" s="32">
        <f t="shared" si="17"/>
        <v>13371.75</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ht="14.4">
      <c r="A35" s="6"/>
      <c r="B35" s="31" t="s">
        <v>3446</v>
      </c>
      <c r="C35" s="31">
        <v>1</v>
      </c>
      <c r="D35" s="1625" t="s">
        <v>3454</v>
      </c>
      <c r="E35" s="32">
        <f t="shared" si="7"/>
        <v>46.99</v>
      </c>
      <c r="F35" s="33"/>
      <c r="G35" s="34">
        <f t="shared" si="8"/>
        <v>32.39</v>
      </c>
      <c r="H35" s="35">
        <f t="shared" si="9"/>
        <v>32.39</v>
      </c>
      <c r="I35" s="36">
        <v>32.39</v>
      </c>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t="str">
        <f t="shared" si="12"/>
        <v>门卫3</v>
      </c>
      <c r="AX35" s="1343">
        <f t="shared" si="13"/>
        <v>1</v>
      </c>
      <c r="AY35" s="39">
        <f t="shared" si="14"/>
        <v>46.99</v>
      </c>
      <c r="AZ35" s="32">
        <f t="shared" si="15"/>
        <v>32.39</v>
      </c>
      <c r="BA35" s="32">
        <f t="shared" si="16"/>
        <v>32.39</v>
      </c>
      <c r="BB35" s="32">
        <f t="shared" si="17"/>
        <v>32.39</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ht="14.4">
      <c r="A36" s="6"/>
      <c r="B36" s="31" t="s">
        <v>3447</v>
      </c>
      <c r="C36" s="31">
        <v>1</v>
      </c>
      <c r="D36" s="1625" t="s">
        <v>3454</v>
      </c>
      <c r="E36" s="32">
        <f t="shared" si="7"/>
        <v>46.99</v>
      </c>
      <c r="F36" s="33"/>
      <c r="G36" s="34">
        <f t="shared" si="8"/>
        <v>32.39</v>
      </c>
      <c r="H36" s="35">
        <f t="shared" si="9"/>
        <v>32.39</v>
      </c>
      <c r="I36" s="36">
        <v>32.39</v>
      </c>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t="str">
        <f t="shared" si="12"/>
        <v>门卫4</v>
      </c>
      <c r="AX36" s="1343">
        <f t="shared" si="13"/>
        <v>1</v>
      </c>
      <c r="AY36" s="39">
        <f t="shared" si="14"/>
        <v>46.99</v>
      </c>
      <c r="AZ36" s="32">
        <f t="shared" si="15"/>
        <v>32.39</v>
      </c>
      <c r="BA36" s="32">
        <f t="shared" si="16"/>
        <v>32.39</v>
      </c>
      <c r="BB36" s="32">
        <f t="shared" si="17"/>
        <v>32.39</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ht="14.4">
      <c r="A37" s="6"/>
      <c r="B37" s="31" t="s">
        <v>3448</v>
      </c>
      <c r="C37" s="31">
        <v>1</v>
      </c>
      <c r="D37" s="1625" t="s">
        <v>3454</v>
      </c>
      <c r="E37" s="32">
        <f t="shared" si="7"/>
        <v>823.52</v>
      </c>
      <c r="F37" s="33"/>
      <c r="G37" s="34">
        <f t="shared" si="8"/>
        <v>567.59</v>
      </c>
      <c r="H37" s="35">
        <f t="shared" si="9"/>
        <v>567.59</v>
      </c>
      <c r="I37" s="36">
        <v>567.59</v>
      </c>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t="str">
        <f t="shared" si="12"/>
        <v>库房4</v>
      </c>
      <c r="AX37" s="1343">
        <f t="shared" si="13"/>
        <v>1</v>
      </c>
      <c r="AY37" s="39">
        <f t="shared" si="14"/>
        <v>823.52</v>
      </c>
      <c r="AZ37" s="32">
        <f t="shared" si="15"/>
        <v>567.59</v>
      </c>
      <c r="BA37" s="32">
        <f t="shared" si="16"/>
        <v>567.59</v>
      </c>
      <c r="BB37" s="32">
        <f t="shared" si="17"/>
        <v>567.59</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ht="14.4">
      <c r="A38" s="6"/>
      <c r="B38" s="31" t="s">
        <v>3449</v>
      </c>
      <c r="C38" s="31">
        <v>1</v>
      </c>
      <c r="D38" s="1625" t="s">
        <v>3454</v>
      </c>
      <c r="E38" s="32">
        <f t="shared" si="7"/>
        <v>554.70000000000005</v>
      </c>
      <c r="F38" s="33"/>
      <c r="G38" s="34">
        <f t="shared" si="8"/>
        <v>382.31</v>
      </c>
      <c r="H38" s="35">
        <f t="shared" si="9"/>
        <v>382.31</v>
      </c>
      <c r="I38" s="36">
        <v>382.31</v>
      </c>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t="str">
        <f t="shared" si="12"/>
        <v>库房5</v>
      </c>
      <c r="AX38" s="1343">
        <f t="shared" si="13"/>
        <v>1</v>
      </c>
      <c r="AY38" s="39">
        <f t="shared" si="14"/>
        <v>554.70000000000005</v>
      </c>
      <c r="AZ38" s="32">
        <f t="shared" si="15"/>
        <v>382.31</v>
      </c>
      <c r="BA38" s="32">
        <f t="shared" si="16"/>
        <v>382.31</v>
      </c>
      <c r="BB38" s="32">
        <f t="shared" si="17"/>
        <v>382.31</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ht="14.4">
      <c r="A39" s="6"/>
      <c r="B39" s="31" t="s">
        <v>3450</v>
      </c>
      <c r="C39" s="31">
        <v>1</v>
      </c>
      <c r="D39" s="1625" t="s">
        <v>3454</v>
      </c>
      <c r="E39" s="32">
        <f t="shared" si="7"/>
        <v>338.11</v>
      </c>
      <c r="F39" s="33"/>
      <c r="G39" s="34">
        <f t="shared" si="8"/>
        <v>233.03</v>
      </c>
      <c r="H39" s="35">
        <f t="shared" si="9"/>
        <v>233.03</v>
      </c>
      <c r="I39" s="36">
        <v>233.03</v>
      </c>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t="str">
        <f t="shared" si="12"/>
        <v>库房6</v>
      </c>
      <c r="AX39" s="1343">
        <f t="shared" si="13"/>
        <v>1</v>
      </c>
      <c r="AY39" s="39">
        <f t="shared" si="14"/>
        <v>338.11</v>
      </c>
      <c r="AZ39" s="32">
        <f t="shared" si="15"/>
        <v>233.03</v>
      </c>
      <c r="BA39" s="32">
        <f t="shared" si="16"/>
        <v>233.03</v>
      </c>
      <c r="BB39" s="32">
        <f t="shared" si="17"/>
        <v>233.03</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ht="28.8">
      <c r="A40" s="6"/>
      <c r="B40" s="3453" t="s">
        <v>3451</v>
      </c>
      <c r="C40" s="3455" t="s">
        <v>3453</v>
      </c>
      <c r="D40" s="1625" t="s">
        <v>3454</v>
      </c>
      <c r="E40" s="32">
        <f t="shared" si="7"/>
        <v>2937.08</v>
      </c>
      <c r="F40" s="33"/>
      <c r="G40" s="34">
        <f t="shared" si="8"/>
        <v>2024.3</v>
      </c>
      <c r="H40" s="35">
        <f t="shared" si="9"/>
        <v>2024.3</v>
      </c>
      <c r="I40" s="36">
        <v>2024.3</v>
      </c>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t="str">
        <f t="shared" si="12"/>
        <v>余热发电机房</v>
      </c>
      <c r="AX40" s="1343" t="str">
        <f t="shared" si="13"/>
        <v>1-4</v>
      </c>
      <c r="AY40" s="39">
        <f t="shared" si="14"/>
        <v>2937.08</v>
      </c>
      <c r="AZ40" s="32">
        <f t="shared" si="15"/>
        <v>2024.3</v>
      </c>
      <c r="BA40" s="32">
        <f t="shared" si="16"/>
        <v>2024.3</v>
      </c>
      <c r="BB40" s="32">
        <f t="shared" si="17"/>
        <v>2024.3</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ht="28.8">
      <c r="A41" s="6"/>
      <c r="B41" s="3453" t="s">
        <v>3452</v>
      </c>
      <c r="C41" s="31">
        <v>2</v>
      </c>
      <c r="D41" s="1625" t="s">
        <v>3454</v>
      </c>
      <c r="E41" s="32">
        <f t="shared" si="7"/>
        <v>825.05</v>
      </c>
      <c r="F41" s="33"/>
      <c r="G41" s="34">
        <f t="shared" si="8"/>
        <v>568.64</v>
      </c>
      <c r="H41" s="35">
        <f t="shared" si="9"/>
        <v>568.64</v>
      </c>
      <c r="I41" s="36">
        <v>568.64</v>
      </c>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t="str">
        <f t="shared" si="12"/>
        <v>余热发电泵房</v>
      </c>
      <c r="AX41" s="1343">
        <f t="shared" si="13"/>
        <v>2</v>
      </c>
      <c r="AY41" s="39">
        <f t="shared" si="14"/>
        <v>825.05</v>
      </c>
      <c r="AZ41" s="32">
        <f t="shared" si="15"/>
        <v>568.64</v>
      </c>
      <c r="BA41" s="32">
        <f t="shared" si="16"/>
        <v>568.64</v>
      </c>
      <c r="BB41" s="32">
        <f t="shared" si="17"/>
        <v>568.64</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2" sqref="F42"/>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41" t="s">
        <v>1131</v>
      </c>
      <c r="B2" s="3541"/>
      <c r="C2" s="3541"/>
      <c r="D2" s="796" t="s">
        <v>1107</v>
      </c>
      <c r="E2" s="1639" t="s">
        <v>1108</v>
      </c>
      <c r="F2" s="2659"/>
      <c r="G2" s="2650"/>
      <c r="H2" s="2651"/>
      <c r="I2" s="2325" t="s">
        <v>1132</v>
      </c>
      <c r="J2" s="2659"/>
      <c r="K2" s="2659"/>
      <c r="L2" s="2659"/>
      <c r="M2" s="2659"/>
      <c r="N2" s="2661"/>
      <c r="O2" s="2659"/>
      <c r="P2" s="2659"/>
    </row>
    <row r="3" spans="1:16" ht="15" thickBot="1">
      <c r="A3" s="3542" t="s">
        <v>1105</v>
      </c>
      <c r="B3" s="3542"/>
      <c r="C3" s="3542"/>
      <c r="D3" s="43">
        <f>'数据-基础表'!AY6</f>
        <v>368153.3</v>
      </c>
      <c r="E3" s="43">
        <f>'数据-基础表'!AZ5</f>
        <v>253739.7</v>
      </c>
      <c r="F3" s="2659"/>
      <c r="G3" s="1145"/>
      <c r="H3" s="1026" t="s">
        <v>1106</v>
      </c>
      <c r="I3" s="855">
        <f>ROUND('数据-基础表'!B3/'数据-基础表'!A3,2)</f>
        <v>0.69</v>
      </c>
      <c r="J3" s="2659"/>
      <c r="K3" s="2659"/>
      <c r="L3" s="2659"/>
      <c r="M3" s="2659"/>
      <c r="N3" s="2661"/>
      <c r="O3" s="2659"/>
      <c r="P3" s="2659"/>
    </row>
    <row r="4" spans="1:16" ht="14.4">
      <c r="A4" s="3543"/>
      <c r="B4" s="3544"/>
      <c r="C4" s="3545"/>
      <c r="D4" s="1641" t="s">
        <v>1107</v>
      </c>
      <c r="E4" s="1642" t="s">
        <v>1108</v>
      </c>
      <c r="F4" s="2659"/>
      <c r="G4" s="2652" t="s">
        <v>1133</v>
      </c>
      <c r="H4" s="1026" t="s">
        <v>1113</v>
      </c>
      <c r="I4" s="855">
        <f>ROUND(SUMIF('数据-基础表'!I9:AS9,"地上",'数据-基础表'!I5:AS5)/'数据-基础表'!A3,2)</f>
        <v>0.69</v>
      </c>
      <c r="J4" s="2659"/>
      <c r="K4" s="2659"/>
      <c r="L4" s="2659"/>
      <c r="M4" s="2659"/>
      <c r="N4" s="2661"/>
      <c r="O4" s="2659"/>
      <c r="P4" s="2659"/>
    </row>
    <row r="5" spans="1:16" ht="14.4">
      <c r="A5" s="44" t="s">
        <v>1109</v>
      </c>
      <c r="B5" s="3546" t="s">
        <v>1110</v>
      </c>
      <c r="C5" s="3546"/>
      <c r="D5" s="45">
        <f>ROUND($D$3*E5/$E$3,2)</f>
        <v>0</v>
      </c>
      <c r="E5" s="46">
        <f>SUMIF('数据-基础表'!$11:$11,"住宅",'数据-基础表'!$5:$5)</f>
        <v>0</v>
      </c>
      <c r="F5" s="2659"/>
      <c r="G5" s="1145"/>
      <c r="H5" s="1026" t="s">
        <v>1106</v>
      </c>
      <c r="I5" s="855">
        <f>ROUND(E31/D31,2)</f>
        <v>0.69</v>
      </c>
      <c r="J5" s="2659"/>
      <c r="K5" s="2659"/>
      <c r="L5" s="2659"/>
      <c r="M5" s="2659"/>
      <c r="N5" s="2659"/>
      <c r="O5" s="2659"/>
      <c r="P5" s="2659"/>
    </row>
    <row r="6" spans="1:16" ht="15" thickBot="1">
      <c r="A6" s="1644"/>
      <c r="B6" s="3546" t="s">
        <v>1111</v>
      </c>
      <c r="C6" s="3546"/>
      <c r="D6" s="45">
        <f>ROUND($D$3*E6/$E$3,2)</f>
        <v>368153.3</v>
      </c>
      <c r="E6" s="46">
        <f>E3-E5</f>
        <v>253739.7</v>
      </c>
      <c r="F6" s="2659"/>
      <c r="G6" s="2653" t="s">
        <v>1112</v>
      </c>
      <c r="H6" s="1146" t="s">
        <v>1113</v>
      </c>
      <c r="I6" s="2654">
        <f>ROUND(F31/D31,2)</f>
        <v>0.69</v>
      </c>
      <c r="J6" s="2659"/>
      <c r="K6" s="2659"/>
      <c r="L6" s="2659"/>
      <c r="M6" s="2659"/>
      <c r="N6" s="2659"/>
      <c r="O6" s="2659"/>
      <c r="P6" s="2659"/>
    </row>
    <row r="7" spans="1:16" ht="15" thickBot="1">
      <c r="A7" s="3538"/>
      <c r="B7" s="3539"/>
      <c r="C7" s="3540"/>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367872.3</v>
      </c>
      <c r="E8" s="48">
        <f>SUMIF('数据-基础表'!BB10:BK10,"地上",'数据-基础表'!BB5:BK5)</f>
        <v>253546.02500000002</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367872.3</v>
      </c>
      <c r="E16" s="50">
        <f>SUM(E8:E15)</f>
        <v>253546.02500000002</v>
      </c>
      <c r="F16" s="2659"/>
      <c r="G16" s="2660"/>
      <c r="H16" s="1648" t="s">
        <v>1135</v>
      </c>
      <c r="I16" s="1649"/>
      <c r="J16" s="1139"/>
      <c r="K16" s="3535" t="s">
        <v>1135</v>
      </c>
      <c r="L16" s="3536"/>
      <c r="M16" s="3536"/>
      <c r="N16" s="3536"/>
      <c r="O16" s="3536"/>
      <c r="P16" s="3537"/>
    </row>
    <row r="17" spans="1:19" ht="14.4">
      <c r="A17" s="1650" t="s">
        <v>1136</v>
      </c>
      <c r="B17" s="1651" t="s">
        <v>1137</v>
      </c>
      <c r="C17" s="1652" t="s">
        <v>1138</v>
      </c>
      <c r="D17" s="1653" t="s">
        <v>1126</v>
      </c>
      <c r="E17" s="1654" t="s">
        <v>1127</v>
      </c>
      <c r="F17" s="1655"/>
      <c r="G17" s="1656"/>
      <c r="H17" s="1657" t="s">
        <v>1139</v>
      </c>
      <c r="I17" s="1658" t="s">
        <v>1124</v>
      </c>
      <c r="J17" s="1139"/>
      <c r="K17" s="3532" t="s">
        <v>1140</v>
      </c>
      <c r="L17" s="3533"/>
      <c r="M17" s="3534"/>
      <c r="N17" s="3532" t="s">
        <v>1141</v>
      </c>
      <c r="O17" s="3533"/>
      <c r="P17" s="3534"/>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t="s">
        <v>3455</v>
      </c>
      <c r="D19" s="45">
        <f>ROUND($D$3*E19/$E$3,2)</f>
        <v>368153.3</v>
      </c>
      <c r="E19" s="53">
        <f t="shared" ref="E19:E26" si="1">SUM(F19:G19)</f>
        <v>253739.7</v>
      </c>
      <c r="F19" s="2794">
        <f>'数据-基础表'!I5</f>
        <v>253546.02500000002</v>
      </c>
      <c r="G19" s="2795">
        <f>'数据-基础表'!K5</f>
        <v>193.67500000000001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368153.3</v>
      </c>
      <c r="S19" s="1027">
        <f t="shared" si="5"/>
        <v>253739.7</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368153.3</v>
      </c>
      <c r="E27" s="1141">
        <f>IF(SUM(E19:E26)='数据-基础表'!BA5,SUM(E19:E26),IF(F27="地上面积有误","面积有误","地下面积有误"))</f>
        <v>253739.7</v>
      </c>
      <c r="F27" s="1140">
        <f>IF(SUM(F19:F26)=E8,SUM(F19:F26),"地上面积有误")</f>
        <v>253546.02500000002</v>
      </c>
      <c r="G27" s="1142">
        <f>SUM(G19:G26)</f>
        <v>193.67500000000001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368153.3</v>
      </c>
      <c r="S27" s="1026">
        <f>IF(SUM(S19:S26)=$E$3,SUM(S19:S26),SUM(S19:S26)&amp;"误差"&amp;ROUND(SUM(S19:S26)-E3,2))</f>
        <v>253739.7</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368153.3</v>
      </c>
      <c r="E31" s="676">
        <f>E27+E30</f>
        <v>253739.7</v>
      </c>
      <c r="F31" s="677">
        <f>F27+F30</f>
        <v>253546.02500000002</v>
      </c>
      <c r="G31" s="678">
        <f>G27+G30</f>
        <v>193.67500000000001</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G6" activePane="bottomRight" state="frozen"/>
      <selection activeCell="C50" sqref="C50"/>
      <selection pane="topRight" activeCell="C50" sqref="C50"/>
      <selection pane="bottomLeft" activeCell="C50" sqref="C50"/>
      <selection pane="bottomRight" activeCell="L21" sqref="L21"/>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24" width="6.77734375" style="1682" customWidth="1"/>
    <col min="25" max="25" width="9.88671875" style="1682" customWidth="1"/>
    <col min="26"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45274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3459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工业</v>
      </c>
      <c r="B6" s="1713" t="str">
        <f>IF(A6=0,"","经营性")</f>
        <v>经营性</v>
      </c>
      <c r="C6" s="1714" t="s">
        <v>3</v>
      </c>
      <c r="D6" s="858">
        <f>SUMIF(项目基本情况!C$12:I$12,C6,项目基本情况!C$14:I$14)</f>
        <v>50</v>
      </c>
      <c r="E6" s="857">
        <f>IF(B6="","",SUMIF(项目基本情况!C$12:I$12,C6,项目基本情况!C$13:I$13))</f>
        <v>62616</v>
      </c>
      <c r="F6" s="64">
        <f>SUMIF(项目基本情况!C$12:I$12,C6,项目基本情况!C$15:I$15)</f>
        <v>47.51</v>
      </c>
      <c r="G6" s="65">
        <f>IF(ISERROR(ROUND(POWER(1+H6,D6-F6)*(POWER(1+H6,F6)-1)/(POWER(1+H6,D6)-1),3)),0,ROUND(POWER(1+H6,D6-F6)*(POWER(1+H6,F6)-1)/(POWER(1+H6,D6)-1),3))</f>
        <v>0.98599999999999999</v>
      </c>
      <c r="H6" s="732">
        <v>4.4999999999999998E-2</v>
      </c>
      <c r="I6" s="732">
        <v>0.06</v>
      </c>
      <c r="J6" s="66">
        <v>7.0000000000000007E-2</v>
      </c>
      <c r="K6" s="1030">
        <f>SUMIF('数据-汇总表'!C$19:C$33,A6,'数据-汇总表'!E$19:E$33)</f>
        <v>253739.7</v>
      </c>
      <c r="L6" s="733">
        <v>2500</v>
      </c>
      <c r="M6" s="67">
        <f t="shared" ref="M6:M14" si="0">ROUND(K6*L6/10000,0)</f>
        <v>63435</v>
      </c>
      <c r="N6" s="731">
        <f>O21</f>
        <v>0.92</v>
      </c>
      <c r="O6" s="67">
        <f>IF($N$5="成新度","——",ROUND(M6*N6,0))</f>
        <v>58360</v>
      </c>
      <c r="P6" s="68">
        <f>IF($N$5="成新度","——",M6-O6)</f>
        <v>5075</v>
      </c>
      <c r="Q6" s="734">
        <v>0.05</v>
      </c>
      <c r="R6" s="69">
        <f ca="1">SUMIF('数据-汇总表'!C$19:C$33,A6,'数据-汇总表'!R$19:R$27)</f>
        <v>368153.3</v>
      </c>
      <c r="S6" s="51">
        <f>IF('数据-汇总表'!$I$17="按面积比例",SUMIF('数据-汇总表'!C$19:C$33,A6,'数据-汇总表'!K$19:K$33),SUMIF('数据-汇总表'!C$19:C$33,A6,'数据-汇总表'!N$19:N$33))</f>
        <v>0</v>
      </c>
      <c r="T6" s="1172">
        <f>ROUND($L$14*S6/10000,0)</f>
        <v>0</v>
      </c>
      <c r="U6" s="3427">
        <f>U24</f>
        <v>0.49</v>
      </c>
      <c r="V6" s="70">
        <v>0</v>
      </c>
      <c r="W6" s="70">
        <v>0.1</v>
      </c>
      <c r="X6" s="1040"/>
      <c r="Y6" s="71">
        <v>1</v>
      </c>
      <c r="Z6" s="72"/>
      <c r="AA6" s="66"/>
      <c r="AB6" s="66"/>
      <c r="AC6" s="1040"/>
      <c r="AD6" s="73"/>
      <c r="AE6" s="1041">
        <f ca="1">IF(AN6="",0,SUMIF(INDIRECT("'"&amp;AN6&amp;"'"&amp;"!E:E"),$AE$5,INDIRECT("'"&amp;AN6&amp;"'"&amp;"!F:F")))</f>
        <v>47.35</v>
      </c>
      <c r="AF6" s="1348"/>
      <c r="AG6" s="138">
        <f>IF(AF6="",0,AE6-AF6)</f>
        <v>0</v>
      </c>
      <c r="AH6" s="74"/>
      <c r="AI6" s="76">
        <v>365</v>
      </c>
      <c r="AJ6" s="77"/>
      <c r="AK6" s="78">
        <v>5.0000000000000001E-3</v>
      </c>
      <c r="AL6" s="79">
        <v>1E-3</v>
      </c>
      <c r="AM6" s="80">
        <v>5.0000000000000001E-3</v>
      </c>
      <c r="AN6" s="1715" t="s">
        <v>3460</v>
      </c>
      <c r="AO6" s="52">
        <f ca="1">SUMIF(INDIRECT("'"&amp;AN6&amp;"'"&amp;"!A:A"),"总价",INDIRECT("'"&amp;AN6&amp;"'"&amp;"!B:B"))</f>
        <v>46050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0.98599999999999999</v>
      </c>
      <c r="H16" s="90">
        <f>ROUND(SUMPRODUCT(H6:H13,K6:K13)/SUMPRODUCT((H6:H13&gt;0)*(K6:K13)),3)</f>
        <v>4.4999999999999998E-2</v>
      </c>
      <c r="I16" s="91"/>
      <c r="J16" s="91"/>
      <c r="K16" s="92">
        <f>SUM(K6:K15)</f>
        <v>253739.7</v>
      </c>
      <c r="L16" s="93">
        <f>ROUND(M16*10000/SUM(K6:K14),0)</f>
        <v>2500</v>
      </c>
      <c r="M16" s="93">
        <f>SUM(M6:M14)</f>
        <v>63435</v>
      </c>
      <c r="N16" s="94">
        <f>ROUND(SUMPRODUCT(M6:M14,N6:N14)/M16,3)</f>
        <v>0.92</v>
      </c>
      <c r="O16" s="93">
        <f>SUM(O6:O14)</f>
        <v>58360</v>
      </c>
      <c r="P16" s="93">
        <f>SUM(P6:P14)</f>
        <v>5075</v>
      </c>
      <c r="Q16" s="95">
        <f>ROUND(SUMPRODUCT(Q6:Q13,K6:K13)/SUMPRODUCT((Q6:Q13&gt;0)*(K6:K13)),2)</f>
        <v>0.05</v>
      </c>
      <c r="R16" s="1034">
        <f ca="1">SUM(R6:R13)</f>
        <v>368153.3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56" t="s">
        <v>3456</v>
      </c>
      <c r="N18" s="3457">
        <v>0.99</v>
      </c>
      <c r="O18" s="2670">
        <f>'数据-基础表'!A14</f>
        <v>47218.12</v>
      </c>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v>0</v>
      </c>
      <c r="C19" s="2798" t="s">
        <v>2304</v>
      </c>
      <c r="D19" s="2675"/>
      <c r="E19" s="2672"/>
      <c r="F19" s="2672"/>
      <c r="G19" s="2672"/>
      <c r="H19" s="2672"/>
      <c r="I19" s="2672"/>
      <c r="J19" s="2672"/>
      <c r="K19" s="2671"/>
      <c r="L19" s="2671"/>
      <c r="M19" s="3456" t="s">
        <v>3457</v>
      </c>
      <c r="N19" s="3457">
        <v>0.9</v>
      </c>
      <c r="O19" s="2670">
        <f>'数据-基础表'!A18</f>
        <v>131836.94</v>
      </c>
      <c r="P19" s="2670"/>
      <c r="Q19" s="2670"/>
      <c r="R19" s="2670"/>
      <c r="S19" s="2670"/>
      <c r="T19" s="3456" t="s">
        <v>3465</v>
      </c>
      <c r="U19" s="3456" t="s">
        <v>3466</v>
      </c>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2302</v>
      </c>
      <c r="D20" s="2675"/>
      <c r="E20" s="2672"/>
      <c r="F20" s="2672"/>
      <c r="G20" s="2672"/>
      <c r="H20" s="2672"/>
      <c r="I20" s="2672"/>
      <c r="J20" s="2672"/>
      <c r="K20" s="2671"/>
      <c r="L20" s="2671"/>
      <c r="M20" s="3456" t="s">
        <v>3458</v>
      </c>
      <c r="N20" s="3457">
        <f>N19</f>
        <v>0.9</v>
      </c>
      <c r="O20" s="2670">
        <f>'数据-基础表'!A32</f>
        <v>74684.639999999999</v>
      </c>
      <c r="P20" s="2670"/>
      <c r="Q20" s="2670"/>
      <c r="R20" s="2670"/>
      <c r="S20" s="3456" t="s">
        <v>3461</v>
      </c>
      <c r="T20" s="2670">
        <f>'数据-基础表'!I13+'数据-基础表'!I14+'数据-基础表'!I17+'数据-基础表'!I18+'数据-基础表'!I19+'数据-基础表'!I20+'数据-基础表'!I21+'数据-基础表'!I22+'数据-基础表'!I23+'数据-基础表'!I31+'数据-基础表'!I32+'数据-基础表'!I33+'数据-基础表'!I34</f>
        <v>235345.49</v>
      </c>
      <c r="U20" s="3456">
        <v>0.5</v>
      </c>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f>ROUND(B20*N16,2)</f>
        <v>1.84</v>
      </c>
      <c r="C21" s="2672"/>
      <c r="D21" s="2675"/>
      <c r="E21" s="2672"/>
      <c r="F21" s="2672"/>
      <c r="G21" s="2672"/>
      <c r="H21" s="2672"/>
      <c r="I21" s="2672"/>
      <c r="J21" s="2672"/>
      <c r="K21" s="2671"/>
      <c r="L21" s="2671">
        <f>L22+L25+L26</f>
        <v>2500</v>
      </c>
      <c r="M21" s="2670"/>
      <c r="N21" s="2670"/>
      <c r="O21" s="2670">
        <f>ROUND(O18/K16*N18+O19/K16*N19+O20/K16*N20,2)</f>
        <v>0.92</v>
      </c>
      <c r="P21" s="2670"/>
      <c r="Q21" s="2670"/>
      <c r="R21" s="2670"/>
      <c r="S21" s="3456" t="s">
        <v>3463</v>
      </c>
      <c r="T21" s="2670">
        <f>'数据-基础表'!I27</f>
        <v>3947.8</v>
      </c>
      <c r="U21" s="2670">
        <v>1</v>
      </c>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3806" t="s">
        <v>3641</v>
      </c>
      <c r="K22" s="3807">
        <f>K16</f>
        <v>253739.7</v>
      </c>
      <c r="L22" s="2671">
        <f>L23</f>
        <v>1800</v>
      </c>
      <c r="M22" s="2670"/>
      <c r="N22" s="2670"/>
      <c r="O22" s="2670"/>
      <c r="P22" s="2670"/>
      <c r="Q22" s="2670"/>
      <c r="R22" s="2670"/>
      <c r="S22" s="3456" t="s">
        <v>3462</v>
      </c>
      <c r="T22" s="2670">
        <f>'数据-基础表'!I24+'数据-基础表'!I25+'数据-基础表'!I26+'数据-基础表'!I37+'数据-基础表'!I38+'数据-基础表'!I39</f>
        <v>3974.9900000000007</v>
      </c>
      <c r="U22" s="2670">
        <f>U20</f>
        <v>0.5</v>
      </c>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1.84</v>
      </c>
      <c r="C23" s="2672"/>
      <c r="D23" s="2675"/>
      <c r="E23" s="2672"/>
      <c r="F23" s="2672"/>
      <c r="G23" s="2672"/>
      <c r="H23" s="2672"/>
      <c r="I23" s="2672"/>
      <c r="J23" s="3809" t="s">
        <v>3642</v>
      </c>
      <c r="K23" s="3810">
        <f>'数据-汇总表'!F31</f>
        <v>253546.02500000002</v>
      </c>
      <c r="L23" s="3810">
        <v>1800</v>
      </c>
      <c r="M23" s="2670"/>
      <c r="N23" s="2670"/>
      <c r="O23" s="2670"/>
      <c r="P23" s="2670"/>
      <c r="Q23" s="2670"/>
      <c r="R23" s="2670"/>
      <c r="S23" s="3456" t="s">
        <v>3464</v>
      </c>
      <c r="T23" s="2670">
        <f>'数据-基础表'!I15+'数据-基础表'!I16+'数据-基础表'!I28+'数据-基础表'!I29+'数据-基础表'!I30+'数据-基础表'!I35+'数据-基础表'!I36+'数据-基础表'!I40+'数据-基础表'!I41+'数据-基础表'!K16</f>
        <v>10471.42</v>
      </c>
      <c r="U23" s="2670">
        <v>0</v>
      </c>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0.15999999999999992</v>
      </c>
      <c r="C24" s="2672"/>
      <c r="D24" s="2675"/>
      <c r="E24" s="2672"/>
      <c r="F24" s="2672"/>
      <c r="G24" s="2672"/>
      <c r="H24" s="2672"/>
      <c r="I24" s="2672"/>
      <c r="J24" s="3809" t="s">
        <v>3643</v>
      </c>
      <c r="K24" s="3810">
        <f>'数据-汇总表'!G31</f>
        <v>193.67500000000001</v>
      </c>
      <c r="L24" s="3810">
        <f>L23</f>
        <v>1800</v>
      </c>
      <c r="M24" s="2670"/>
      <c r="N24" s="2670"/>
      <c r="O24" s="2670"/>
      <c r="P24" s="2670"/>
      <c r="Q24" s="2670"/>
      <c r="R24" s="2670"/>
      <c r="S24" s="2670"/>
      <c r="T24" s="2670">
        <f>SUM(T20:T23)</f>
        <v>253739.69999999998</v>
      </c>
      <c r="U24" s="2670">
        <f>ROUND(U20*T20/T24+U21*T21/T24+U22*T22/T24+U23*T23/T24,2)</f>
        <v>0.49</v>
      </c>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3806" t="s">
        <v>3644</v>
      </c>
      <c r="K25" s="3807">
        <f>K22</f>
        <v>253739.7</v>
      </c>
      <c r="L25" s="2671">
        <v>600</v>
      </c>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3806" t="s">
        <v>3645</v>
      </c>
      <c r="K26" s="3807">
        <f>K22</f>
        <v>253739.7</v>
      </c>
      <c r="L26" s="2671">
        <v>100</v>
      </c>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c r="C27" s="2800" t="s">
        <v>2306</v>
      </c>
      <c r="D27" s="2678"/>
      <c r="E27" s="2661"/>
      <c r="F27" s="2661"/>
      <c r="G27" s="2672"/>
      <c r="H27" s="2672"/>
      <c r="I27" s="2672"/>
      <c r="J27" s="3806" t="s">
        <v>3646</v>
      </c>
      <c r="K27" s="3808">
        <v>0.05</v>
      </c>
      <c r="L27" s="2671">
        <f>L21*K27</f>
        <v>125</v>
      </c>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c r="C28" s="2679"/>
      <c r="D28" s="2678"/>
      <c r="E28" s="2661"/>
      <c r="F28" s="2661"/>
      <c r="G28" s="2672"/>
      <c r="H28" s="2672"/>
      <c r="I28" s="2672"/>
      <c r="J28" s="2672"/>
      <c r="K28" s="2671"/>
      <c r="L28" s="2671">
        <f>L21+L27</f>
        <v>2625</v>
      </c>
      <c r="M28" s="2670"/>
      <c r="N28" s="2670"/>
      <c r="O28" s="3457"/>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1" t="s">
        <v>2293</v>
      </c>
      <c r="D29" s="2678"/>
      <c r="E29" s="2661"/>
      <c r="F29" s="2661"/>
      <c r="G29" s="2672"/>
      <c r="H29" s="2672"/>
      <c r="I29" s="2672"/>
      <c r="J29" s="2672"/>
      <c r="K29" s="2671"/>
      <c r="L29" s="2671"/>
      <c r="M29" s="2670"/>
      <c r="N29" s="2670"/>
      <c r="O29" s="3457"/>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150</v>
      </c>
      <c r="C30" s="2679"/>
      <c r="D30" s="2678"/>
      <c r="E30" s="2661"/>
      <c r="F30" s="2661"/>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150</v>
      </c>
      <c r="C31" s="2677"/>
      <c r="D31" s="2678"/>
      <c r="E31" s="2661"/>
      <c r="F31" s="2661"/>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f>B30</f>
        <v>150</v>
      </c>
      <c r="C35" s="2802" t="s">
        <v>2296</v>
      </c>
      <c r="D35" s="2678"/>
      <c r="E35" s="2661"/>
      <c r="F35" s="2661"/>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2313</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1"/>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1"/>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0</v>
      </c>
      <c r="C52" s="2661"/>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c r="C53" s="2661"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c r="C54" s="2661">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c r="C55" s="2661">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1">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1">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1">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c r="C59" s="2661">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4"/>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4"/>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4"/>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4"/>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4"/>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L28" sqref="L28"/>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47" t="s">
        <v>2285</v>
      </c>
      <c r="B1" s="3548"/>
      <c r="C1" s="3548"/>
      <c r="D1" s="3548"/>
      <c r="E1" s="3548"/>
      <c r="F1" s="3548"/>
      <c r="G1" s="354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7.200000000000003">
      <c r="A4" s="2442"/>
      <c r="B4" s="323" t="s">
        <v>2253</v>
      </c>
      <c r="C4" s="2468" t="s">
        <v>2254</v>
      </c>
      <c r="D4" s="2465"/>
      <c r="E4" s="2469"/>
      <c r="F4" s="1373" t="s">
        <v>2255</v>
      </c>
      <c r="G4" s="2470" t="s">
        <v>2256</v>
      </c>
      <c r="H4" s="799"/>
      <c r="I4" s="799"/>
      <c r="J4" s="799"/>
      <c r="K4" s="799"/>
      <c r="L4" s="799"/>
      <c r="M4" s="799"/>
      <c r="N4" s="799"/>
      <c r="O4" s="799"/>
      <c r="P4" s="799"/>
      <c r="Q4" s="799"/>
      <c r="R4" s="799"/>
    </row>
    <row r="5" spans="1:29" ht="37.200000000000003">
      <c r="A5" s="2442"/>
      <c r="B5" s="323" t="s">
        <v>2257</v>
      </c>
      <c r="C5" s="2468" t="s">
        <v>2258</v>
      </c>
      <c r="D5" s="2465"/>
      <c r="E5" s="2469"/>
      <c r="F5" s="323" t="s">
        <v>2259</v>
      </c>
      <c r="G5" s="2470" t="s">
        <v>2260</v>
      </c>
      <c r="H5" s="799"/>
      <c r="I5" s="799"/>
      <c r="J5" s="799"/>
      <c r="K5" s="799"/>
      <c r="L5" s="799"/>
      <c r="M5" s="799"/>
      <c r="N5" s="799"/>
      <c r="O5" s="799"/>
      <c r="P5" s="799"/>
      <c r="Q5" s="799"/>
      <c r="R5" s="799"/>
    </row>
    <row r="6" spans="1:29" ht="48">
      <c r="A6" s="2442"/>
      <c r="B6" s="323" t="s">
        <v>2261</v>
      </c>
      <c r="C6" s="2470" t="s">
        <v>2256</v>
      </c>
      <c r="D6" s="2465"/>
      <c r="E6" s="2469"/>
      <c r="F6" s="323" t="s">
        <v>2262</v>
      </c>
      <c r="G6" s="2470" t="s">
        <v>2263</v>
      </c>
      <c r="H6" s="799"/>
      <c r="I6" s="799"/>
      <c r="J6" s="799"/>
      <c r="K6" s="799"/>
      <c r="L6" s="799"/>
      <c r="M6" s="799"/>
      <c r="N6" s="799"/>
      <c r="O6" s="799"/>
      <c r="P6" s="799"/>
      <c r="Q6" s="799"/>
      <c r="R6" s="799"/>
    </row>
    <row r="7" spans="1:29" ht="36.6"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ht="24">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4.4"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2286</v>
      </c>
      <c r="B13" s="2484"/>
      <c r="C13" s="2484"/>
      <c r="D13" s="2482"/>
      <c r="E13" s="2484"/>
      <c r="F13" s="2484"/>
      <c r="G13" s="2484"/>
    </row>
    <row r="14" spans="1:29" ht="14.4" thickBot="1">
      <c r="A14" s="2494"/>
      <c r="B14" s="2494"/>
      <c r="C14" s="2495" t="s">
        <v>2269</v>
      </c>
      <c r="D14" s="2465"/>
      <c r="E14" s="2496"/>
      <c r="F14" s="2496"/>
      <c r="G14" s="2460" t="s">
        <v>2270</v>
      </c>
    </row>
    <row r="15" spans="1:29" ht="52.8">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9.6">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9.6">
      <c r="A17" s="2446"/>
      <c r="B17" s="2500" t="s">
        <v>2257</v>
      </c>
      <c r="C17" s="2501" t="str">
        <f>C5</f>
        <v>估价对象位于XX商圈，周边办公楼项目较多，入驻率高，办公集聚程度较好</v>
      </c>
      <c r="D17" s="2471"/>
      <c r="E17" s="2447"/>
      <c r="F17" s="2502" t="s">
        <v>2274</v>
      </c>
      <c r="G17" s="2504"/>
    </row>
    <row r="18" spans="1:18" ht="52.8">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6.4">
      <c r="A19" s="2446"/>
      <c r="B19" s="2502" t="s">
        <v>2275</v>
      </c>
      <c r="C19" s="2504"/>
      <c r="D19" s="2465"/>
      <c r="E19" s="2447"/>
      <c r="F19" s="323" t="s">
        <v>2259</v>
      </c>
      <c r="G19" s="2503" t="str">
        <f>G5</f>
        <v>估价对象所在区域公共配套设施齐备情况</v>
      </c>
    </row>
    <row r="20" spans="1:18" ht="26.4">
      <c r="A20" s="2446"/>
      <c r="B20" s="2502" t="s">
        <v>2276</v>
      </c>
      <c r="C20" s="2501" t="str">
        <f>C9</f>
        <v>区域自然环境：；人文环境；综合评价环境状况一般</v>
      </c>
      <c r="D20" s="2471"/>
      <c r="E20" s="2447"/>
      <c r="F20" s="323" t="s">
        <v>2262</v>
      </c>
      <c r="G20" s="2503" t="str">
        <f>G6</f>
        <v>估价对象所在区域基础设施水平</v>
      </c>
    </row>
    <row r="21" spans="1:18" ht="26.4">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4.4"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4.4"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4" sqref="F34"/>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253739.7</v>
      </c>
      <c r="C1" s="2685"/>
      <c r="D1" s="2685"/>
      <c r="E1" s="2685"/>
      <c r="F1" s="2685"/>
      <c r="G1" s="2686"/>
      <c r="H1" s="2687"/>
      <c r="I1" s="2687"/>
      <c r="J1" s="2687"/>
      <c r="K1" s="2687"/>
    </row>
    <row r="2" spans="1:11" ht="16.2">
      <c r="A2" s="2512" t="s">
        <v>653</v>
      </c>
      <c r="B2" s="2512">
        <f>SUM(C14:C23)</f>
        <v>368153.3</v>
      </c>
      <c r="C2" s="2685"/>
      <c r="D2" s="2685"/>
      <c r="E2" s="2685"/>
      <c r="F2" s="2685"/>
      <c r="G2" s="2686"/>
      <c r="H2" s="2687"/>
      <c r="I2" s="2687"/>
      <c r="J2" s="2687"/>
      <c r="K2" s="2687"/>
    </row>
    <row r="3" spans="1:11" ht="15.6">
      <c r="A3" s="2512" t="s">
        <v>662</v>
      </c>
      <c r="B3" s="2514">
        <f>项目基本情况!D3</f>
        <v>45274</v>
      </c>
      <c r="C3" s="2685"/>
      <c r="D3" s="2685"/>
      <c r="E3" s="2685"/>
      <c r="F3" s="2685"/>
      <c r="G3" s="2686"/>
      <c r="H3" s="2687"/>
      <c r="I3" s="2687"/>
      <c r="J3" s="2687"/>
      <c r="K3" s="2687"/>
    </row>
    <row r="4" spans="1:11" ht="31.2">
      <c r="A4" s="2512" t="s">
        <v>661</v>
      </c>
      <c r="B4" s="2512" t="s">
        <v>660</v>
      </c>
      <c r="C4" s="2512" t="s">
        <v>659</v>
      </c>
      <c r="D4" s="2512" t="s">
        <v>658</v>
      </c>
      <c r="E4" s="2685"/>
      <c r="F4" s="2686"/>
      <c r="G4" s="2686"/>
      <c r="H4" s="2687"/>
      <c r="I4" s="2687"/>
      <c r="J4" s="2687"/>
      <c r="K4" s="2687"/>
    </row>
    <row r="5" spans="1:11" ht="15.6">
      <c r="A5" s="2512" t="s">
        <v>657</v>
      </c>
      <c r="B5" s="2512">
        <f ca="1">SUM(D14:D23)</f>
        <v>59875</v>
      </c>
      <c r="C5" s="2512">
        <f ca="1">IF(B5=D14,结果表!H102,ROUND(B5*10000/$B$1,0))</f>
        <v>2360</v>
      </c>
      <c r="D5" s="2512">
        <f ca="1">ROUND(B5*10000/$B$2,0)</f>
        <v>1626</v>
      </c>
      <c r="E5" s="2685"/>
      <c r="F5" s="2686"/>
      <c r="G5" s="2686"/>
      <c r="H5" s="2687"/>
      <c r="I5" s="2687"/>
      <c r="J5" s="2687"/>
      <c r="K5" s="2687"/>
    </row>
    <row r="6" spans="1:11" ht="15.6">
      <c r="A6" s="2512" t="s">
        <v>656</v>
      </c>
      <c r="B6" s="2512">
        <f ca="1">SUM(G14:G23)</f>
        <v>59875</v>
      </c>
      <c r="C6" s="2512">
        <f ca="1">IF(B6=G14,结果表!H108,ROUND(B6*10000/$B$1,0))</f>
        <v>2360</v>
      </c>
      <c r="D6" s="2512">
        <f ca="1">ROUND(B6*10000/$B$2,0)</f>
        <v>1626</v>
      </c>
      <c r="E6" s="2685"/>
      <c r="F6" s="2686"/>
      <c r="G6" s="2686"/>
      <c r="H6" s="2687"/>
      <c r="I6" s="2687"/>
      <c r="J6" s="2687"/>
      <c r="K6" s="2687"/>
    </row>
    <row r="7" spans="1:11" ht="15.6">
      <c r="A7" s="2512" t="s">
        <v>664</v>
      </c>
      <c r="B7" s="2512">
        <f>SUM(H14:H23)</f>
        <v>0</v>
      </c>
      <c r="C7" s="2512" t="str">
        <f>IF(B7=H14,结果表!H110,ROUND(B7*10000/$B$1,0))</f>
        <v>——</v>
      </c>
      <c r="D7" s="2512">
        <f>ROUND(B7*10000/$B$2,0)</f>
        <v>0</v>
      </c>
      <c r="E7" s="2685"/>
      <c r="F7" s="2686"/>
      <c r="G7" s="2686"/>
      <c r="H7" s="2687"/>
      <c r="I7" s="2687"/>
      <c r="J7" s="2687"/>
      <c r="K7" s="2687"/>
    </row>
    <row r="8" spans="1:11" ht="15.6">
      <c r="A8" s="2512" t="s">
        <v>587</v>
      </c>
      <c r="B8" s="2512">
        <f>SUM(I14:I23)</f>
        <v>0</v>
      </c>
      <c r="C8" s="2512" t="str">
        <f>IF(B8=I14,结果表!H112,ROUND(B8*10000/$B$1,0))</f>
        <v>——</v>
      </c>
      <c r="D8" s="2512">
        <f>ROUND(B8*10000/$B$2,0)</f>
        <v>0</v>
      </c>
      <c r="E8" s="2685"/>
      <c r="F8" s="2686"/>
      <c r="G8" s="2686"/>
      <c r="H8" s="2687"/>
      <c r="I8" s="2687"/>
      <c r="J8" s="2687"/>
      <c r="K8" s="2687"/>
    </row>
    <row r="9" spans="1:11" ht="15.6">
      <c r="A9" s="2512" t="s">
        <v>655</v>
      </c>
      <c r="B9" s="2520"/>
      <c r="C9" s="2685"/>
      <c r="D9" s="2685"/>
      <c r="E9" s="2685"/>
      <c r="F9" s="2686"/>
      <c r="G9" s="2686"/>
      <c r="H9" s="2687"/>
      <c r="I9" s="2687"/>
      <c r="J9" s="2687"/>
      <c r="K9" s="2687"/>
    </row>
    <row r="10" spans="1:11" ht="15.6">
      <c r="A10" s="2512" t="s">
        <v>654</v>
      </c>
      <c r="B10" s="2512">
        <f>IF(E10="",0,ROUND(B1*(E10*365/G10)/10000,0))</f>
        <v>0</v>
      </c>
      <c r="C10" s="2512" t="s">
        <v>3359</v>
      </c>
      <c r="D10" s="2512" t="s">
        <v>3360</v>
      </c>
      <c r="E10" s="3440"/>
      <c r="F10" s="3444" t="s">
        <v>3361</v>
      </c>
      <c r="G10" s="3441"/>
      <c r="H10" s="2687"/>
      <c r="I10" s="2687"/>
      <c r="J10" s="2687"/>
      <c r="K10" s="2687"/>
    </row>
    <row r="11" spans="1:11" ht="15.6">
      <c r="A11" s="2512" t="s">
        <v>670</v>
      </c>
      <c r="B11" s="2520"/>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5" t="s">
        <v>669</v>
      </c>
      <c r="B13" s="2516" t="s">
        <v>666</v>
      </c>
      <c r="C13" s="2516" t="s">
        <v>668</v>
      </c>
      <c r="D13" s="2516" t="s">
        <v>667</v>
      </c>
      <c r="E13" s="2512" t="s">
        <v>659</v>
      </c>
      <c r="F13" s="2512" t="s">
        <v>658</v>
      </c>
      <c r="G13" s="2516" t="s">
        <v>652</v>
      </c>
      <c r="H13" s="2516" t="s">
        <v>663</v>
      </c>
      <c r="I13" s="2516" t="s">
        <v>651</v>
      </c>
      <c r="J13" s="2686"/>
      <c r="K13" s="2687"/>
    </row>
    <row r="14" spans="1:11" ht="15.6">
      <c r="A14" s="2517" t="s">
        <v>650</v>
      </c>
      <c r="B14" s="2518">
        <f>结果表!B118</f>
        <v>253739.7</v>
      </c>
      <c r="C14" s="2518">
        <f>结果表!C118</f>
        <v>368153.3</v>
      </c>
      <c r="D14" s="2518">
        <f ca="1">结果表!H118</f>
        <v>59875</v>
      </c>
      <c r="E14" s="2518">
        <f ca="1">ROUND(D14*10000/B14,0)</f>
        <v>2360</v>
      </c>
      <c r="F14" s="2518">
        <f ca="1">ROUND(D14*10000/C14,0)</f>
        <v>1626</v>
      </c>
      <c r="G14" s="2518">
        <f ca="1">D14</f>
        <v>59875</v>
      </c>
      <c r="H14" s="2518"/>
      <c r="I14" s="2518"/>
      <c r="J14" s="2686"/>
      <c r="K14" s="2687"/>
    </row>
    <row r="15" spans="1:11" ht="15.6">
      <c r="A15" s="2517" t="s">
        <v>649</v>
      </c>
      <c r="B15" s="2519"/>
      <c r="C15" s="2519"/>
      <c r="D15" s="2519"/>
      <c r="E15" s="2518" t="e">
        <f t="shared" ref="E15:E23" si="0">ROUND(D15*10000/B15,0)</f>
        <v>#DIV/0!</v>
      </c>
      <c r="F15" s="2518" t="e">
        <f t="shared" ref="F15:F23" si="1">ROUND(D15*10000/C15,0)</f>
        <v>#DIV/0!</v>
      </c>
      <c r="G15" s="1331"/>
      <c r="H15" s="1331"/>
      <c r="I15" s="2519"/>
      <c r="J15" s="2686"/>
      <c r="K15" s="2687"/>
    </row>
    <row r="16" spans="1:11" ht="15.6">
      <c r="A16" s="2517" t="s">
        <v>648</v>
      </c>
      <c r="B16" s="2519"/>
      <c r="C16" s="2519"/>
      <c r="D16" s="2519"/>
      <c r="E16" s="2518" t="e">
        <f t="shared" si="0"/>
        <v>#DIV/0!</v>
      </c>
      <c r="F16" s="2518" t="e">
        <f t="shared" si="1"/>
        <v>#DIV/0!</v>
      </c>
      <c r="G16" s="1331"/>
      <c r="H16" s="1331"/>
      <c r="I16" s="2519"/>
      <c r="J16" s="2687"/>
      <c r="K16" s="2687"/>
    </row>
    <row r="17" spans="1:11" ht="15.6">
      <c r="A17" s="2517" t="s">
        <v>647</v>
      </c>
      <c r="B17" s="2519"/>
      <c r="C17" s="2519"/>
      <c r="D17" s="2519"/>
      <c r="E17" s="2518" t="e">
        <f t="shared" si="0"/>
        <v>#DIV/0!</v>
      </c>
      <c r="F17" s="2518" t="e">
        <f t="shared" si="1"/>
        <v>#DIV/0!</v>
      </c>
      <c r="G17" s="1331"/>
      <c r="H17" s="1331"/>
      <c r="I17" s="2519"/>
      <c r="J17" s="2687"/>
      <c r="K17" s="2687"/>
    </row>
    <row r="18" spans="1:11" ht="15.6">
      <c r="A18" s="2517" t="s">
        <v>646</v>
      </c>
      <c r="B18" s="2519"/>
      <c r="C18" s="2519"/>
      <c r="D18" s="2519"/>
      <c r="E18" s="2518" t="e">
        <f t="shared" si="0"/>
        <v>#DIV/0!</v>
      </c>
      <c r="F18" s="2518" t="e">
        <f t="shared" si="1"/>
        <v>#DIV/0!</v>
      </c>
      <c r="G18" s="2519"/>
      <c r="H18" s="2519"/>
      <c r="I18" s="2519"/>
      <c r="J18" s="2687"/>
      <c r="K18" s="2687"/>
    </row>
    <row r="19" spans="1:11" ht="15.6">
      <c r="A19" s="2517" t="s">
        <v>645</v>
      </c>
      <c r="B19" s="2519"/>
      <c r="C19" s="2519"/>
      <c r="D19" s="2519"/>
      <c r="E19" s="2518" t="e">
        <f t="shared" si="0"/>
        <v>#DIV/0!</v>
      </c>
      <c r="F19" s="2518" t="e">
        <f t="shared" si="1"/>
        <v>#DIV/0!</v>
      </c>
      <c r="G19" s="2519"/>
      <c r="H19" s="2519"/>
      <c r="I19" s="2519"/>
      <c r="J19" s="2687"/>
      <c r="K19" s="2687"/>
    </row>
    <row r="20" spans="1:11" ht="15.6">
      <c r="A20" s="2517" t="s">
        <v>644</v>
      </c>
      <c r="B20" s="2519"/>
      <c r="C20" s="2519"/>
      <c r="D20" s="2519"/>
      <c r="E20" s="2518" t="e">
        <f t="shared" si="0"/>
        <v>#DIV/0!</v>
      </c>
      <c r="F20" s="2518" t="e">
        <f t="shared" si="1"/>
        <v>#DIV/0!</v>
      </c>
      <c r="G20" s="2519"/>
      <c r="H20" s="2519"/>
      <c r="I20" s="2519"/>
      <c r="J20" s="2687"/>
      <c r="K20" s="2687"/>
    </row>
    <row r="21" spans="1:11" ht="15.6">
      <c r="A21" s="2517" t="s">
        <v>643</v>
      </c>
      <c r="B21" s="2519"/>
      <c r="C21" s="2519"/>
      <c r="D21" s="2519"/>
      <c r="E21" s="2518" t="e">
        <f t="shared" si="0"/>
        <v>#DIV/0!</v>
      </c>
      <c r="F21" s="2518" t="e">
        <f t="shared" si="1"/>
        <v>#DIV/0!</v>
      </c>
      <c r="G21" s="2519"/>
      <c r="H21" s="2519"/>
      <c r="I21" s="2519"/>
      <c r="J21" s="2687"/>
      <c r="K21" s="2687"/>
    </row>
    <row r="22" spans="1:11" ht="15.6">
      <c r="A22" s="2517" t="s">
        <v>642</v>
      </c>
      <c r="B22" s="2519"/>
      <c r="C22" s="2519"/>
      <c r="D22" s="2519"/>
      <c r="E22" s="2518" t="e">
        <f t="shared" si="0"/>
        <v>#DIV/0!</v>
      </c>
      <c r="F22" s="2518" t="e">
        <f t="shared" si="1"/>
        <v>#DIV/0!</v>
      </c>
      <c r="G22" s="2519"/>
      <c r="H22" s="2519"/>
      <c r="I22" s="2519"/>
      <c r="J22" s="2687"/>
      <c r="K22" s="2687"/>
    </row>
    <row r="23" spans="1:11" ht="15.6">
      <c r="A23" s="2517" t="s">
        <v>641</v>
      </c>
      <c r="B23" s="2519"/>
      <c r="C23" s="2519"/>
      <c r="D23" s="2519"/>
      <c r="E23" s="2520" t="e">
        <f t="shared" si="0"/>
        <v>#DIV/0!</v>
      </c>
      <c r="F23" s="2520" t="e">
        <f t="shared" si="1"/>
        <v>#DIV/0!</v>
      </c>
      <c r="G23" s="2519"/>
      <c r="H23" s="2519"/>
      <c r="I23" s="2519"/>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J29" sqref="J2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v>
      </c>
      <c r="D1" s="1747"/>
      <c r="E1" s="1747"/>
      <c r="F1" s="1749" t="s">
        <v>1263</v>
      </c>
      <c r="G1" s="1561" t="s">
        <v>3610</v>
      </c>
      <c r="H1" s="1750" t="str">
        <f>IF(G1="现房","——","估价对象范围")</f>
        <v>估价对象范围</v>
      </c>
      <c r="I1" s="1751" t="s">
        <v>3611</v>
      </c>
    </row>
    <row r="2" spans="1:12" ht="21.75" customHeight="1" thickBot="1">
      <c r="A2" s="3616" t="str">
        <f>项目基本情况!S2</f>
        <v>四川省绵阳市江油市工业用房出让国有建设用地使用权及在建建筑物房地产</v>
      </c>
      <c r="B2" s="3617"/>
      <c r="C2" s="3617"/>
      <c r="D2" s="3617"/>
      <c r="E2" s="3617"/>
      <c r="F2" s="3617"/>
      <c r="G2" s="3617"/>
      <c r="H2" s="3617"/>
      <c r="I2" s="3618"/>
    </row>
    <row r="3" spans="1:12" ht="13.2">
      <c r="A3" s="3620" t="s">
        <v>1264</v>
      </c>
      <c r="B3" s="3621"/>
      <c r="C3" s="3621"/>
      <c r="D3" s="3621"/>
      <c r="E3" s="3621"/>
      <c r="F3" s="3621"/>
      <c r="G3" s="3621"/>
      <c r="H3" s="3621"/>
      <c r="I3" s="3621"/>
    </row>
    <row r="4" spans="1:12" ht="14.4">
      <c r="A4" s="1754" t="s">
        <v>1265</v>
      </c>
      <c r="B4" s="1755" t="s">
        <v>1266</v>
      </c>
      <c r="C4" s="1756" t="s">
        <v>3608</v>
      </c>
      <c r="D4" s="1756" t="s">
        <v>3609</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3.2">
      <c r="A5" s="3564" t="s">
        <v>1268</v>
      </c>
      <c r="B5" s="3619">
        <v>25</v>
      </c>
      <c r="C5" s="3622"/>
      <c r="D5" s="3610"/>
      <c r="E5" s="131" t="s">
        <v>1269</v>
      </c>
      <c r="F5" s="1757"/>
      <c r="G5" s="1757"/>
      <c r="H5" s="1757"/>
      <c r="I5" s="1373"/>
    </row>
    <row r="6" spans="1:12" ht="13.2">
      <c r="A6" s="3564"/>
      <c r="B6" s="3619"/>
      <c r="C6" s="3624"/>
      <c r="D6" s="3610"/>
      <c r="E6" s="131" t="s">
        <v>1270</v>
      </c>
      <c r="F6" s="1757"/>
      <c r="G6" s="1757"/>
      <c r="H6" s="1757"/>
      <c r="I6" s="1373"/>
    </row>
    <row r="7" spans="1:12" ht="13.2">
      <c r="A7" s="3564"/>
      <c r="B7" s="3619"/>
      <c r="C7" s="3623"/>
      <c r="D7" s="3610"/>
      <c r="E7" s="131" t="s">
        <v>1271</v>
      </c>
      <c r="F7" s="1757"/>
      <c r="G7" s="1757"/>
      <c r="H7" s="1757"/>
      <c r="I7" s="1373"/>
    </row>
    <row r="8" spans="1:12" ht="13.2">
      <c r="A8" s="3564" t="s">
        <v>1272</v>
      </c>
      <c r="B8" s="3619">
        <v>15</v>
      </c>
      <c r="C8" s="3622"/>
      <c r="D8" s="3610"/>
      <c r="E8" s="131" t="s">
        <v>1273</v>
      </c>
      <c r="F8" s="1757"/>
      <c r="G8" s="1757"/>
      <c r="H8" s="1757"/>
      <c r="I8" s="1373"/>
    </row>
    <row r="9" spans="1:12" ht="13.2">
      <c r="A9" s="3564"/>
      <c r="B9" s="3619"/>
      <c r="C9" s="3623"/>
      <c r="D9" s="3610"/>
      <c r="E9" s="131" t="s">
        <v>1274</v>
      </c>
      <c r="F9" s="1757"/>
      <c r="G9" s="1757"/>
      <c r="H9" s="1757"/>
      <c r="I9" s="1373"/>
    </row>
    <row r="10" spans="1:12" ht="13.2">
      <c r="A10" s="3564" t="s">
        <v>1275</v>
      </c>
      <c r="B10" s="3619">
        <v>15</v>
      </c>
      <c r="C10" s="3622"/>
      <c r="D10" s="3610"/>
      <c r="E10" s="131" t="s">
        <v>1276</v>
      </c>
      <c r="F10" s="1757"/>
      <c r="G10" s="1757"/>
      <c r="H10" s="1757"/>
      <c r="I10" s="1373"/>
    </row>
    <row r="11" spans="1:12" ht="13.2">
      <c r="A11" s="3564"/>
      <c r="B11" s="3619"/>
      <c r="C11" s="3623"/>
      <c r="D11" s="3610"/>
      <c r="E11" s="131" t="s">
        <v>1277</v>
      </c>
      <c r="F11" s="1757"/>
      <c r="G11" s="1757"/>
      <c r="H11" s="1757"/>
      <c r="I11" s="1373"/>
    </row>
    <row r="12" spans="1:12" ht="13.2">
      <c r="A12" s="3564" t="s">
        <v>1278</v>
      </c>
      <c r="B12" s="3619">
        <v>15</v>
      </c>
      <c r="C12" s="3622"/>
      <c r="D12" s="3610"/>
      <c r="E12" s="131" t="s">
        <v>1279</v>
      </c>
      <c r="F12" s="1757"/>
      <c r="G12" s="1757"/>
      <c r="H12" s="1757"/>
      <c r="I12" s="1373"/>
    </row>
    <row r="13" spans="1:12" ht="13.2">
      <c r="A13" s="3564"/>
      <c r="B13" s="3619"/>
      <c r="C13" s="3623"/>
      <c r="D13" s="3610"/>
      <c r="E13" s="131" t="s">
        <v>1280</v>
      </c>
      <c r="F13" s="1757"/>
      <c r="G13" s="1757"/>
      <c r="H13" s="1757"/>
      <c r="I13" s="1373"/>
    </row>
    <row r="14" spans="1:12" ht="13.2">
      <c r="A14" s="3564" t="s">
        <v>1281</v>
      </c>
      <c r="B14" s="3619">
        <v>30</v>
      </c>
      <c r="C14" s="3622">
        <v>5</v>
      </c>
      <c r="D14" s="3610">
        <f>10-C14</f>
        <v>5</v>
      </c>
      <c r="E14" s="131" t="s">
        <v>1282</v>
      </c>
      <c r="F14" s="1757"/>
      <c r="G14" s="1757"/>
      <c r="H14" s="1757"/>
      <c r="I14" s="1373"/>
    </row>
    <row r="15" spans="1:12" ht="13.2">
      <c r="A15" s="3564"/>
      <c r="B15" s="3619"/>
      <c r="C15" s="3624"/>
      <c r="D15" s="3610"/>
      <c r="E15" s="131" t="s">
        <v>1283</v>
      </c>
      <c r="F15" s="1757"/>
      <c r="G15" s="1757"/>
      <c r="H15" s="1757"/>
      <c r="I15" s="1373"/>
    </row>
    <row r="16" spans="1:12" ht="13.2">
      <c r="A16" s="3564"/>
      <c r="B16" s="3619"/>
      <c r="C16" s="3623"/>
      <c r="D16" s="3610"/>
      <c r="E16" s="131" t="s">
        <v>1284</v>
      </c>
      <c r="F16" s="1757"/>
      <c r="G16" s="1757"/>
      <c r="H16" s="1757"/>
      <c r="I16" s="1373"/>
    </row>
    <row r="17" spans="1:36" ht="14.4">
      <c r="A17" s="1758" t="s">
        <v>1285</v>
      </c>
      <c r="B17" s="56"/>
      <c r="C17" s="132">
        <f>SUM(C5:C16)</f>
        <v>5</v>
      </c>
      <c r="D17" s="132">
        <f>SUM(D5:D16)</f>
        <v>5</v>
      </c>
      <c r="E17" s="129"/>
      <c r="F17" s="129"/>
      <c r="G17" s="129"/>
      <c r="H17" s="129"/>
      <c r="I17" s="129"/>
      <c r="K17" s="302"/>
      <c r="L17" s="302" t="s">
        <v>1286</v>
      </c>
      <c r="M17" s="302" t="s">
        <v>1287</v>
      </c>
    </row>
    <row r="18" spans="1:36" ht="31.95" customHeight="1" thickBot="1">
      <c r="A18" s="1759" t="s">
        <v>1288</v>
      </c>
      <c r="B18" s="1760"/>
      <c r="C18" s="133">
        <f>ROUND(C17/SUM(C17:D17),2)</f>
        <v>0.5</v>
      </c>
      <c r="D18" s="133">
        <f>1-C18</f>
        <v>0.5</v>
      </c>
      <c r="E18" s="3641" t="s">
        <v>2130</v>
      </c>
      <c r="F18" s="3642"/>
      <c r="G18" s="3642"/>
      <c r="H18" s="3642"/>
      <c r="I18" s="3642"/>
      <c r="K18" s="302" t="s">
        <v>1289</v>
      </c>
      <c r="L18" s="302">
        <f>IF(C1="",'数据-汇总表'!E3,SUMIF(项目类型,C1,'数据-汇总表'!E17:E26)+SUMIF(项目类型,C1,'数据-汇总表'!I17:I26))</f>
        <v>253739.7</v>
      </c>
      <c r="M18" s="302">
        <f>IF(C1="",'数据-汇总表'!E3,SUMIF(项目类型,C1,'数据-汇总表'!E17:E26))</f>
        <v>253739.7</v>
      </c>
    </row>
    <row r="19" spans="1:36" ht="14.4">
      <c r="A19" s="1761" t="s">
        <v>1290</v>
      </c>
      <c r="B19" s="1762" t="s">
        <v>1291</v>
      </c>
      <c r="C19" s="134">
        <f ca="1">SUMIF(INDIRECT("'"&amp;C4&amp;"'"&amp;"!A:A"),结果表!B19,INDIRECT("'"&amp;C4&amp;"'"&amp;"!B:B"))</f>
        <v>83609</v>
      </c>
      <c r="D19" s="135">
        <f ca="1">SUMIF(INDIRECT("'"&amp;D4&amp;"'"&amp;"!A:A"),结果表!B19,INDIRECT("'"&amp;D4&amp;"'"&amp;"!B:B"))</f>
        <v>36140</v>
      </c>
      <c r="E19" s="1761" t="s">
        <v>1292</v>
      </c>
      <c r="F19" s="1762" t="s">
        <v>1291</v>
      </c>
      <c r="G19" s="136">
        <f ca="1">ROUND(C19*$C$18+D19*$D$18,0)</f>
        <v>59875</v>
      </c>
      <c r="H19" s="1763" t="s">
        <v>1293</v>
      </c>
      <c r="I19" s="129"/>
      <c r="K19" s="302" t="s">
        <v>1294</v>
      </c>
      <c r="L19" s="302">
        <f>IF(C1="",'数据-汇总表'!D3,SUMIF(项目类型,C1,'数据-汇总表'!D17:D26)+SUMIF(项目类型,C1,'数据-汇总表'!H17:H27))</f>
        <v>368153.3</v>
      </c>
      <c r="M19" s="302">
        <f>IF(C1="",'数据-汇总表'!D3,SUMIF(项目类型,C1,'数据-汇总表'!D17:D26))</f>
        <v>368153.3</v>
      </c>
    </row>
    <row r="20" spans="1:36" ht="14.4">
      <c r="A20" s="1764"/>
      <c r="B20" s="1026" t="s">
        <v>1295</v>
      </c>
      <c r="C20" s="137">
        <f ca="1">SUMIF(INDIRECT("'"&amp;C4&amp;"'"&amp;"!A:A"),结果表!B20,INDIRECT("'"&amp;C4&amp;"'"&amp;"!B:B"))</f>
        <v>3295</v>
      </c>
      <c r="D20" s="138">
        <f ca="1">SUMIF(INDIRECT("'"&amp;D4&amp;"'"&amp;"!A:A"),结果表!B20,INDIRECT("'"&amp;D4&amp;"'"&amp;"!B:B"))</f>
        <v>1424</v>
      </c>
      <c r="E20" s="1764"/>
      <c r="F20" s="1026" t="s">
        <v>1295</v>
      </c>
      <c r="G20" s="139">
        <f ca="1">ROUND(C20*$C$18+D20*$D$18,0)</f>
        <v>2360</v>
      </c>
      <c r="H20" s="808" t="s">
        <v>1296</v>
      </c>
      <c r="I20" s="129"/>
    </row>
    <row r="21" spans="1:36" ht="15" customHeight="1" thickBot="1">
      <c r="A21" s="828"/>
      <c r="B21" s="1765" t="s">
        <v>1297</v>
      </c>
      <c r="C21" s="719">
        <f ca="1">ROUND(C19*10000/L19,0)</f>
        <v>2271</v>
      </c>
      <c r="D21" s="720">
        <f ca="1">ROUND(D19*10000/L19,0)</f>
        <v>982</v>
      </c>
      <c r="E21" s="828"/>
      <c r="F21" s="1765" t="s">
        <v>1297</v>
      </c>
      <c r="G21" s="140">
        <f ca="1">ROUND(G19*10000/L19,0)</f>
        <v>1626</v>
      </c>
      <c r="H21" s="1766" t="s">
        <v>1296</v>
      </c>
      <c r="I21" s="129"/>
    </row>
    <row r="22" spans="1:36" ht="15" thickBot="1">
      <c r="A22" s="1688" t="s">
        <v>1298</v>
      </c>
      <c r="B22" s="1767"/>
      <c r="C22" s="1768"/>
      <c r="D22" s="721">
        <f ca="1">IF(C19&lt;D19,D19/C19-1,C19/D19-1)</f>
        <v>1.3134753735473161</v>
      </c>
      <c r="E22" s="129"/>
      <c r="F22" s="129"/>
      <c r="G22" s="129"/>
      <c r="H22" s="129"/>
      <c r="I22" s="129"/>
    </row>
    <row r="23" spans="1:36" ht="13.8" thickBot="1">
      <c r="A23" s="1747"/>
      <c r="B23" s="1747"/>
      <c r="C23" s="1747"/>
      <c r="D23" s="1747"/>
      <c r="E23" s="129"/>
      <c r="F23" s="129"/>
      <c r="G23" s="129"/>
      <c r="H23" s="129"/>
      <c r="I23" s="129"/>
    </row>
    <row r="24" spans="1:36" ht="14.4">
      <c r="A24" s="3634" t="s">
        <v>1299</v>
      </c>
      <c r="B24" s="1762" t="s">
        <v>1291</v>
      </c>
      <c r="C24" s="136">
        <f>IF(B30=0,0,D30)</f>
        <v>0</v>
      </c>
      <c r="D24" s="1769"/>
      <c r="E24" s="129"/>
      <c r="F24" s="129"/>
      <c r="G24" s="129"/>
      <c r="H24" s="129"/>
      <c r="I24" s="129"/>
    </row>
    <row r="25" spans="1:36" ht="14.4">
      <c r="A25" s="363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2131</v>
      </c>
      <c r="F30" s="129"/>
      <c r="G30" s="129"/>
      <c r="H30" s="129"/>
      <c r="I30" s="129"/>
    </row>
    <row r="31" spans="1:36" s="2309" customFormat="1" ht="26.4"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59875</v>
      </c>
      <c r="D32" s="1775" t="s">
        <v>3613</v>
      </c>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11" t="s">
        <v>1312</v>
      </c>
      <c r="B36" s="1787" t="s">
        <v>1313</v>
      </c>
      <c r="C36" s="145"/>
      <c r="D36" s="1788"/>
      <c r="E36" s="1789"/>
      <c r="F36" s="1790"/>
      <c r="G36" s="129"/>
      <c r="H36" s="129"/>
      <c r="I36" s="129"/>
    </row>
    <row r="37" spans="1:15" ht="15" thickBot="1">
      <c r="A37" s="3612"/>
      <c r="B37" s="1674" t="s">
        <v>1314</v>
      </c>
      <c r="C37" s="147"/>
      <c r="D37" s="1139"/>
      <c r="E37" s="1139"/>
      <c r="F37" s="1790"/>
      <c r="G37" s="129"/>
      <c r="H37" s="129"/>
      <c r="I37" s="129"/>
    </row>
    <row r="38" spans="1:15" ht="15" thickBot="1">
      <c r="A38" s="3613"/>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631" t="s">
        <v>1326</v>
      </c>
      <c r="B45" s="3632"/>
      <c r="C45" s="3633"/>
      <c r="D45" s="155">
        <f ca="1">ROUND(H101*F45,0)</f>
        <v>59875</v>
      </c>
      <c r="E45" s="156" t="s">
        <v>1327</v>
      </c>
      <c r="F45" s="157">
        <v>1</v>
      </c>
      <c r="G45" s="158" t="s">
        <v>1328</v>
      </c>
      <c r="H45" s="129"/>
      <c r="I45" s="129"/>
      <c r="J45" s="3551" t="s">
        <v>1329</v>
      </c>
      <c r="K45" s="3551"/>
      <c r="L45" s="3551"/>
      <c r="M45" s="3551"/>
      <c r="N45" s="3551"/>
      <c r="O45" s="3551"/>
    </row>
    <row r="46" spans="1:15" ht="14.25" hidden="1" customHeight="1">
      <c r="A46" s="3628" t="s">
        <v>1330</v>
      </c>
      <c r="B46" s="3629"/>
      <c r="C46" s="3629"/>
      <c r="D46" s="3629"/>
      <c r="E46" s="3629"/>
      <c r="F46" s="3629"/>
      <c r="G46" s="3630"/>
      <c r="H46" s="1806"/>
      <c r="I46" s="159"/>
      <c r="J46" s="2523">
        <v>1</v>
      </c>
      <c r="K46" s="3552" t="s">
        <v>1331</v>
      </c>
      <c r="L46" s="3552"/>
      <c r="M46" s="3553"/>
      <c r="N46" s="3553"/>
      <c r="O46" s="3553"/>
    </row>
    <row r="47" spans="1:15" ht="12" hidden="1" customHeight="1">
      <c r="A47" s="160" t="s">
        <v>1332</v>
      </c>
      <c r="B47" s="161"/>
      <c r="C47" s="162"/>
      <c r="D47" s="1087" t="s">
        <v>1333</v>
      </c>
      <c r="E47" s="302" t="s">
        <v>1334</v>
      </c>
      <c r="F47" s="163" t="s">
        <v>1335</v>
      </c>
      <c r="G47" s="2546" t="s">
        <v>1336</v>
      </c>
      <c r="H47" s="2547"/>
      <c r="I47" s="159"/>
      <c r="J47" s="2523">
        <v>2</v>
      </c>
      <c r="K47" s="3552" t="s">
        <v>1337</v>
      </c>
      <c r="L47" s="3552"/>
      <c r="M47" s="3554">
        <f>'数据-取费表'!B2</f>
        <v>45274</v>
      </c>
      <c r="N47" s="3554"/>
      <c r="O47" s="3554"/>
    </row>
    <row r="48" spans="1:15" ht="26.4" hidden="1">
      <c r="A48" s="3614" t="s">
        <v>1338</v>
      </c>
      <c r="B48" s="3615"/>
      <c r="C48" s="361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52" t="s">
        <v>1340</v>
      </c>
      <c r="L48" s="3552"/>
      <c r="M48" s="3555">
        <f ca="1">H101</f>
        <v>59875</v>
      </c>
      <c r="N48" s="3555"/>
      <c r="O48" s="3555"/>
    </row>
    <row r="49" spans="1:35" ht="25.5" hidden="1" customHeight="1">
      <c r="A49" s="2333" t="s">
        <v>1341</v>
      </c>
      <c r="B49" s="3600" t="s">
        <v>1342</v>
      </c>
      <c r="C49" s="3600"/>
      <c r="D49" s="1590">
        <v>0</v>
      </c>
      <c r="E49" s="324" t="s">
        <v>1343</v>
      </c>
      <c r="F49" s="2424" t="s">
        <v>28</v>
      </c>
      <c r="G49" s="3583"/>
      <c r="H49" s="2310" t="s">
        <v>2133</v>
      </c>
      <c r="I49" s="2311"/>
      <c r="J49" s="2523">
        <v>4</v>
      </c>
      <c r="K49" s="3552" t="str">
        <f>IF(项目基本情况!E8="房地产抵押价值","房地产抵押价值","抵押担保权已注销时的房地产抵押价值")</f>
        <v>房地产抵押价值</v>
      </c>
      <c r="L49" s="3552"/>
      <c r="M49" s="3555">
        <f ca="1">IF(项目基本情况!E8="房地产抵押价值",H107,H109)</f>
        <v>59875</v>
      </c>
      <c r="N49" s="3555"/>
      <c r="O49" s="3555"/>
    </row>
    <row r="50" spans="1:35" ht="25.5" hidden="1" customHeight="1">
      <c r="A50" s="2551"/>
      <c r="B50" s="3600" t="s">
        <v>1344</v>
      </c>
      <c r="C50" s="3600"/>
      <c r="D50" s="2552"/>
      <c r="E50" s="332"/>
      <c r="F50" s="2424"/>
      <c r="G50" s="3584"/>
      <c r="H50" s="2312" t="s">
        <v>2134</v>
      </c>
      <c r="I50" s="2311"/>
      <c r="J50" s="3551" t="s">
        <v>1345</v>
      </c>
      <c r="K50" s="3551"/>
      <c r="L50" s="3551"/>
      <c r="M50" s="3551"/>
      <c r="N50" s="3551"/>
      <c r="O50" s="3551"/>
    </row>
    <row r="51" spans="1:35" ht="20.399999999999999" hidden="1" customHeight="1">
      <c r="A51" s="2553"/>
      <c r="B51" s="3600" t="s">
        <v>1346</v>
      </c>
      <c r="C51" s="3600"/>
      <c r="D51" s="1087"/>
      <c r="E51" s="327"/>
      <c r="F51" s="2424"/>
      <c r="G51" s="3585"/>
      <c r="H51" s="2312" t="s">
        <v>2135</v>
      </c>
      <c r="I51" s="2311"/>
      <c r="J51" s="2524" t="s">
        <v>1347</v>
      </c>
      <c r="K51" s="3552" t="s">
        <v>1348</v>
      </c>
      <c r="L51" s="3552"/>
      <c r="M51" s="2524" t="s">
        <v>1349</v>
      </c>
      <c r="N51" s="2524" t="s">
        <v>1350</v>
      </c>
      <c r="O51" s="2524" t="s">
        <v>1351</v>
      </c>
    </row>
    <row r="52" spans="1:35" ht="24" hidden="1" customHeight="1">
      <c r="A52" s="2335" t="s">
        <v>1352</v>
      </c>
      <c r="B52" s="3600" t="s">
        <v>1353</v>
      </c>
      <c r="C52" s="3600"/>
      <c r="D52" s="1087">
        <f ca="1">ROUND(D45*'数据-取费表'!B41/(1+'数据-取费表'!C42),0)</f>
        <v>3136</v>
      </c>
      <c r="E52" s="2334" t="s">
        <v>1354</v>
      </c>
      <c r="F52" s="2554">
        <f>'数据-取费表'!B41</f>
        <v>5.5000000000000007E-2</v>
      </c>
      <c r="G52" s="2555"/>
      <c r="H52" s="2544"/>
      <c r="I52" s="1807"/>
      <c r="J52" s="2523">
        <v>1</v>
      </c>
      <c r="K52" s="3577" t="s">
        <v>1355</v>
      </c>
      <c r="L52" s="3577"/>
      <c r="M52" s="2525" t="b">
        <f>D48</f>
        <v>0</v>
      </c>
      <c r="N52" s="2523" t="str">
        <f>E48</f>
        <v>销售额×税（费）率</v>
      </c>
      <c r="O52" s="2526">
        <f>F48</f>
        <v>5.5000000000000007E-2</v>
      </c>
    </row>
    <row r="53" spans="1:35" ht="12" hidden="1" customHeight="1">
      <c r="A53" s="2335" t="s">
        <v>1356</v>
      </c>
      <c r="B53" s="3601" t="s">
        <v>2290</v>
      </c>
      <c r="C53" s="3602"/>
      <c r="D53" s="1087">
        <f ca="1">ROUND(D45*'数据-取费表'!B41/(1+'数据-取费表'!C42),0)</f>
        <v>3136</v>
      </c>
      <c r="E53" s="2334" t="s">
        <v>1354</v>
      </c>
      <c r="F53" s="2554">
        <f>'数据-取费表'!B41</f>
        <v>5.5000000000000007E-2</v>
      </c>
      <c r="G53" s="2555"/>
      <c r="H53" s="2544"/>
      <c r="I53" s="1807"/>
      <c r="J53" s="2523">
        <v>2</v>
      </c>
      <c r="K53" s="3577" t="s">
        <v>1357</v>
      </c>
      <c r="L53" s="3577"/>
      <c r="M53" s="2525">
        <f t="shared" ref="M53:O54" ca="1" si="0">D55</f>
        <v>30</v>
      </c>
      <c r="N53" s="2523" t="str">
        <f t="shared" si="0"/>
        <v>销售额×税（费）率</v>
      </c>
      <c r="O53" s="2526" t="str">
        <f t="shared" si="0"/>
        <v>免征</v>
      </c>
    </row>
    <row r="54" spans="1:35" ht="12" hidden="1" customHeight="1">
      <c r="A54" s="2335" t="s">
        <v>1358</v>
      </c>
      <c r="B54" s="3601" t="s">
        <v>2291</v>
      </c>
      <c r="C54" s="3602"/>
      <c r="D54" s="1087">
        <f ca="1">C68</f>
        <v>3136</v>
      </c>
      <c r="E54" s="327" t="s">
        <v>1359</v>
      </c>
      <c r="F54" s="2554">
        <f>'数据-取费表'!B41</f>
        <v>5.5000000000000007E-2</v>
      </c>
      <c r="G54" s="2555"/>
      <c r="H54" s="2556"/>
      <c r="I54" s="1807"/>
      <c r="J54" s="2523">
        <v>3</v>
      </c>
      <c r="K54" s="3577" t="s">
        <v>1360</v>
      </c>
      <c r="L54" s="3577"/>
      <c r="M54" s="2525">
        <f t="shared" ca="1" si="0"/>
        <v>33944</v>
      </c>
      <c r="N54" s="2523" t="str">
        <f t="shared" si="0"/>
        <v>增值额×税（费）率</v>
      </c>
      <c r="O54" s="2527" t="str">
        <f t="shared" si="0"/>
        <v>免征</v>
      </c>
    </row>
    <row r="55" spans="1:35" ht="24" hidden="1" customHeight="1">
      <c r="A55" s="3637" t="s">
        <v>1361</v>
      </c>
      <c r="B55" s="3615"/>
      <c r="C55" s="3615"/>
      <c r="D55" s="2324">
        <f ca="1">IF(H55="个人住宅",0,ROUND(D45*I55,0))</f>
        <v>30</v>
      </c>
      <c r="E55" s="2334" t="s">
        <v>1362</v>
      </c>
      <c r="F55" s="2554" t="str">
        <f>IF(H55="正常",I55,"免征")</f>
        <v>免征</v>
      </c>
      <c r="G55" s="2555"/>
      <c r="H55" s="2550"/>
      <c r="I55" s="165">
        <f>'数据-取费表'!B49</f>
        <v>5.0000000000000001E-4</v>
      </c>
      <c r="J55" s="2523">
        <f>IF(H59="非个人房产","",4)</f>
        <v>4</v>
      </c>
      <c r="K55" s="3577" t="str">
        <f>IF(H59="非个人房产","——","个人所得税")</f>
        <v>个人所得税</v>
      </c>
      <c r="L55" s="3577"/>
      <c r="M55" s="2528">
        <f ca="1">D59</f>
        <v>570</v>
      </c>
      <c r="N55" s="2040" t="str">
        <f>E59</f>
        <v>差额计税</v>
      </c>
      <c r="O55" s="2529">
        <f>F59</f>
        <v>0.01</v>
      </c>
    </row>
    <row r="56" spans="1:35" ht="25.2" hidden="1">
      <c r="A56" s="3637" t="s">
        <v>1363</v>
      </c>
      <c r="B56" s="3615"/>
      <c r="C56" s="3615"/>
      <c r="D56" s="2324">
        <f ca="1">IF(H56="个人住宅",D57,D58)</f>
        <v>33944</v>
      </c>
      <c r="E56" s="2334" t="s">
        <v>1364</v>
      </c>
      <c r="F56" s="2554" t="str">
        <f>IF(H56="正常",F58,"免征")</f>
        <v>免征</v>
      </c>
      <c r="G56" s="2557" t="s">
        <v>1365</v>
      </c>
      <c r="H56" s="2558"/>
      <c r="I56" s="1808"/>
      <c r="J56" s="2523" t="str">
        <f>IF(项目基本情况!K6="上海银行",IF(J55="",4,J55+1),"")</f>
        <v/>
      </c>
      <c r="K56" s="3558" t="str">
        <f>IF(项目基本情况!K6="上海银行","其他处置费用","")</f>
        <v/>
      </c>
      <c r="L56" s="3559"/>
      <c r="M56" s="2525" t="str">
        <f>IF(项目基本情况!K6="上海银行",M69,"")</f>
        <v/>
      </c>
      <c r="N56" s="3558" t="str">
        <f>IF(项目基本情况!K6="上海银行","包含处置中涉及的律师、诉讼、拍卖、评估等费用","")</f>
        <v/>
      </c>
      <c r="O56" s="3561"/>
    </row>
    <row r="57" spans="1:35" ht="13.2" hidden="1">
      <c r="A57" s="2335" t="s">
        <v>1341</v>
      </c>
      <c r="B57" s="3601" t="s">
        <v>1366</v>
      </c>
      <c r="C57" s="3602"/>
      <c r="D57" s="1590">
        <v>0</v>
      </c>
      <c r="E57" s="324" t="s">
        <v>1343</v>
      </c>
      <c r="F57" s="302"/>
      <c r="G57" s="2555"/>
      <c r="H57" s="2559"/>
      <c r="I57" s="1808"/>
      <c r="J57" s="3577">
        <f>IF(AND(J55="",J56=""),4,IF(项目基本情况!K6="上海银行",结果表!J56+1,结果表!J55+1))</f>
        <v>5</v>
      </c>
      <c r="K57" s="3577" t="s">
        <v>1367</v>
      </c>
      <c r="L57" s="2530" t="s">
        <v>1368</v>
      </c>
      <c r="M57" s="2531"/>
      <c r="N57" s="2532">
        <f ca="1">SUMIF(M52:M56,"&lt;9e307")</f>
        <v>34544</v>
      </c>
      <c r="O57" s="2533"/>
      <c r="P57" s="2689">
        <f ca="1">N57/M49</f>
        <v>0.5769352818371607</v>
      </c>
    </row>
    <row r="58" spans="1:35" ht="25.2" hidden="1">
      <c r="A58" s="2335" t="s">
        <v>1352</v>
      </c>
      <c r="B58" s="3601" t="s">
        <v>1369</v>
      </c>
      <c r="C58" s="3600"/>
      <c r="D58" s="2324">
        <f ca="1">IF(H58="转让取得",C81,C97)</f>
        <v>33944</v>
      </c>
      <c r="E58" s="2334" t="s">
        <v>1364</v>
      </c>
      <c r="F58" s="302" t="s">
        <v>28</v>
      </c>
      <c r="G58" s="2555"/>
      <c r="H58" s="2558"/>
      <c r="I58" s="1808"/>
      <c r="J58" s="3577"/>
      <c r="K58" s="3577"/>
      <c r="L58" s="2530" t="s">
        <v>1370</v>
      </c>
      <c r="M58" s="2534"/>
      <c r="N58" s="2535" t="str">
        <f ca="1">NUMBERSTRING(INT(N57*10000),2)&amp;"元整"</f>
        <v>叁亿肆仟伍佰肆拾肆万元整</v>
      </c>
      <c r="O58" s="2536"/>
    </row>
    <row r="59" spans="1:35" ht="24.6" hidden="1" thickBot="1">
      <c r="A59" s="3581" t="s">
        <v>1371</v>
      </c>
      <c r="B59" s="3582"/>
      <c r="C59" s="3582"/>
      <c r="D59" s="2560">
        <f ca="1">IF(H59="非个人房产","——",IF(H59="个人住宅（满五唯一有凭证）",0,IF(H59="个人其他（无凭证）",ROUND(D45*F59,0),ROUND(C67*F59,0))))</f>
        <v>570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2136</v>
      </c>
      <c r="J59" s="3579">
        <f>J57+1</f>
        <v>6</v>
      </c>
      <c r="K59" s="3577" t="s">
        <v>1372</v>
      </c>
      <c r="L59" s="2523" t="s">
        <v>1368</v>
      </c>
      <c r="M59" s="2537"/>
      <c r="N59" s="2538">
        <f ca="1">M49-N57</f>
        <v>25331</v>
      </c>
      <c r="O59" s="2539"/>
    </row>
    <row r="60" spans="1:35" ht="12" hidden="1" customHeight="1">
      <c r="A60" s="1809"/>
      <c r="B60" s="1747"/>
      <c r="C60" s="1747"/>
      <c r="D60" s="1747"/>
      <c r="E60" s="1578"/>
      <c r="F60" s="1808"/>
      <c r="G60" s="1808"/>
      <c r="H60" s="1810"/>
      <c r="I60" s="129"/>
      <c r="J60" s="3580"/>
      <c r="K60" s="3577"/>
      <c r="L60" s="2530" t="s">
        <v>1370</v>
      </c>
      <c r="M60" s="2534"/>
      <c r="N60" s="2535" t="str">
        <f ca="1">NUMBERSTRING(INT(N59*10000),2)&amp;"元整"</f>
        <v>贰亿伍仟叁佰叁拾壹万元整</v>
      </c>
      <c r="O60" s="2536"/>
    </row>
    <row r="61" spans="1:35" ht="13.8" hidden="1" thickBot="1">
      <c r="A61" s="3636" t="s">
        <v>1373</v>
      </c>
      <c r="B61" s="3636"/>
      <c r="C61" s="3636"/>
      <c r="D61" s="3636"/>
      <c r="E61" s="3636"/>
      <c r="F61" s="1808"/>
      <c r="G61" s="1808"/>
      <c r="H61" s="1810"/>
      <c r="I61" s="129"/>
      <c r="J61" s="2523">
        <f>J59+1</f>
        <v>7</v>
      </c>
      <c r="K61" s="3577" t="s">
        <v>1374</v>
      </c>
      <c r="L61" s="3577"/>
      <c r="M61" s="2540"/>
      <c r="N61" s="2541">
        <f ca="1">ROUND(N59*10000/'数据-汇总表'!E3,0)</f>
        <v>998</v>
      </c>
      <c r="O61" s="2542"/>
    </row>
    <row r="62" spans="1:35" ht="13.2" hidden="1">
      <c r="A62" s="3596" t="s">
        <v>1375</v>
      </c>
      <c r="B62" s="3597"/>
      <c r="C62" s="2021"/>
      <c r="D62" s="2021" t="s">
        <v>1376</v>
      </c>
      <c r="E62" s="166" t="s">
        <v>1377</v>
      </c>
      <c r="F62" s="1808"/>
      <c r="G62" s="1808"/>
      <c r="H62" s="1810"/>
      <c r="I62" s="129"/>
    </row>
    <row r="63" spans="1:35" ht="13.2" hidden="1">
      <c r="A63" s="173" t="s">
        <v>330</v>
      </c>
      <c r="B63" s="167" t="s">
        <v>1378</v>
      </c>
      <c r="C63" s="2564">
        <f ca="1">ROUND((C64+C65)/(1+'数据-取费表'!C42),0)</f>
        <v>57024</v>
      </c>
      <c r="D63" s="167"/>
      <c r="E63" s="168"/>
      <c r="F63" s="1808"/>
      <c r="G63" s="1808"/>
      <c r="H63" s="1810"/>
      <c r="I63" s="129"/>
      <c r="J63" s="3560" t="s">
        <v>1379</v>
      </c>
      <c r="K63" s="1332" t="s">
        <v>1380</v>
      </c>
      <c r="L63" s="1332">
        <f ca="1">IF(M49&gt;10000,M49*0.5%,IF(AND(M49&gt;1000,M49&lt;=10000),M49*1%,IF(AND(M49&gt;100,M49&lt;=1000),M49*3%,IF(AND(M49&gt;10,M49&lt;=100),M49*5%,M49*8%))))</f>
        <v>299.375</v>
      </c>
      <c r="M63" s="302">
        <f ca="1">ROUND(L63,1)</f>
        <v>299.39999999999998</v>
      </c>
      <c r="N63" s="2543"/>
      <c r="Z63" s="1752"/>
      <c r="AI63" s="1753"/>
    </row>
    <row r="64" spans="1:35" ht="14.25" hidden="1" customHeight="1">
      <c r="A64" s="169" t="s">
        <v>325</v>
      </c>
      <c r="B64" s="170" t="s">
        <v>1381</v>
      </c>
      <c r="C64" s="2565">
        <f ca="1">D45</f>
        <v>59875</v>
      </c>
      <c r="D64" s="170" t="s">
        <v>26</v>
      </c>
      <c r="E64" s="172"/>
      <c r="F64" s="1808"/>
      <c r="G64" s="1808"/>
      <c r="H64" s="1810"/>
      <c r="I64" s="129"/>
      <c r="J64" s="3560"/>
      <c r="K64" s="1332" t="s">
        <v>1382</v>
      </c>
      <c r="L64" s="1332">
        <f ca="1">IF(M49&gt;2000,M49*0.5%,IF(AND(M49&gt;1000,M49&lt;=2000),M49*0.6%,IF(AND(M49&gt;500,M49&lt;=1000),M49*0.7%,IF(AND(M49&gt;200,M49&lt;=500),M49*0.8%,IF(AND(M49&gt;100,M49&lt;=200),M49*0.9%,IF(AND(M49&gt;50,M49&lt;=100),M49*1%,IF(AND(M49&gt;20,M49&lt;=50),M49*1.5%,IF(AND(M49&gt;10,M49&lt;=20),M49*2%,IF(AND(M49&gt;1,M49&lt;=10),M49*2.5%)))))))))</f>
        <v>299.375</v>
      </c>
      <c r="M64" s="302">
        <f t="shared" ref="M64:M65" ca="1" si="1">ROUND(L64,1)</f>
        <v>299.39999999999998</v>
      </c>
      <c r="N64" s="2544" t="s">
        <v>1383</v>
      </c>
      <c r="Z64" s="1752"/>
      <c r="AI64" s="1753"/>
    </row>
    <row r="65" spans="1:35" ht="14.25" hidden="1" customHeight="1">
      <c r="A65" s="169" t="s">
        <v>326</v>
      </c>
      <c r="B65" s="170" t="s">
        <v>1384</v>
      </c>
      <c r="C65" s="2566"/>
      <c r="D65" s="170"/>
      <c r="E65" s="172"/>
      <c r="F65" s="1808"/>
      <c r="G65" s="1808"/>
      <c r="H65" s="1810"/>
      <c r="I65" s="129"/>
      <c r="J65" s="3560"/>
      <c r="K65" s="1332" t="s">
        <v>1385</v>
      </c>
      <c r="L65" s="1332">
        <f ca="1">IF(M49&gt;1000,M49*0.1%,IF(AND(M49&gt;500,M49&lt;=1000),M49*0.5%,IF(AND(M49&gt;50,M49&lt;=500),M49*1%,IF(AND(M49&gt;1,M49&lt;=50),M49*1.5%))))</f>
        <v>59.875</v>
      </c>
      <c r="M65" s="302">
        <f t="shared" ca="1" si="1"/>
        <v>59.9</v>
      </c>
      <c r="N65" s="2544" t="s">
        <v>1383</v>
      </c>
      <c r="Z65" s="1752"/>
      <c r="AI65" s="1753"/>
    </row>
    <row r="66" spans="1:35" ht="14.25" hidden="1" customHeight="1">
      <c r="A66" s="173" t="s">
        <v>327</v>
      </c>
      <c r="B66" s="174" t="s">
        <v>1386</v>
      </c>
      <c r="C66" s="2567"/>
      <c r="D66" s="174" t="s">
        <v>26</v>
      </c>
      <c r="E66" s="1338" t="s">
        <v>671</v>
      </c>
      <c r="F66" s="1808"/>
      <c r="G66" s="1808"/>
      <c r="H66" s="1810"/>
      <c r="I66" s="129"/>
      <c r="J66" s="3560"/>
      <c r="K66" s="1332" t="s">
        <v>1387</v>
      </c>
      <c r="L66" s="1332">
        <f ca="1">M49*0.5%</f>
        <v>299.375</v>
      </c>
      <c r="M66" s="302">
        <f ca="1">IF(L66&gt;0.5,0.5,ROUND(L66,0))</f>
        <v>0.5</v>
      </c>
      <c r="N66" s="2544" t="s">
        <v>1388</v>
      </c>
      <c r="Z66" s="1752"/>
      <c r="AI66" s="1753"/>
    </row>
    <row r="67" spans="1:35" ht="14.25" hidden="1" customHeight="1">
      <c r="A67" s="173" t="s">
        <v>328</v>
      </c>
      <c r="B67" s="174" t="s">
        <v>1389</v>
      </c>
      <c r="C67" s="2568">
        <f ca="1">C63-C66</f>
        <v>57024</v>
      </c>
      <c r="D67" s="170" t="s">
        <v>26</v>
      </c>
      <c r="E67" s="172"/>
      <c r="F67" s="1808"/>
      <c r="G67" s="1808"/>
      <c r="H67" s="1810"/>
      <c r="I67" s="129"/>
      <c r="J67" s="3560"/>
      <c r="K67" s="1332" t="s">
        <v>1390</v>
      </c>
      <c r="L67" s="1332">
        <f ca="1">IF(M49&gt;=10000,(8.25+(M49-10000)*0.01%),IF(AND(M49&gt;=8000,M49&lt;10000),(7.85+(M49-8000)*0.02%),IF(AND(M49&gt;=5000,M49&lt;8000),(6.65+(M49-5000)*0.04%),IF(AND(M49&gt;=2000,M49&lt;5000),(4.25+(PM49-2000)*0.08%),IF(AND(M49&gt;=1000,M49&lt;2000),(2.75+(M49-1000)*0.15%),IF(AND(M49&gt;=100,M49&lt;1000),(0.5+(M49-100)*0.25%),IF(AND(M49&gt;0,M49&lt;100),M49*0.5%)))))))</f>
        <v>13.237500000000001</v>
      </c>
      <c r="M67" s="302">
        <f ca="1">ROUND(L67*0.9,1)</f>
        <v>11.9</v>
      </c>
      <c r="N67" s="2543"/>
      <c r="Z67" s="1752"/>
      <c r="AI67" s="1753"/>
    </row>
    <row r="68" spans="1:35" ht="14.25" hidden="1" customHeight="1" thickBot="1">
      <c r="A68" s="176" t="s">
        <v>329</v>
      </c>
      <c r="B68" s="177" t="s">
        <v>1391</v>
      </c>
      <c r="C68" s="2569">
        <f ca="1">IF(C67&lt;=0,0,ROUND(C67*D68,0))</f>
        <v>3136</v>
      </c>
      <c r="D68" s="2570">
        <f>'数据-取费表'!B41</f>
        <v>5.5000000000000007E-2</v>
      </c>
      <c r="E68" s="178"/>
      <c r="F68" s="1808"/>
      <c r="G68" s="1808"/>
      <c r="H68" s="1810"/>
      <c r="I68" s="129"/>
      <c r="J68" s="3560"/>
      <c r="K68" s="1332" t="s">
        <v>1392</v>
      </c>
      <c r="L68" s="1332">
        <f ca="1">IF(M49&gt;10000,M49*0.5%,IF(AND(M49&gt;5000,M49&lt;=10000),M49*1%,IF(AND(M49&gt;1000,M49&lt;=5000),M49*2%,IF(AND(M49&gt;200,M49&lt;=1000),M49*3%,M49*5%))))</f>
        <v>299.375</v>
      </c>
      <c r="M68" s="302">
        <f ca="1">ROUND(L68,1)</f>
        <v>299.39999999999998</v>
      </c>
      <c r="N68" s="2543"/>
      <c r="Z68" s="1752"/>
      <c r="AI68" s="1753"/>
    </row>
    <row r="69" spans="1:35" s="1772" customFormat="1" ht="16.5" hidden="1" customHeight="1">
      <c r="A69" s="1811"/>
      <c r="B69" s="1812"/>
      <c r="C69" s="1813"/>
      <c r="D69" s="1814"/>
      <c r="E69" s="1815"/>
      <c r="F69" s="1578"/>
      <c r="G69" s="1578"/>
      <c r="H69" s="1577"/>
      <c r="I69" s="1747"/>
      <c r="J69" s="3560"/>
      <c r="K69" s="1332" t="s">
        <v>1393</v>
      </c>
      <c r="L69" s="1332"/>
      <c r="M69" s="302">
        <f ca="1">ROUND(SUM(M63:M68),0)</f>
        <v>971</v>
      </c>
      <c r="N69" s="2545">
        <f ca="1">M69/M49</f>
        <v>1.6217118997912318E-2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hidden="1" thickBot="1">
      <c r="A70" s="3604" t="s">
        <v>1394</v>
      </c>
      <c r="B70" s="3605"/>
      <c r="C70" s="3605"/>
      <c r="D70" s="3605"/>
      <c r="E70" s="3605"/>
      <c r="F70" s="3605"/>
      <c r="G70" s="3605"/>
      <c r="H70" s="3605"/>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hidden="1">
      <c r="A71" s="3596" t="s">
        <v>1375</v>
      </c>
      <c r="B71" s="3597"/>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hidden="1">
      <c r="A72" s="173" t="s">
        <v>330</v>
      </c>
      <c r="B72" s="174" t="s">
        <v>1395</v>
      </c>
      <c r="C72" s="2568">
        <f ca="1">ROUND(D45/(1+'数据-取费表'!C42),0)</f>
        <v>57024</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hidden="1">
      <c r="A73" s="173" t="s">
        <v>327</v>
      </c>
      <c r="B73" s="163" t="s">
        <v>1396</v>
      </c>
      <c r="C73" s="2568">
        <f ca="1">C74+C78</f>
        <v>285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hidden="1">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4">
        <v>0.05</v>
      </c>
      <c r="E76" s="3601" t="s">
        <v>1402</v>
      </c>
      <c r="F76" s="3600"/>
      <c r="G76" s="3600"/>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6">
        <f ca="1">ROUND(D45*D78/(1+'数据-取费表'!C42),0)</f>
        <v>285</v>
      </c>
      <c r="D78" s="2577">
        <f>'数据-取费表'!B43</f>
        <v>5.000000000000001E-3</v>
      </c>
      <c r="E78" s="3593" t="s">
        <v>1406</v>
      </c>
      <c r="F78" s="3594"/>
      <c r="G78" s="3594"/>
      <c r="H78" s="359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hidden="1">
      <c r="A79" s="173" t="s">
        <v>334</v>
      </c>
      <c r="B79" s="174" t="s">
        <v>1407</v>
      </c>
      <c r="C79" s="2568">
        <f ca="1">C72-C73</f>
        <v>56739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8">
        <f ca="1">IF(C79&lt;=0,0,C79/C73)</f>
        <v>199.08421052631579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hidden="1" thickBot="1">
      <c r="A81" s="176" t="s">
        <v>336</v>
      </c>
      <c r="B81" s="177" t="s">
        <v>1409</v>
      </c>
      <c r="C81" s="2579">
        <f ca="1">ROUND(IF(C79&lt;=0,0,IF(C80&gt;=200%,C79*60%-C73*35%,IF(C80&gt;=100%,C79*50%-C73*15%,IF(C80&gt;=50%,C79*40%-C73*5%,IF(C80&lt;50%,C79*30%,0))))),0)</f>
        <v>33944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hidden="1"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hidden="1">
      <c r="A84" s="3596" t="s">
        <v>1375</v>
      </c>
      <c r="B84" s="359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hidden="1">
      <c r="A85" s="173" t="s">
        <v>330</v>
      </c>
      <c r="B85" s="174" t="s">
        <v>1395</v>
      </c>
      <c r="C85" s="2568">
        <f ca="1">ROUND(D45/(1+'数据-取费表'!C42),0)</f>
        <v>57024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hidden="1">
      <c r="A86" s="173" t="s">
        <v>327</v>
      </c>
      <c r="B86" s="163" t="s">
        <v>1396</v>
      </c>
      <c r="C86" s="2568">
        <f ca="1">IF(H88="仅含出让金",C87+C90+C91+C92+C93+C94,C87+C91+C92+C93+C94)</f>
        <v>285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hidden="1">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hidden="1">
      <c r="A88" s="169" t="s">
        <v>331</v>
      </c>
      <c r="B88" s="170" t="s">
        <v>1412</v>
      </c>
      <c r="C88" s="2582"/>
      <c r="D88" s="2577"/>
      <c r="E88" s="193" t="s">
        <v>1413</v>
      </c>
      <c r="F88" s="2327"/>
      <c r="G88" s="194" t="s">
        <v>1414</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hidden="1">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hidden="1">
      <c r="A90" s="169" t="s">
        <v>326</v>
      </c>
      <c r="B90" s="170" t="s">
        <v>1416</v>
      </c>
      <c r="C90" s="2582"/>
      <c r="D90" s="2577"/>
      <c r="E90" s="193" t="str">
        <f>IF(H88="-","土地取得成本中已包含该笔费用"," ")</f>
        <v xml:space="preserve"> </v>
      </c>
      <c r="F90" s="2327"/>
      <c r="G90" s="3562" t="s">
        <v>2128</v>
      </c>
      <c r="H90" s="3563"/>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6">
        <f>IF(H91="——",成本法!C33,I91)</f>
        <v>0</v>
      </c>
      <c r="D91" s="2577"/>
      <c r="E91" s="3593" t="s">
        <v>1419</v>
      </c>
      <c r="F91" s="3594"/>
      <c r="G91" s="359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6">
        <f>ROUND((C87+C90+C91)*D92,0)</f>
        <v>0</v>
      </c>
      <c r="D92" s="2583"/>
      <c r="E92" s="3593" t="s">
        <v>1422</v>
      </c>
      <c r="F92" s="3594"/>
      <c r="G92" s="3594"/>
      <c r="H92" s="3595"/>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6">
        <f ca="1">ROUND(D45*D93/(1+'数据-取费表'!C42),0)</f>
        <v>285</v>
      </c>
      <c r="D93" s="2577">
        <f>'数据-取费表'!B43</f>
        <v>5.000000000000001E-3</v>
      </c>
      <c r="E93" s="3593" t="s">
        <v>1406</v>
      </c>
      <c r="F93" s="3594"/>
      <c r="G93" s="3594"/>
      <c r="H93" s="359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82">
        <f>ROUND((C87+C90+C91)*D94,0)</f>
        <v>0</v>
      </c>
      <c r="D94" s="2577">
        <v>0.2</v>
      </c>
      <c r="E94" s="3638" t="s">
        <v>1426</v>
      </c>
      <c r="F94" s="3639"/>
      <c r="G94" s="3639"/>
      <c r="H94" s="364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hidden="1">
      <c r="A95" s="173" t="s">
        <v>334</v>
      </c>
      <c r="B95" s="174" t="s">
        <v>1407</v>
      </c>
      <c r="C95" s="2568">
        <f ca="1">ROUND(C85-C86,0)</f>
        <v>56739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8">
        <f ca="1">IF(C95&lt;=0,0,C95/C86)</f>
        <v>199.08421052631579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hidden="1" thickBot="1">
      <c r="A97" s="176" t="s">
        <v>336</v>
      </c>
      <c r="B97" s="177" t="s">
        <v>1409</v>
      </c>
      <c r="C97" s="2579">
        <f ca="1">ROUND(IF(C95&lt;=0,0,IF(C96&gt;=200%,C95*60%-C86*35%,IF(C96&gt;=100%,C95*50%-C86*15%,IF(C96&gt;=50%,C95*40%-C86*5%,IF(C96&lt;50%,C95*30%,0))))),0)</f>
        <v>33944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5" t="str">
        <f>C4</f>
        <v>成本法</v>
      </c>
      <c r="D101" s="2586" t="str">
        <f>D4</f>
        <v>假设开发法</v>
      </c>
      <c r="E101" s="3556" t="s">
        <v>1431</v>
      </c>
      <c r="F101" s="3557"/>
      <c r="G101" s="1827" t="s">
        <v>1432</v>
      </c>
      <c r="H101" s="2595">
        <f ca="1">H118</f>
        <v>59875</v>
      </c>
      <c r="I101" s="129"/>
    </row>
    <row r="102" spans="1:35" ht="18.75" customHeight="1">
      <c r="A102" s="3588" t="s">
        <v>1433</v>
      </c>
      <c r="B102" s="2584" t="s">
        <v>1432</v>
      </c>
      <c r="C102" s="2585">
        <f ca="1">IF(D32="楼面单价",ROUND(C19,0),C19)</f>
        <v>83609</v>
      </c>
      <c r="D102" s="2586">
        <f ca="1">IF(D32="楼面单价",ROUND(D19,0),D19)</f>
        <v>36140</v>
      </c>
      <c r="E102" s="3556"/>
      <c r="F102" s="3557"/>
      <c r="G102" s="1827" t="s">
        <v>1434</v>
      </c>
      <c r="H102" s="2555">
        <f ca="1">I118</f>
        <v>2360</v>
      </c>
      <c r="I102" s="129"/>
    </row>
    <row r="103" spans="1:35" ht="42.75" customHeight="1">
      <c r="A103" s="3588"/>
      <c r="B103" s="2584" t="s">
        <v>1434</v>
      </c>
      <c r="C103" s="2587">
        <f ca="1">C20</f>
        <v>3295</v>
      </c>
      <c r="D103" s="2588">
        <f ca="1">D20</f>
        <v>1424</v>
      </c>
      <c r="E103" s="3549" t="s">
        <v>1435</v>
      </c>
      <c r="F103" s="3550"/>
      <c r="G103" s="1828" t="s">
        <v>1436</v>
      </c>
      <c r="H103" s="2595">
        <f>IF(D36="正常操作",H104+H105+H106,H105+H106)</f>
        <v>0</v>
      </c>
      <c r="I103" s="129"/>
    </row>
    <row r="104" spans="1:35" ht="18.75" customHeight="1">
      <c r="A104" s="3588" t="s">
        <v>1437</v>
      </c>
      <c r="B104" s="2589" t="s">
        <v>1432</v>
      </c>
      <c r="C104" s="2590">
        <f ca="1">H118</f>
        <v>59875</v>
      </c>
      <c r="D104" s="2591"/>
      <c r="E104" s="1674" t="s">
        <v>1438</v>
      </c>
      <c r="F104" s="1666"/>
      <c r="G104" s="1828" t="s">
        <v>1436</v>
      </c>
      <c r="H104" s="2596">
        <f>IF(D36="同一抵押权人同一抵押物续贷",C36&amp;"（续贷，未扣减，详见特别提示）",C36)</f>
        <v>0</v>
      </c>
      <c r="I104" s="129"/>
    </row>
    <row r="105" spans="1:35" ht="18.75" customHeight="1" thickBot="1">
      <c r="A105" s="3598"/>
      <c r="B105" s="2592" t="s">
        <v>1434</v>
      </c>
      <c r="C105" s="2593">
        <f ca="1">I118</f>
        <v>2360</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9" t="str">
        <f>IF(项目基本情况!E8="已注销","——","3.房地产抵押价值")</f>
        <v>3.房地产抵押价值</v>
      </c>
      <c r="F107" s="3557"/>
      <c r="G107" s="1827" t="s">
        <v>1432</v>
      </c>
      <c r="H107" s="2595">
        <f ca="1">IF(E107="——","——",H101-H103)</f>
        <v>59875</v>
      </c>
      <c r="I107" s="129"/>
    </row>
    <row r="108" spans="1:35" ht="18.75" customHeight="1">
      <c r="A108" s="129"/>
      <c r="B108" s="129"/>
      <c r="C108" s="129"/>
      <c r="D108" s="129"/>
      <c r="E108" s="3589"/>
      <c r="F108" s="3557"/>
      <c r="G108" s="1827" t="s">
        <v>1434</v>
      </c>
      <c r="H108" s="2555">
        <f ca="1">IF(H107=H101,H102,ROUND(H107*10000/'数据-汇总表'!E3,0))</f>
        <v>2360</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7" t="s">
        <v>1432</v>
      </c>
      <c r="H109" s="2598" t="str">
        <f>IF(E109="——","——",H101-H105-H106)</f>
        <v>——</v>
      </c>
      <c r="I109" s="129"/>
    </row>
    <row r="110" spans="1:35" ht="18.75" customHeight="1">
      <c r="A110" s="129"/>
      <c r="B110" s="129"/>
      <c r="C110" s="129"/>
      <c r="D110" s="129"/>
      <c r="E110" s="3589"/>
      <c r="F110" s="3557"/>
      <c r="G110" s="1827" t="s">
        <v>1434</v>
      </c>
      <c r="H110" s="2555"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v>
      </c>
      <c r="F111" s="3576"/>
      <c r="G111" s="1827" t="s">
        <v>1432</v>
      </c>
      <c r="H111" s="2595" t="str">
        <f>IF(E111="——","——",N59)</f>
        <v>——</v>
      </c>
      <c r="I111" s="129"/>
    </row>
    <row r="112" spans="1:35" ht="18.75" customHeight="1" thickBot="1">
      <c r="A112" s="129"/>
      <c r="B112" s="129"/>
      <c r="C112" s="129"/>
      <c r="D112" s="129"/>
      <c r="E112" s="3591"/>
      <c r="F112" s="3592"/>
      <c r="G112" s="1830" t="s">
        <v>1434</v>
      </c>
      <c r="H112" s="2599"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9" t="s">
        <v>1449</v>
      </c>
      <c r="E117" s="2329" t="s">
        <v>1450</v>
      </c>
      <c r="F117" s="2329" t="s">
        <v>1449</v>
      </c>
      <c r="G117" s="2329" t="s">
        <v>1451</v>
      </c>
      <c r="H117" s="2329" t="s">
        <v>1449</v>
      </c>
      <c r="I117" s="2329" t="s">
        <v>1451</v>
      </c>
    </row>
    <row r="118" spans="1:27" ht="24.75" customHeight="1">
      <c r="A118" s="2600" t="str">
        <f>项目基本情况!S2</f>
        <v>四川省绵阳市江油市工业用房出让国有建设用地使用权及在建建筑物房地产</v>
      </c>
      <c r="B118" s="2329">
        <f>M18</f>
        <v>253739.7</v>
      </c>
      <c r="C118" s="2329">
        <f>M19</f>
        <v>368153.3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59875</v>
      </c>
      <c r="I118" s="2329">
        <f ca="1">ROUND(IF(D32="楼面单价",C32,H118*10000/B118),0)</f>
        <v>2360</v>
      </c>
    </row>
    <row r="119" spans="1:27" ht="18.75" customHeight="1">
      <c r="A119" s="3564" t="s">
        <v>1452</v>
      </c>
      <c r="B119" s="3564"/>
      <c r="C119" s="3564"/>
      <c r="D119" s="3570" t="e">
        <f ca="1">NUMBERSTRING(INT(D118*10000),2)&amp;"元整"</f>
        <v>#REF!</v>
      </c>
      <c r="E119" s="3571"/>
      <c r="F119" s="3570" t="e">
        <f ca="1">NUMBERSTRING(INT(F118*10000),2)&amp;"元整"</f>
        <v>#REF!</v>
      </c>
      <c r="G119" s="3571"/>
      <c r="H119" s="3570" t="str">
        <f ca="1">NUMBERSTRING(INT(H118*10000),2)&amp;"元整"</f>
        <v>伍亿玖仟捌佰柒拾伍万元整</v>
      </c>
      <c r="I119" s="3571"/>
    </row>
    <row r="120" spans="1:27" ht="18.75" customHeight="1">
      <c r="A120" s="3565" t="str">
        <f>IF(项目基本情况!B9="房地产市场价值","",MID(E103,3,LEN(E103)-2))</f>
        <v/>
      </c>
      <c r="B120" s="3566"/>
      <c r="C120" s="3567"/>
      <c r="D120" s="3565">
        <f>H103</f>
        <v>0</v>
      </c>
      <c r="E120" s="3566"/>
      <c r="F120" s="3566"/>
      <c r="G120" s="3566"/>
      <c r="H120" s="3566"/>
      <c r="I120" s="3567"/>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570" t="s">
        <v>1452</v>
      </c>
      <c r="B121" s="3572"/>
      <c r="C121" s="3571"/>
      <c r="D121" s="3570" t="str">
        <f>IF(D120=0,"零元整",NUMBERSTRING(INT(D120*10000),2)&amp;"元整")</f>
        <v>零元整</v>
      </c>
      <c r="E121" s="3572"/>
      <c r="F121" s="3572"/>
      <c r="G121" s="3572"/>
      <c r="H121" s="3572"/>
      <c r="I121" s="3571"/>
      <c r="AA121" s="725"/>
    </row>
    <row r="122" spans="1:27" ht="18.75" customHeight="1">
      <c r="A122" s="3576" t="str">
        <f>IF(项目基本情况!B9="房地产市场价值","",MID(E107,3,LEN(E107)-2))</f>
        <v/>
      </c>
      <c r="B122" s="3576"/>
      <c r="C122" s="3576"/>
      <c r="D122" s="3565">
        <f ca="1">H107</f>
        <v>59875</v>
      </c>
      <c r="E122" s="3566"/>
      <c r="F122" s="3566"/>
      <c r="G122" s="3566"/>
      <c r="H122" s="3566"/>
      <c r="I122" s="3567"/>
      <c r="AA122" s="725"/>
    </row>
    <row r="123" spans="1:27" ht="18.75" customHeight="1">
      <c r="A123" s="3564" t="s">
        <v>1452</v>
      </c>
      <c r="B123" s="3564"/>
      <c r="C123" s="3564"/>
      <c r="D123" s="3570" t="str">
        <f ca="1">NUMBERSTRING(INT(D122*10000),2)&amp;"元整"</f>
        <v>伍亿玖仟捌佰柒拾伍万元整</v>
      </c>
      <c r="E123" s="3572"/>
      <c r="F123" s="3572"/>
      <c r="G123" s="3572"/>
      <c r="H123" s="3572"/>
      <c r="I123" s="3571"/>
      <c r="AA123" s="725"/>
    </row>
    <row r="124" spans="1:27" ht="18.75" customHeight="1">
      <c r="A124" s="3576" t="str">
        <f>IF(项目基本情况!B9="房地产市场价值","",MID(E109,3,LEN(E109)-2))</f>
        <v/>
      </c>
      <c r="B124" s="3576"/>
      <c r="C124" s="3576"/>
      <c r="D124" s="3565" t="str">
        <f>H109</f>
        <v>——</v>
      </c>
      <c r="E124" s="3566"/>
      <c r="F124" s="3566"/>
      <c r="G124" s="3566"/>
      <c r="H124" s="3566"/>
      <c r="I124" s="3567"/>
      <c r="AA124" s="725"/>
    </row>
    <row r="125" spans="1:27" ht="18.75" customHeight="1">
      <c r="A125" s="3564" t="s">
        <v>1452</v>
      </c>
      <c r="B125" s="3564"/>
      <c r="C125" s="3564"/>
      <c r="D125" s="3570" t="e">
        <f>NUMBERSTRING(INT(D124*10000),2)&amp;"元整"</f>
        <v>#VALUE!</v>
      </c>
      <c r="E125" s="3572"/>
      <c r="F125" s="3572"/>
      <c r="G125" s="3572"/>
      <c r="H125" s="3572"/>
      <c r="I125" s="3571"/>
      <c r="AA125" s="725"/>
    </row>
    <row r="126" spans="1:27" ht="18.75" customHeight="1">
      <c r="A126" s="3576" t="str">
        <f>IF(项目基本情况!B9="房地产市场价值","",MID(E111,3,LEN(E111)-2))</f>
        <v/>
      </c>
      <c r="B126" s="3576"/>
      <c r="C126" s="3576"/>
      <c r="D126" s="3565" t="str">
        <f>H111</f>
        <v>——</v>
      </c>
      <c r="E126" s="3566"/>
      <c r="F126" s="3566"/>
      <c r="G126" s="3566"/>
      <c r="H126" s="3566"/>
      <c r="I126" s="3567"/>
      <c r="AA126" s="725"/>
    </row>
    <row r="127" spans="1:27" ht="18.75" customHeight="1">
      <c r="A127" s="3564" t="s">
        <v>1452</v>
      </c>
      <c r="B127" s="3564"/>
      <c r="C127" s="3564"/>
      <c r="D127" s="3570" t="e">
        <f>NUMBERSTRING(INT(D126*10000),2)&amp;"元整"</f>
        <v>#VALUE!</v>
      </c>
      <c r="E127" s="3572"/>
      <c r="F127" s="3572"/>
      <c r="G127" s="3572"/>
      <c r="H127" s="3572"/>
      <c r="I127" s="3571"/>
      <c r="AA127" s="725"/>
    </row>
    <row r="128" spans="1:27" ht="21.75" customHeight="1">
      <c r="A128" s="3573" t="s">
        <v>1453</v>
      </c>
      <c r="B128" s="3573"/>
      <c r="C128" s="3573"/>
      <c r="D128" s="3573"/>
      <c r="E128" s="3573"/>
      <c r="F128" s="3573"/>
      <c r="G128" s="3573"/>
      <c r="H128" s="3573"/>
      <c r="I128" s="357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topLeftCell="A19" zoomScale="90" zoomScaleNormal="70" zoomScaleSheetLayoutView="90" workbookViewId="0">
      <selection activeCell="I29" sqref="I29"/>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83609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3295</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5539</v>
      </c>
      <c r="D5" s="211" t="s">
        <v>1469</v>
      </c>
      <c r="E5" s="212" t="s">
        <v>1470</v>
      </c>
      <c r="F5" s="212" t="s">
        <v>1471</v>
      </c>
      <c r="G5" s="213"/>
    </row>
    <row r="6" spans="1:9" s="214" customFormat="1" ht="13.5" customHeight="1">
      <c r="A6" s="778" t="s">
        <v>1472</v>
      </c>
      <c r="B6" s="215" t="s">
        <v>1473</v>
      </c>
      <c r="C6" s="216">
        <f>'土地比较法-工业'!B2</f>
        <v>5375</v>
      </c>
      <c r="D6" s="217"/>
      <c r="E6" s="218"/>
      <c r="F6" s="218"/>
      <c r="G6" s="219"/>
    </row>
    <row r="7" spans="1:9" s="214" customFormat="1" ht="13.5" customHeight="1">
      <c r="A7" s="778" t="s">
        <v>1474</v>
      </c>
      <c r="B7" s="215" t="s">
        <v>1475</v>
      </c>
      <c r="C7" s="220">
        <f>ROUND(C6*F7,0)</f>
        <v>164</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3606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253739.7</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253739.7</v>
      </c>
      <c r="E19" s="211">
        <f>'数据-取费表'!B31</f>
        <v>150</v>
      </c>
      <c r="F19" s="231"/>
      <c r="G19" s="1856" t="s">
        <v>3607</v>
      </c>
    </row>
    <row r="20" spans="1:7" s="214" customFormat="1" ht="13.5" customHeight="1">
      <c r="A20" s="255" t="s">
        <v>1493</v>
      </c>
      <c r="B20" s="210" t="s">
        <v>1494</v>
      </c>
      <c r="C20" s="232">
        <f>ROUND((C5+C19)*F20,0)</f>
        <v>111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361</v>
      </c>
      <c r="D22" s="235">
        <f ca="1">C26</f>
        <v>5.9999999999999995E-4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357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6.4">
      <c r="A27" s="255" t="s">
        <v>1512</v>
      </c>
      <c r="B27" s="244" t="s">
        <v>1513</v>
      </c>
      <c r="C27" s="245">
        <f ca="1">C28</f>
        <v>260</v>
      </c>
      <c r="D27" s="235">
        <f ca="1">C29</f>
        <v>8.9999999999999998E-4</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260</v>
      </c>
      <c r="D28" s="235"/>
      <c r="E28" s="236"/>
      <c r="F28" s="246"/>
      <c r="G28" s="247"/>
    </row>
    <row r="29" spans="1:7" s="214" customFormat="1" ht="13.5" customHeight="1">
      <c r="A29" s="780" t="s">
        <v>347</v>
      </c>
      <c r="B29" s="248" t="s">
        <v>1517</v>
      </c>
      <c r="C29" s="238">
        <f ca="1">ROUND(C21*F27*'数据-取费表'!B21/'数据-取费表'!B20,4)</f>
        <v>8.9999999999999998E-4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6771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64488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58360</v>
      </c>
      <c r="D34" s="217"/>
      <c r="E34" s="220"/>
      <c r="F34" s="257">
        <f ca="1">IF('数据-取费表'!B24=0,1,IF(B1="",'数据-取费表'!N16,INDIRECT("'数据-取费表'!n"&amp;$G$1)))</f>
        <v>0.92</v>
      </c>
      <c r="G34" s="219" t="s">
        <v>1526</v>
      </c>
    </row>
    <row r="35" spans="1:7" ht="13.5" customHeight="1">
      <c r="A35" s="780" t="s">
        <v>351</v>
      </c>
      <c r="B35" s="215" t="s">
        <v>1527</v>
      </c>
      <c r="C35" s="220">
        <f ca="1">ROUND(C34*F35,0)</f>
        <v>1751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3502</v>
      </c>
      <c r="D37" s="217">
        <f ca="1">D19</f>
        <v>253739.7</v>
      </c>
      <c r="E37" s="249">
        <f>'数据-取费表'!B35</f>
        <v>150</v>
      </c>
      <c r="F37" s="259"/>
      <c r="G37" s="261" t="s">
        <v>1532</v>
      </c>
    </row>
    <row r="38" spans="1:7" ht="13.5" customHeight="1">
      <c r="A38" s="780" t="s">
        <v>354</v>
      </c>
      <c r="B38" s="215" t="s">
        <v>1533</v>
      </c>
      <c r="C38" s="220">
        <f ca="1">ROUND(C34*F38,0)</f>
        <v>875</v>
      </c>
      <c r="D38" s="220"/>
      <c r="E38" s="220"/>
      <c r="F38" s="259">
        <f>'数据-取费表'!B36</f>
        <v>1.4999999999999999E-2</v>
      </c>
      <c r="G38" s="219" t="s">
        <v>1528</v>
      </c>
    </row>
    <row r="39" spans="1:7" s="214" customFormat="1" ht="13.5" customHeight="1">
      <c r="A39" s="255" t="s">
        <v>1534</v>
      </c>
      <c r="B39" s="210" t="s">
        <v>1535</v>
      </c>
      <c r="C39" s="232">
        <f ca="1">ROUND(C33*F20,0)</f>
        <v>1290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2085</v>
      </c>
      <c r="D41" s="235">
        <f ca="1">C44</f>
        <v>5.9999999999999995E-4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2044</v>
      </c>
      <c r="D42" s="238"/>
      <c r="E42" s="238"/>
      <c r="F42" s="239"/>
      <c r="G42" s="3643" t="s">
        <v>1544</v>
      </c>
    </row>
    <row r="43" spans="1:7" ht="13.5" customHeight="1">
      <c r="A43" s="780" t="s">
        <v>347</v>
      </c>
      <c r="B43" s="215" t="s">
        <v>1545</v>
      </c>
      <c r="C43" s="238">
        <f ca="1">ROUND(IF('数据-取费表'!B22&lt;=1,C39*F22*'数据-取费表'!B21/2,C39*(POWER((1+F22),'数据-取费表'!B21/2)-1)),0)</f>
        <v>41</v>
      </c>
      <c r="D43" s="238"/>
      <c r="E43" s="238"/>
      <c r="F43" s="239"/>
      <c r="G43" s="3644"/>
    </row>
    <row r="44" spans="1:7" ht="13.5" customHeight="1">
      <c r="A44" s="780" t="s">
        <v>348</v>
      </c>
      <c r="B44" s="215" t="s">
        <v>1546</v>
      </c>
      <c r="C44" s="238">
        <f ca="1">ROUND(IF('数据-取费表'!B22&lt;=1,C40*F22*'数据-取费表'!B21/2,C40*(POWER((1+F22),'数据-取费表'!B21/2)-1)),4)</f>
        <v>5.9999999999999995E-4</v>
      </c>
      <c r="D44" s="238"/>
      <c r="E44" s="238"/>
      <c r="F44" s="239"/>
      <c r="G44" s="3645"/>
    </row>
    <row r="45" spans="1:7" s="214" customFormat="1" ht="13.5" customHeight="1">
      <c r="A45" s="255" t="s">
        <v>1547</v>
      </c>
      <c r="B45" s="244" t="s">
        <v>1513</v>
      </c>
      <c r="C45" s="245">
        <f ca="1">C46</f>
        <v>3289</v>
      </c>
      <c r="D45" s="235">
        <f ca="1">C47</f>
        <v>1E-3</v>
      </c>
      <c r="E45" s="236" t="s">
        <v>1539</v>
      </c>
      <c r="F45" s="246">
        <f ca="1">F27</f>
        <v>0.05</v>
      </c>
      <c r="G45" s="247" t="s">
        <v>1548</v>
      </c>
    </row>
    <row r="46" spans="1:7" s="214" customFormat="1" ht="13.5" customHeight="1">
      <c r="A46" s="780" t="s">
        <v>346</v>
      </c>
      <c r="B46" s="248" t="s">
        <v>1549</v>
      </c>
      <c r="C46" s="249">
        <f ca="1">ROUND((C33+C39)*F27,0)</f>
        <v>3289</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76838</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76838</v>
      </c>
      <c r="D51" s="232"/>
      <c r="E51" s="232"/>
      <c r="F51" s="264"/>
      <c r="G51" s="234" t="s">
        <v>1560</v>
      </c>
    </row>
    <row r="52" spans="1:7" s="208" customFormat="1" ht="16.8" thickBot="1">
      <c r="A52" s="265" t="s">
        <v>1561</v>
      </c>
      <c r="B52" s="266"/>
      <c r="C52" s="267">
        <f ca="1">C31+C51</f>
        <v>83609</v>
      </c>
      <c r="D52" s="266"/>
      <c r="E52" s="266"/>
      <c r="F52" s="266"/>
      <c r="G52" s="268"/>
    </row>
    <row r="55" spans="1:7" ht="15">
      <c r="B55" s="270" t="s">
        <v>1562</v>
      </c>
      <c r="C55" s="271"/>
    </row>
    <row r="56" spans="1:7">
      <c r="B56" s="273" t="s">
        <v>802</v>
      </c>
      <c r="C56" s="275">
        <f ca="1">1-C57</f>
        <v>8.0999999999999961E-2</v>
      </c>
    </row>
    <row r="57" spans="1:7">
      <c r="B57" s="273" t="s">
        <v>803</v>
      </c>
      <c r="C57" s="274">
        <f ca="1">ROUND(C51/C52,3)</f>
        <v>0.91900000000000004</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0" t="str">
        <f>项目基本情况!B1</f>
        <v>四川省绵阳市江油市工业用房出让国有建设用地使用权及在建建筑物房地产市场价值预评估</v>
      </c>
      <c r="C37" s="3460"/>
      <c r="D37" s="3460"/>
      <c r="E37" s="3460"/>
      <c r="F37" s="3460"/>
      <c r="G37" s="3460"/>
      <c r="H37" s="3460"/>
      <c r="I37" s="346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88438.436600000001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3485</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253739.7</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38060955</v>
      </c>
      <c r="D19" s="849">
        <f ca="1">D9+D10</f>
        <v>253739.7</v>
      </c>
      <c r="E19" s="211">
        <f>'数据-取费表'!B31</f>
        <v>150</v>
      </c>
      <c r="F19" s="231"/>
      <c r="G19" s="1856"/>
    </row>
    <row r="20" spans="1:7" s="214" customFormat="1" ht="13.5" customHeight="1">
      <c r="A20" s="255" t="s">
        <v>1574</v>
      </c>
      <c r="B20" s="210" t="s">
        <v>1575</v>
      </c>
      <c r="C20" s="232">
        <f ca="1">ROUND((C5+C19)*F20,0)</f>
        <v>761219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2697770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2671508</v>
      </c>
      <c r="D24" s="238"/>
      <c r="E24" s="238"/>
      <c r="F24" s="239"/>
      <c r="G24" s="240" t="s">
        <v>1586</v>
      </c>
    </row>
    <row r="25" spans="1:7" s="214" customFormat="1" ht="24">
      <c r="A25" s="780" t="s">
        <v>1476</v>
      </c>
      <c r="B25" s="215" t="s">
        <v>1587</v>
      </c>
      <c r="C25" s="1128">
        <f ca="1">ROUND(IF('数据-取费表'!B22&lt;=1,C20*F22*'数据-取费表'!B22/2,C20*(POWER((1+F22),'数据-取费表'!B22/2)-1)),0)</f>
        <v>26262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1941109</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1941109</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46939252</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700955922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634349250</v>
      </c>
      <c r="D34" s="217"/>
      <c r="E34" s="220"/>
      <c r="F34" s="257"/>
      <c r="G34" s="219"/>
    </row>
    <row r="35" spans="1:7" ht="13.5" customHeight="1">
      <c r="A35" s="780" t="s">
        <v>351</v>
      </c>
      <c r="B35" s="215" t="s">
        <v>1527</v>
      </c>
      <c r="C35" s="220">
        <f ca="1">ROUND(C34*F35,0)</f>
        <v>19030478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38060955</v>
      </c>
      <c r="D37" s="217">
        <f ca="1">D19</f>
        <v>253739.7</v>
      </c>
      <c r="E37" s="249">
        <f>'数据-取费表'!B35</f>
        <v>150</v>
      </c>
      <c r="F37" s="259"/>
      <c r="G37" s="261"/>
    </row>
    <row r="38" spans="1:7" ht="13.5" customHeight="1">
      <c r="A38" s="780" t="s">
        <v>354</v>
      </c>
      <c r="B38" s="215" t="s">
        <v>1533</v>
      </c>
      <c r="C38" s="220">
        <f ca="1">ROUND(C34*F38,0)</f>
        <v>9515239</v>
      </c>
      <c r="D38" s="220"/>
      <c r="E38" s="220"/>
      <c r="F38" s="259">
        <f>'数据-取费表'!B36</f>
        <v>1.4999999999999999E-2</v>
      </c>
      <c r="G38" s="219" t="s">
        <v>1528</v>
      </c>
    </row>
    <row r="39" spans="1:7" s="214" customFormat="1" ht="13.5" customHeight="1">
      <c r="A39" s="255" t="s">
        <v>1534</v>
      </c>
      <c r="B39" s="210" t="s">
        <v>1535</v>
      </c>
      <c r="C39" s="232">
        <f ca="1">ROUND(C33*F20,0)</f>
        <v>14019118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24666639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24182979</v>
      </c>
      <c r="D42" s="238"/>
      <c r="E42" s="238"/>
      <c r="F42" s="239"/>
      <c r="G42" s="3643" t="s">
        <v>1591</v>
      </c>
    </row>
    <row r="43" spans="1:7" ht="13.5" customHeight="1">
      <c r="A43" s="780" t="s">
        <v>347</v>
      </c>
      <c r="B43" s="215" t="s">
        <v>1545</v>
      </c>
      <c r="C43" s="238">
        <f ca="1">ROUND(IF('数据-取费表'!B22&lt;=1,C39*F22*'数据-取费表'!B20/2,C39*(POWER((1+F22),'数据-取费表'!B20/2)-1)),0)</f>
        <v>483660</v>
      </c>
      <c r="D43" s="238"/>
      <c r="E43" s="238"/>
      <c r="F43" s="239"/>
      <c r="G43" s="3644"/>
    </row>
    <row r="44" spans="1:7" ht="13.5" customHeight="1">
      <c r="A44" s="780" t="s">
        <v>348</v>
      </c>
      <c r="B44" s="215" t="s">
        <v>1546</v>
      </c>
      <c r="C44" s="238">
        <f ca="1">ROUND(IF('数据-取费表'!B22&lt;=1,C40*F22*'数据-取费表'!B20/2,C40*(POWER((1+F22),'数据-取费表'!B20/2)-1)),4)</f>
        <v>6.9999999999999999E-4</v>
      </c>
      <c r="D44" s="238"/>
      <c r="E44" s="238"/>
      <c r="F44" s="239"/>
      <c r="G44" s="3645"/>
    </row>
    <row r="45" spans="1:7" s="214" customFormat="1" ht="13.5" customHeight="1">
      <c r="A45" s="255" t="s">
        <v>1547</v>
      </c>
      <c r="B45" s="244" t="s">
        <v>1513</v>
      </c>
      <c r="C45" s="245">
        <f ca="1">C46</f>
        <v>35748752</v>
      </c>
      <c r="D45" s="235">
        <f ca="1">C47</f>
        <v>1E-3</v>
      </c>
      <c r="E45" s="236" t="s">
        <v>1539</v>
      </c>
      <c r="F45" s="246">
        <f ca="1">F27</f>
        <v>0.05</v>
      </c>
      <c r="G45" s="247" t="s">
        <v>1548</v>
      </c>
    </row>
    <row r="46" spans="1:7" s="214" customFormat="1" ht="13.5" customHeight="1">
      <c r="A46" s="780" t="s">
        <v>346</v>
      </c>
      <c r="B46" s="248" t="s">
        <v>1549</v>
      </c>
      <c r="C46" s="249">
        <f ca="1">ROUND((C33+C39)*F27,0)</f>
        <v>35748752</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837445114</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837445114</v>
      </c>
      <c r="D51" s="232"/>
      <c r="E51" s="232"/>
      <c r="F51" s="264"/>
      <c r="G51" s="234" t="s">
        <v>1560</v>
      </c>
    </row>
    <row r="52" spans="1:7" s="208" customFormat="1" ht="16.8" thickBot="1">
      <c r="A52" s="265" t="s">
        <v>1561</v>
      </c>
      <c r="B52" s="266"/>
      <c r="C52" s="267">
        <f ca="1">C31+C51</f>
        <v>884384366</v>
      </c>
      <c r="D52" s="266"/>
      <c r="E52" s="266"/>
      <c r="F52" s="266"/>
      <c r="G52" s="268"/>
    </row>
    <row r="55" spans="1:7" ht="15">
      <c r="B55" s="270" t="s">
        <v>1562</v>
      </c>
      <c r="C55" s="271"/>
    </row>
    <row r="56" spans="1:7">
      <c r="B56" s="273" t="s">
        <v>802</v>
      </c>
      <c r="C56" s="275">
        <f ca="1">1-C57</f>
        <v>5.3000000000000047E-2</v>
      </c>
    </row>
    <row r="57" spans="1:7">
      <c r="B57" s="273" t="s">
        <v>803</v>
      </c>
      <c r="C57" s="274">
        <f ca="1">ROUND(C51/C52,3)</f>
        <v>0.94699999999999995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1" zoomScale="80" zoomScaleNormal="60" zoomScaleSheetLayoutView="80" workbookViewId="0">
      <selection activeCell="N58" sqref="N58"/>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f>F61</f>
        <v>5375</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ROUND(IF(D3="",B2*10000/'数据-汇总表'!E3,B2*10000/D3),0)</f>
        <v>212</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61" t="s">
        <v>1770</v>
      </c>
      <c r="D4" s="3662"/>
      <c r="E4" s="3663" t="s">
        <v>1771</v>
      </c>
      <c r="F4" s="3664"/>
      <c r="G4" s="3661" t="s">
        <v>1772</v>
      </c>
      <c r="H4" s="3662"/>
      <c r="I4" s="3661" t="s">
        <v>1773</v>
      </c>
      <c r="J4" s="3662"/>
      <c r="K4" s="559" t="s">
        <v>1774</v>
      </c>
      <c r="L4" s="2714"/>
      <c r="M4" s="2715"/>
      <c r="N4" s="2715"/>
      <c r="O4" s="2715"/>
      <c r="P4" s="3665" t="s">
        <v>1775</v>
      </c>
      <c r="Q4" s="3666"/>
      <c r="R4" s="3675" t="s">
        <v>1771</v>
      </c>
      <c r="S4" s="3676"/>
      <c r="T4" s="3675" t="s">
        <v>1772</v>
      </c>
      <c r="U4" s="3676"/>
      <c r="V4" s="3653" t="s">
        <v>1773</v>
      </c>
      <c r="W4" s="3653"/>
      <c r="X4" s="1355"/>
      <c r="Y4" s="3675" t="s">
        <v>1775</v>
      </c>
      <c r="Z4" s="3676"/>
      <c r="AA4" s="3658" t="s">
        <v>1771</v>
      </c>
      <c r="AB4" s="3659" t="s">
        <v>1772</v>
      </c>
      <c r="AC4" s="3658" t="s">
        <v>1773</v>
      </c>
    </row>
    <row r="5" spans="1:29">
      <c r="A5" s="358"/>
      <c r="B5" s="359"/>
      <c r="C5" s="3679" t="s">
        <v>1673</v>
      </c>
      <c r="D5" s="3680"/>
      <c r="E5" s="3671" t="s">
        <v>1674</v>
      </c>
      <c r="F5" s="3672"/>
      <c r="G5" s="3679" t="s">
        <v>1675</v>
      </c>
      <c r="H5" s="3680"/>
      <c r="I5" s="3679" t="s">
        <v>1676</v>
      </c>
      <c r="J5" s="3680"/>
      <c r="K5" s="559"/>
      <c r="L5" s="2714"/>
      <c r="M5" s="2715"/>
      <c r="N5" s="2715"/>
      <c r="O5" s="2715"/>
      <c r="P5" s="3667"/>
      <c r="Q5" s="3668"/>
      <c r="R5" s="3677"/>
      <c r="S5" s="3678"/>
      <c r="T5" s="3677"/>
      <c r="U5" s="3678"/>
      <c r="V5" s="3653"/>
      <c r="W5" s="3653"/>
      <c r="X5" s="1355"/>
      <c r="Y5" s="3677"/>
      <c r="Z5" s="3678"/>
      <c r="AA5" s="3659"/>
      <c r="AB5" s="3659"/>
      <c r="AC5" s="3659"/>
    </row>
    <row r="6" spans="1:29" ht="15" thickBot="1">
      <c r="A6" s="360"/>
      <c r="B6" s="361"/>
      <c r="C6" s="3681" t="s">
        <v>1919</v>
      </c>
      <c r="D6" s="3682"/>
      <c r="E6" s="3684" t="s">
        <v>1919</v>
      </c>
      <c r="F6" s="3685"/>
      <c r="G6" s="3681" t="s">
        <v>1919</v>
      </c>
      <c r="H6" s="3682"/>
      <c r="I6" s="3681" t="s">
        <v>1919</v>
      </c>
      <c r="J6" s="3682"/>
      <c r="K6" s="559" t="s">
        <v>1678</v>
      </c>
      <c r="L6" s="2714"/>
      <c r="M6" s="2715"/>
      <c r="N6" s="2715"/>
      <c r="O6" s="2715"/>
      <c r="P6" s="3669"/>
      <c r="Q6" s="3670"/>
      <c r="R6" s="3677"/>
      <c r="S6" s="3678"/>
      <c r="T6" s="3686"/>
      <c r="U6" s="3687"/>
      <c r="V6" s="3653"/>
      <c r="W6" s="3653"/>
      <c r="X6" s="1355"/>
      <c r="Y6" s="3686"/>
      <c r="Z6" s="3687"/>
      <c r="AA6" s="3660"/>
      <c r="AB6" s="3660"/>
      <c r="AC6" s="3660"/>
    </row>
    <row r="7" spans="1:29" s="108" customFormat="1" ht="15" thickBot="1">
      <c r="A7" s="362" t="s">
        <v>1679</v>
      </c>
      <c r="B7" s="363"/>
      <c r="C7" s="364">
        <f>'数据-取费表'!B2</f>
        <v>45274</v>
      </c>
      <c r="D7" s="365">
        <v>100</v>
      </c>
      <c r="E7" s="366">
        <f>土地案例!L4</f>
        <v>45134.000497685185</v>
      </c>
      <c r="F7" s="367">
        <f>SUMIF(65:65,YEAR(E7)&amp;"-"&amp;INT((MONTH(E7)+2)/3),66:66)</f>
        <v>99.8</v>
      </c>
      <c r="G7" s="1974">
        <f>土地案例!L6</f>
        <v>45134.000497685185</v>
      </c>
      <c r="H7" s="365">
        <f>SUMIF(65:65,YEAR(G7)&amp;"-"&amp;INT((MONTH(G7)+2)/3),66:66)</f>
        <v>99.8</v>
      </c>
      <c r="I7" s="1974">
        <f>土地案例!L29</f>
        <v>44502.000497685185</v>
      </c>
      <c r="J7" s="365">
        <f>SUMIF(65:65,YEAR(I7)&amp;"-"&amp;INT((MONTH(I7)+2)/3),66:66)</f>
        <v>98.399999999999977</v>
      </c>
      <c r="K7" s="560"/>
      <c r="L7" s="2716"/>
      <c r="M7" s="2717"/>
      <c r="N7" s="2717"/>
      <c r="O7" s="2717"/>
      <c r="P7" s="3651" t="s">
        <v>1680</v>
      </c>
      <c r="Q7" s="3683"/>
      <c r="R7" s="701" t="s">
        <v>14</v>
      </c>
      <c r="S7" s="702">
        <f t="shared" ref="S7:S15" si="0">F7</f>
        <v>99.8</v>
      </c>
      <c r="T7" s="701" t="s">
        <v>14</v>
      </c>
      <c r="U7" s="702">
        <f t="shared" ref="U7:U15" si="1">H7</f>
        <v>99.8</v>
      </c>
      <c r="V7" s="701" t="s">
        <v>14</v>
      </c>
      <c r="W7" s="702">
        <f t="shared" ref="W7:W15" si="2">J7</f>
        <v>98.399999999999977</v>
      </c>
      <c r="X7" s="703"/>
      <c r="Y7" s="3651" t="s">
        <v>1680</v>
      </c>
      <c r="Z7" s="3652"/>
      <c r="AA7" s="704">
        <f>D7/F7</f>
        <v>1.0020040080160322</v>
      </c>
      <c r="AB7" s="704">
        <f>D7/H7</f>
        <v>1.0020040080160322</v>
      </c>
      <c r="AC7" s="704">
        <f>D7/J7</f>
        <v>1.0162601626016263</v>
      </c>
    </row>
    <row r="8" spans="1:29" s="108" customFormat="1" ht="15" thickBot="1">
      <c r="A8" s="362" t="s">
        <v>1681</v>
      </c>
      <c r="B8" s="363"/>
      <c r="C8" s="368" t="s">
        <v>1682</v>
      </c>
      <c r="D8" s="365">
        <v>100</v>
      </c>
      <c r="E8" s="368" t="s">
        <v>1682</v>
      </c>
      <c r="F8" s="367">
        <f>SUMIF(68:68,E8,69:69)-SUMIF(68:68,C8,69:69)+100</f>
        <v>100</v>
      </c>
      <c r="G8" s="368" t="s">
        <v>1682</v>
      </c>
      <c r="H8" s="365">
        <f>SUMIF(68:68,G8,69:69)-SUMIF(68:68,C8,69:69)+100</f>
        <v>100</v>
      </c>
      <c r="I8" s="368" t="s">
        <v>1682</v>
      </c>
      <c r="J8" s="365">
        <f>SUMIF(68:68,I8,69:69)-SUMIF(68:68,C8,69:69)+100</f>
        <v>100</v>
      </c>
      <c r="K8" s="560"/>
      <c r="L8" s="2716"/>
      <c r="M8" s="2717"/>
      <c r="N8" s="2717"/>
      <c r="O8" s="2717"/>
      <c r="P8" s="3651" t="s">
        <v>1683</v>
      </c>
      <c r="Q8" s="3652"/>
      <c r="R8" s="701" t="s">
        <v>14</v>
      </c>
      <c r="S8" s="702">
        <f t="shared" si="0"/>
        <v>100</v>
      </c>
      <c r="T8" s="701" t="s">
        <v>14</v>
      </c>
      <c r="U8" s="702">
        <f t="shared" si="1"/>
        <v>100</v>
      </c>
      <c r="V8" s="701" t="s">
        <v>14</v>
      </c>
      <c r="W8" s="702">
        <f t="shared" si="2"/>
        <v>100</v>
      </c>
      <c r="X8" s="703"/>
      <c r="Y8" s="3651" t="s">
        <v>1683</v>
      </c>
      <c r="Z8" s="3652"/>
      <c r="AA8" s="704">
        <f t="shared" ref="AA8:AA40" si="3">D8/F8</f>
        <v>1</v>
      </c>
      <c r="AB8" s="704">
        <f t="shared" ref="AB8:AB40" si="4">D8/H8</f>
        <v>1</v>
      </c>
      <c r="AC8" s="704">
        <f t="shared" ref="AC8:AC40" si="5">D8/J8</f>
        <v>1</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49"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101</v>
      </c>
      <c r="G10" s="383"/>
      <c r="H10" s="127">
        <f>ROUND(100/'数据-取费表'!G16,0)</f>
        <v>101</v>
      </c>
      <c r="I10" s="383"/>
      <c r="J10" s="127">
        <f>ROUND(100/'数据-取费表'!G16,0)</f>
        <v>101</v>
      </c>
      <c r="K10" s="620"/>
      <c r="L10" s="2718"/>
      <c r="M10" s="2719"/>
      <c r="N10" s="2719"/>
      <c r="O10" s="2772"/>
      <c r="P10" s="3649"/>
      <c r="Q10" s="1343" t="str">
        <f t="shared" si="6"/>
        <v>土地使用年限（年）</v>
      </c>
      <c r="R10" s="701" t="s">
        <v>14</v>
      </c>
      <c r="S10" s="702">
        <f t="shared" si="0"/>
        <v>101</v>
      </c>
      <c r="T10" s="701" t="s">
        <v>14</v>
      </c>
      <c r="U10" s="702">
        <f t="shared" si="1"/>
        <v>101</v>
      </c>
      <c r="V10" s="701" t="s">
        <v>14</v>
      </c>
      <c r="W10" s="702">
        <f t="shared" si="2"/>
        <v>101</v>
      </c>
      <c r="X10" s="703"/>
      <c r="Y10" s="3619"/>
      <c r="Z10" s="52" t="str">
        <f t="shared" si="7"/>
        <v>土地使用年限（年）</v>
      </c>
      <c r="AA10" s="704">
        <f t="shared" si="3"/>
        <v>0.99009900990099009</v>
      </c>
      <c r="AB10" s="704">
        <f t="shared" si="4"/>
        <v>0.99009900990099009</v>
      </c>
      <c r="AC10" s="704">
        <f t="shared" si="5"/>
        <v>0.99009900990099009</v>
      </c>
    </row>
    <row r="11" spans="1:29" ht="15.6" thickBot="1">
      <c r="A11" s="379"/>
      <c r="B11" s="375" t="s">
        <v>1689</v>
      </c>
      <c r="C11" s="380"/>
      <c r="D11" s="127">
        <v>100</v>
      </c>
      <c r="E11" s="380"/>
      <c r="F11" s="127">
        <f>LOOKUP(E11,75:75,76:76)-LOOKUP(C11,75:75,76:76)+100</f>
        <v>100</v>
      </c>
      <c r="G11" s="381"/>
      <c r="H11" s="127">
        <f>LOOKUP(G11,75:75,76:76)-LOOKUP(C11,75:75,76:76)+100</f>
        <v>100</v>
      </c>
      <c r="I11" s="380"/>
      <c r="J11" s="127">
        <f>LOOKUP(I11,75:75,76:76)-LOOKUP(C11,75:75,76:76)+100</f>
        <v>100</v>
      </c>
      <c r="K11" s="621"/>
      <c r="L11" s="2720"/>
      <c r="M11" s="2715"/>
      <c r="N11" s="2715"/>
      <c r="O11" s="2773"/>
      <c r="P11" s="3649"/>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hidden="1">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49"/>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hidden="1">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49"/>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6" hidden="1"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49"/>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54" t="s">
        <v>1691</v>
      </c>
      <c r="Q15" s="1352" t="str">
        <f t="shared" si="6"/>
        <v>产业集聚程度</v>
      </c>
      <c r="R15" s="705" t="s">
        <v>14</v>
      </c>
      <c r="S15" s="706">
        <f t="shared" si="0"/>
        <v>100</v>
      </c>
      <c r="T15" s="705" t="s">
        <v>14</v>
      </c>
      <c r="U15" s="706">
        <f t="shared" si="1"/>
        <v>100</v>
      </c>
      <c r="V15" s="705" t="s">
        <v>14</v>
      </c>
      <c r="W15" s="706">
        <f t="shared" si="2"/>
        <v>100</v>
      </c>
      <c r="X15" s="1355"/>
      <c r="Y15" s="365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55"/>
      <c r="Q16" s="1352"/>
      <c r="R16" s="705"/>
      <c r="S16" s="706"/>
      <c r="T16" s="705"/>
      <c r="U16" s="706"/>
      <c r="V16" s="705"/>
      <c r="W16" s="706"/>
      <c r="X16" s="1355"/>
      <c r="Y16" s="3655"/>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55"/>
      <c r="Q17" s="1352" t="str">
        <f>B17</f>
        <v>交通便捷度</v>
      </c>
      <c r="R17" s="705" t="s">
        <v>14</v>
      </c>
      <c r="S17" s="706">
        <f>F17</f>
        <v>100</v>
      </c>
      <c r="T17" s="705" t="s">
        <v>14</v>
      </c>
      <c r="U17" s="706">
        <f>H17</f>
        <v>100</v>
      </c>
      <c r="V17" s="705" t="s">
        <v>14</v>
      </c>
      <c r="W17" s="706">
        <f>J17</f>
        <v>100</v>
      </c>
      <c r="X17" s="1355"/>
      <c r="Y17" s="365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55"/>
      <c r="Q18" s="1352"/>
      <c r="R18" s="705"/>
      <c r="S18" s="706"/>
      <c r="T18" s="705"/>
      <c r="U18" s="706"/>
      <c r="V18" s="705"/>
      <c r="W18" s="706"/>
      <c r="X18" s="1355"/>
      <c r="Y18" s="3655"/>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55"/>
      <c r="Q19" s="1352" t="str">
        <f t="shared" ref="Q19:Q33" si="8">B19</f>
        <v>区域土地利用方向</v>
      </c>
      <c r="R19" s="705" t="s">
        <v>14</v>
      </c>
      <c r="S19" s="706">
        <f>F19</f>
        <v>100</v>
      </c>
      <c r="T19" s="705" t="s">
        <v>14</v>
      </c>
      <c r="U19" s="706">
        <f>H19</f>
        <v>100</v>
      </c>
      <c r="V19" s="705" t="s">
        <v>14</v>
      </c>
      <c r="W19" s="706">
        <f>J19</f>
        <v>100</v>
      </c>
      <c r="X19" s="1355"/>
      <c r="Y19" s="365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55"/>
      <c r="Q20" s="1352"/>
      <c r="R20" s="705"/>
      <c r="S20" s="706"/>
      <c r="T20" s="705"/>
      <c r="U20" s="706"/>
      <c r="V20" s="705"/>
      <c r="W20" s="706"/>
      <c r="X20" s="1355"/>
      <c r="Y20" s="3655"/>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55"/>
      <c r="Q21" s="1352" t="str">
        <f t="shared" si="8"/>
        <v>环境状况</v>
      </c>
      <c r="R21" s="705" t="s">
        <v>14</v>
      </c>
      <c r="S21" s="706">
        <f>F21</f>
        <v>100</v>
      </c>
      <c r="T21" s="705" t="s">
        <v>14</v>
      </c>
      <c r="U21" s="706">
        <f>H21</f>
        <v>100</v>
      </c>
      <c r="V21" s="705" t="s">
        <v>14</v>
      </c>
      <c r="W21" s="706">
        <f>J21</f>
        <v>100</v>
      </c>
      <c r="X21" s="1355"/>
      <c r="Y21" s="365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55"/>
      <c r="Q22" s="1352"/>
      <c r="R22" s="705"/>
      <c r="S22" s="706"/>
      <c r="T22" s="705"/>
      <c r="U22" s="706"/>
      <c r="V22" s="705"/>
      <c r="W22" s="706"/>
      <c r="X22" s="1355"/>
      <c r="Y22" s="3655"/>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55"/>
      <c r="Q23" s="1343" t="str">
        <f t="shared" si="8"/>
        <v>公共配套设施</v>
      </c>
      <c r="R23" s="701" t="s">
        <v>14</v>
      </c>
      <c r="S23" s="702">
        <f>F23</f>
        <v>100</v>
      </c>
      <c r="T23" s="701" t="s">
        <v>14</v>
      </c>
      <c r="U23" s="702">
        <f>H23</f>
        <v>100</v>
      </c>
      <c r="V23" s="701" t="s">
        <v>14</v>
      </c>
      <c r="W23" s="702">
        <f>J23</f>
        <v>100</v>
      </c>
      <c r="X23" s="703"/>
      <c r="Y23" s="365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55"/>
      <c r="Q24" s="1343"/>
      <c r="R24" s="701"/>
      <c r="S24" s="702"/>
      <c r="T24" s="701"/>
      <c r="U24" s="702"/>
      <c r="V24" s="701"/>
      <c r="W24" s="702"/>
      <c r="X24" s="703"/>
      <c r="Y24" s="3655"/>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55"/>
      <c r="Q25" s="1343" t="str">
        <f t="shared" ref="Q25" si="9">B25</f>
        <v>基础设施水平</v>
      </c>
      <c r="R25" s="701" t="s">
        <v>14</v>
      </c>
      <c r="S25" s="702">
        <f>F25</f>
        <v>100</v>
      </c>
      <c r="T25" s="701" t="s">
        <v>14</v>
      </c>
      <c r="U25" s="702">
        <f>H25</f>
        <v>100</v>
      </c>
      <c r="V25" s="701" t="s">
        <v>14</v>
      </c>
      <c r="W25" s="702">
        <f>J25</f>
        <v>100</v>
      </c>
      <c r="X25" s="703"/>
      <c r="Y25" s="365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55"/>
      <c r="Q26" s="1343"/>
      <c r="R26" s="701"/>
      <c r="S26" s="702"/>
      <c r="T26" s="701"/>
      <c r="U26" s="702"/>
      <c r="V26" s="701"/>
      <c r="W26" s="702"/>
      <c r="X26" s="703"/>
      <c r="Y26" s="365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5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5"/>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55"/>
      <c r="Q28" s="1352" t="str">
        <f t="shared" si="8"/>
        <v>毗邻道路的类型与等级</v>
      </c>
      <c r="R28" s="705" t="s">
        <v>14</v>
      </c>
      <c r="S28" s="706">
        <f t="shared" si="10"/>
        <v>100</v>
      </c>
      <c r="T28" s="705" t="s">
        <v>14</v>
      </c>
      <c r="U28" s="706">
        <f t="shared" si="11"/>
        <v>100</v>
      </c>
      <c r="V28" s="705" t="s">
        <v>14</v>
      </c>
      <c r="W28" s="706">
        <f t="shared" si="12"/>
        <v>100</v>
      </c>
      <c r="X28" s="1355"/>
      <c r="Y28" s="365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55"/>
      <c r="Q29" s="1352"/>
      <c r="R29" s="705"/>
      <c r="S29" s="706"/>
      <c r="T29" s="705"/>
      <c r="U29" s="706"/>
      <c r="V29" s="705"/>
      <c r="W29" s="706"/>
      <c r="X29" s="1355"/>
      <c r="Y29" s="3655"/>
      <c r="Z29" s="1356"/>
      <c r="AA29" s="1353">
        <v>1</v>
      </c>
      <c r="AB29" s="1353">
        <v>1</v>
      </c>
      <c r="AC29" s="1353">
        <v>1</v>
      </c>
    </row>
    <row r="30" spans="1:29" ht="15.6" thickBot="1">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55"/>
      <c r="Q30" s="1352" t="str">
        <f t="shared" si="8"/>
        <v>土地级别</v>
      </c>
      <c r="R30" s="705" t="s">
        <v>14</v>
      </c>
      <c r="S30" s="706">
        <f t="shared" si="10"/>
        <v>100</v>
      </c>
      <c r="T30" s="705" t="s">
        <v>14</v>
      </c>
      <c r="U30" s="706">
        <f t="shared" si="11"/>
        <v>100</v>
      </c>
      <c r="V30" s="705" t="s">
        <v>14</v>
      </c>
      <c r="W30" s="706">
        <f t="shared" si="12"/>
        <v>100</v>
      </c>
      <c r="X30" s="1355"/>
      <c r="Y30" s="3655"/>
      <c r="Z30" s="1356" t="str">
        <f t="shared" si="13"/>
        <v>土地级别</v>
      </c>
      <c r="AA30" s="1353">
        <f t="shared" si="3"/>
        <v>1</v>
      </c>
      <c r="AB30" s="1353">
        <f t="shared" si="4"/>
        <v>1</v>
      </c>
      <c r="AC30" s="1353">
        <f t="shared" si="5"/>
        <v>1</v>
      </c>
    </row>
    <row r="31" spans="1:29" ht="15" hidden="1">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55"/>
      <c r="Q31" s="1352">
        <f t="shared" si="8"/>
        <v>111</v>
      </c>
      <c r="R31" s="705" t="s">
        <v>14</v>
      </c>
      <c r="S31" s="706">
        <f t="shared" si="10"/>
        <v>100</v>
      </c>
      <c r="T31" s="705" t="s">
        <v>14</v>
      </c>
      <c r="U31" s="706">
        <f t="shared" si="11"/>
        <v>100</v>
      </c>
      <c r="V31" s="705" t="s">
        <v>14</v>
      </c>
      <c r="W31" s="706">
        <f t="shared" si="12"/>
        <v>100</v>
      </c>
      <c r="X31" s="1355"/>
      <c r="Y31" s="3655"/>
      <c r="Z31" s="1356">
        <f t="shared" si="13"/>
        <v>111</v>
      </c>
      <c r="AA31" s="1353">
        <f t="shared" si="3"/>
        <v>1</v>
      </c>
      <c r="AB31" s="1353">
        <f t="shared" si="4"/>
        <v>1</v>
      </c>
      <c r="AC31" s="1353">
        <f t="shared" si="5"/>
        <v>1</v>
      </c>
    </row>
    <row r="32" spans="1:29" ht="15" hidden="1">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656" t="s">
        <v>1696</v>
      </c>
      <c r="Q32" s="1352">
        <f t="shared" si="8"/>
        <v>111</v>
      </c>
      <c r="R32" s="705" t="s">
        <v>14</v>
      </c>
      <c r="S32" s="706">
        <f t="shared" si="10"/>
        <v>100</v>
      </c>
      <c r="T32" s="705" t="s">
        <v>14</v>
      </c>
      <c r="U32" s="706">
        <f t="shared" si="11"/>
        <v>100</v>
      </c>
      <c r="V32" s="705" t="s">
        <v>14</v>
      </c>
      <c r="W32" s="706">
        <f t="shared" si="12"/>
        <v>100</v>
      </c>
      <c r="X32" s="1355"/>
      <c r="Y32" s="3657" t="s">
        <v>1696</v>
      </c>
      <c r="Z32" s="1356">
        <f t="shared" si="13"/>
        <v>111</v>
      </c>
      <c r="AA32" s="1353">
        <f t="shared" si="3"/>
        <v>1</v>
      </c>
      <c r="AB32" s="1353">
        <f t="shared" si="4"/>
        <v>1</v>
      </c>
      <c r="AC32" s="1353">
        <f t="shared" si="5"/>
        <v>1</v>
      </c>
    </row>
    <row r="33" spans="1:31" s="422" customFormat="1" ht="15.6" hidden="1"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57"/>
      <c r="Q33" s="1352">
        <f t="shared" si="8"/>
        <v>111</v>
      </c>
      <c r="R33" s="708" t="s">
        <v>14</v>
      </c>
      <c r="S33" s="709">
        <f t="shared" si="10"/>
        <v>100</v>
      </c>
      <c r="T33" s="708" t="s">
        <v>14</v>
      </c>
      <c r="U33" s="709">
        <f t="shared" si="11"/>
        <v>100</v>
      </c>
      <c r="V33" s="708" t="s">
        <v>14</v>
      </c>
      <c r="W33" s="709">
        <f t="shared" si="12"/>
        <v>100</v>
      </c>
      <c r="X33" s="710"/>
      <c r="Y33" s="3657"/>
      <c r="Z33" s="711">
        <f t="shared" si="13"/>
        <v>111</v>
      </c>
      <c r="AA33" s="1353">
        <f t="shared" si="3"/>
        <v>1</v>
      </c>
      <c r="AB33" s="1353">
        <f t="shared" si="4"/>
        <v>1</v>
      </c>
      <c r="AC33" s="1353">
        <f t="shared" si="5"/>
        <v>1</v>
      </c>
    </row>
    <row r="34" spans="1:31" ht="15">
      <c r="A34" s="391" t="s">
        <v>1694</v>
      </c>
      <c r="B34" s="407" t="s">
        <v>1874</v>
      </c>
      <c r="C34" s="627">
        <f>'数据-汇总表'!D3</f>
        <v>368153.3</v>
      </c>
      <c r="D34" s="418">
        <v>100</v>
      </c>
      <c r="E34" s="627">
        <f>土地案例!G4</f>
        <v>19886.2</v>
      </c>
      <c r="F34" s="418">
        <f>LOOKUP(E34,108:108,109:109)-LOOKUP(C34,108:108,109:109)+100</f>
        <v>105</v>
      </c>
      <c r="G34" s="627">
        <f>土地案例!G6</f>
        <v>24998.67</v>
      </c>
      <c r="H34" s="418">
        <f>LOOKUP(G34,108:108,109:109)-LOOKUP(C34,108:108,109:109)+100</f>
        <v>105</v>
      </c>
      <c r="I34" s="479">
        <f>土地案例!G29</f>
        <v>16250.3</v>
      </c>
      <c r="J34" s="418">
        <f>LOOKUP(I34,108:108,109:109)-LOOKUP(C34,108:108,109:109)+100</f>
        <v>105</v>
      </c>
      <c r="K34" s="562"/>
      <c r="L34" s="2721"/>
      <c r="M34" s="2715"/>
      <c r="N34" s="2715"/>
      <c r="O34" s="2773"/>
      <c r="P34" s="3657"/>
      <c r="Q34" s="1352" t="str">
        <f>B34</f>
        <v>宗地面积</v>
      </c>
      <c r="R34" s="705" t="s">
        <v>14</v>
      </c>
      <c r="S34" s="706">
        <f t="shared" si="10"/>
        <v>105</v>
      </c>
      <c r="T34" s="705" t="s">
        <v>14</v>
      </c>
      <c r="U34" s="706">
        <f t="shared" si="11"/>
        <v>105</v>
      </c>
      <c r="V34" s="705" t="s">
        <v>14</v>
      </c>
      <c r="W34" s="706">
        <f t="shared" si="12"/>
        <v>105</v>
      </c>
      <c r="X34" s="1355"/>
      <c r="Y34" s="3657"/>
      <c r="Z34" s="1356" t="str">
        <f t="shared" si="13"/>
        <v>宗地面积</v>
      </c>
      <c r="AA34" s="1353">
        <f t="shared" si="3"/>
        <v>0.95238095238095233</v>
      </c>
      <c r="AB34" s="1353">
        <f t="shared" si="4"/>
        <v>0.95238095238095233</v>
      </c>
      <c r="AC34" s="1353">
        <f t="shared" si="5"/>
        <v>0.95238095238095233</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57"/>
      <c r="Q35" s="1352" t="str">
        <f t="shared" ref="Q35:Q40" si="14">B35</f>
        <v>宗地形状</v>
      </c>
      <c r="R35" s="705" t="s">
        <v>14</v>
      </c>
      <c r="S35" s="706">
        <f t="shared" si="10"/>
        <v>100</v>
      </c>
      <c r="T35" s="705" t="s">
        <v>14</v>
      </c>
      <c r="U35" s="706">
        <f t="shared" si="11"/>
        <v>100</v>
      </c>
      <c r="V35" s="705" t="s">
        <v>14</v>
      </c>
      <c r="W35" s="706">
        <f t="shared" si="12"/>
        <v>100</v>
      </c>
      <c r="X35" s="1355"/>
      <c r="Y35" s="365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57"/>
      <c r="Q36" s="1352" t="str">
        <f t="shared" si="14"/>
        <v>宗地开发程度</v>
      </c>
      <c r="R36" s="701" t="s">
        <v>14</v>
      </c>
      <c r="S36" s="702">
        <f t="shared" si="10"/>
        <v>100</v>
      </c>
      <c r="T36" s="701" t="s">
        <v>14</v>
      </c>
      <c r="U36" s="702">
        <f t="shared" si="11"/>
        <v>100</v>
      </c>
      <c r="V36" s="701" t="s">
        <v>14</v>
      </c>
      <c r="W36" s="702">
        <f t="shared" si="12"/>
        <v>100</v>
      </c>
      <c r="X36" s="703"/>
      <c r="Y36" s="3657"/>
      <c r="Z36" s="52" t="str">
        <f t="shared" si="13"/>
        <v>宗地开发程度</v>
      </c>
      <c r="AA36" s="704">
        <f t="shared" si="3"/>
        <v>1</v>
      </c>
      <c r="AB36" s="704">
        <f t="shared" si="4"/>
        <v>1</v>
      </c>
      <c r="AC36" s="704">
        <f t="shared" si="5"/>
        <v>1</v>
      </c>
    </row>
    <row r="37" spans="1:31" ht="15.6" thickBot="1">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57" t="s">
        <v>1696</v>
      </c>
      <c r="Q37" s="1352" t="str">
        <f t="shared" si="14"/>
        <v>工程地质条件</v>
      </c>
      <c r="R37" s="705" t="s">
        <v>14</v>
      </c>
      <c r="S37" s="706">
        <f t="shared" si="10"/>
        <v>100</v>
      </c>
      <c r="T37" s="705" t="s">
        <v>14</v>
      </c>
      <c r="U37" s="706">
        <f t="shared" si="11"/>
        <v>100</v>
      </c>
      <c r="V37" s="705" t="s">
        <v>14</v>
      </c>
      <c r="W37" s="706">
        <f t="shared" si="12"/>
        <v>100</v>
      </c>
      <c r="X37" s="1355"/>
      <c r="Y37" s="3657" t="s">
        <v>1696</v>
      </c>
      <c r="Z37" s="1356" t="str">
        <f t="shared" si="13"/>
        <v>工程地质条件</v>
      </c>
      <c r="AA37" s="1353">
        <f t="shared" si="3"/>
        <v>1</v>
      </c>
      <c r="AB37" s="1353">
        <f t="shared" si="4"/>
        <v>1</v>
      </c>
      <c r="AC37" s="1353">
        <f t="shared" si="5"/>
        <v>1</v>
      </c>
    </row>
    <row r="38" spans="1:31" ht="15" hidden="1">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57"/>
      <c r="Q38" s="1352">
        <f t="shared" si="14"/>
        <v>111</v>
      </c>
      <c r="R38" s="705" t="s">
        <v>14</v>
      </c>
      <c r="S38" s="706">
        <f t="shared" si="10"/>
        <v>100</v>
      </c>
      <c r="T38" s="705" t="s">
        <v>14</v>
      </c>
      <c r="U38" s="706">
        <f t="shared" si="11"/>
        <v>100</v>
      </c>
      <c r="V38" s="705" t="s">
        <v>14</v>
      </c>
      <c r="W38" s="706">
        <f t="shared" si="12"/>
        <v>100</v>
      </c>
      <c r="X38" s="1355"/>
      <c r="Y38" s="3657"/>
      <c r="Z38" s="1356">
        <f t="shared" si="13"/>
        <v>111</v>
      </c>
      <c r="AA38" s="1353">
        <f t="shared" si="3"/>
        <v>1</v>
      </c>
      <c r="AB38" s="1353">
        <f t="shared" si="4"/>
        <v>1</v>
      </c>
      <c r="AC38" s="1353">
        <f t="shared" si="5"/>
        <v>1</v>
      </c>
    </row>
    <row r="39" spans="1:31" ht="15" hidden="1">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57"/>
      <c r="Q39" s="1352">
        <f t="shared" si="14"/>
        <v>111</v>
      </c>
      <c r="R39" s="705" t="s">
        <v>14</v>
      </c>
      <c r="S39" s="706">
        <f t="shared" si="10"/>
        <v>100</v>
      </c>
      <c r="T39" s="705" t="s">
        <v>14</v>
      </c>
      <c r="U39" s="706">
        <f t="shared" si="11"/>
        <v>100</v>
      </c>
      <c r="V39" s="705" t="s">
        <v>14</v>
      </c>
      <c r="W39" s="706">
        <f t="shared" si="12"/>
        <v>100</v>
      </c>
      <c r="X39" s="1355"/>
      <c r="Y39" s="3657"/>
      <c r="Z39" s="1356">
        <f t="shared" si="13"/>
        <v>111</v>
      </c>
      <c r="AA39" s="1353">
        <f t="shared" si="3"/>
        <v>1</v>
      </c>
      <c r="AB39" s="1353">
        <f t="shared" si="4"/>
        <v>1</v>
      </c>
      <c r="AC39" s="1353">
        <f t="shared" si="5"/>
        <v>1</v>
      </c>
    </row>
    <row r="40" spans="1:31" s="422" customFormat="1" ht="15.6" hidden="1"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57"/>
      <c r="Q40" s="1352">
        <f t="shared" si="14"/>
        <v>111</v>
      </c>
      <c r="R40" s="708" t="s">
        <v>14</v>
      </c>
      <c r="S40" s="709">
        <f t="shared" si="10"/>
        <v>100</v>
      </c>
      <c r="T40" s="708" t="s">
        <v>14</v>
      </c>
      <c r="U40" s="709">
        <f t="shared" si="11"/>
        <v>100</v>
      </c>
      <c r="V40" s="708" t="s">
        <v>14</v>
      </c>
      <c r="W40" s="709">
        <f t="shared" si="12"/>
        <v>100</v>
      </c>
      <c r="X40" s="710"/>
      <c r="Y40" s="3657"/>
      <c r="Z40" s="711">
        <f t="shared" si="13"/>
        <v>111</v>
      </c>
      <c r="AA40" s="1353">
        <f t="shared" si="3"/>
        <v>1</v>
      </c>
      <c r="AB40" s="1353">
        <f t="shared" si="4"/>
        <v>1</v>
      </c>
      <c r="AC40" s="1353">
        <f t="shared" si="5"/>
        <v>1</v>
      </c>
    </row>
    <row r="41" spans="1:31" ht="14.4">
      <c r="A41" s="430" t="s">
        <v>1844</v>
      </c>
      <c r="B41" s="1982" t="s">
        <v>3612</v>
      </c>
      <c r="C41" s="630" t="s">
        <v>0</v>
      </c>
      <c r="D41" s="432"/>
      <c r="E41" s="433">
        <f>土地案例!P4</f>
        <v>144</v>
      </c>
      <c r="F41" s="434"/>
      <c r="G41" s="435">
        <f>土地案例!P6</f>
        <v>165</v>
      </c>
      <c r="H41" s="436"/>
      <c r="I41" s="433">
        <f>土地案例!P29</f>
        <v>151.52000000000001</v>
      </c>
      <c r="J41" s="436"/>
      <c r="K41" s="714"/>
      <c r="L41" s="2723"/>
      <c r="M41" s="2715"/>
      <c r="N41" s="2715"/>
      <c r="O41" s="2724"/>
      <c r="P41" s="3649" t="str">
        <f>A41</f>
        <v>成交单价</v>
      </c>
      <c r="Q41" s="3649"/>
      <c r="R41" s="3653">
        <f>E41</f>
        <v>144</v>
      </c>
      <c r="S41" s="3653"/>
      <c r="T41" s="3653">
        <f>G41</f>
        <v>165</v>
      </c>
      <c r="U41" s="3653"/>
      <c r="V41" s="3653">
        <f>I41</f>
        <v>151.52000000000001</v>
      </c>
      <c r="W41" s="3653"/>
      <c r="X41" s="690"/>
      <c r="Y41" s="712"/>
      <c r="Z41" s="690"/>
      <c r="AA41" s="690"/>
      <c r="AB41" s="690"/>
      <c r="AC41" s="690"/>
    </row>
    <row r="42" spans="1:31" ht="15" thickBot="1">
      <c r="A42" s="437" t="s">
        <v>1793</v>
      </c>
      <c r="B42" s="631"/>
      <c r="C42" s="440">
        <f>R43</f>
        <v>146</v>
      </c>
      <c r="D42" s="2317" t="s">
        <v>2137</v>
      </c>
      <c r="E42" s="440">
        <f>R42</f>
        <v>136</v>
      </c>
      <c r="F42" s="2318"/>
      <c r="G42" s="439">
        <f>T42</f>
        <v>156</v>
      </c>
      <c r="H42" s="2318"/>
      <c r="I42" s="440">
        <f>V42</f>
        <v>145</v>
      </c>
      <c r="J42" s="2318"/>
      <c r="K42" s="2320">
        <f>F42+H42+J42</f>
        <v>0</v>
      </c>
      <c r="L42" s="2723"/>
      <c r="M42" s="2715"/>
      <c r="N42" s="2715"/>
      <c r="O42" s="2724"/>
      <c r="P42" s="3649" t="str">
        <f>A42</f>
        <v>比较价值（元/平方米）</v>
      </c>
      <c r="Q42" s="3649"/>
      <c r="R42" s="3650">
        <f>ROUND(PRODUCT(R41,AA7:AA40),0)</f>
        <v>136</v>
      </c>
      <c r="S42" s="3650"/>
      <c r="T42" s="3650">
        <f>ROUND(PRODUCT(T41,AB7:AB40),0)</f>
        <v>156</v>
      </c>
      <c r="U42" s="3650"/>
      <c r="V42" s="3650">
        <f>ROUND(PRODUCT(V41,AC7:AC40),0)</f>
        <v>145</v>
      </c>
      <c r="W42" s="3650"/>
      <c r="X42" s="690"/>
      <c r="Y42" s="690"/>
      <c r="Z42" s="690"/>
      <c r="AA42" s="690"/>
      <c r="AB42" s="690"/>
      <c r="AC42" s="690"/>
    </row>
    <row r="43" spans="1:31" ht="15" thickBot="1">
      <c r="A43" s="441" t="s">
        <v>1794</v>
      </c>
      <c r="B43" s="442"/>
      <c r="C43" s="443">
        <f>R43</f>
        <v>146</v>
      </c>
      <c r="D43" s="443"/>
      <c r="E43" s="443"/>
      <c r="F43" s="443"/>
      <c r="G43" s="443"/>
      <c r="H43" s="443"/>
      <c r="I43" s="443"/>
      <c r="J43" s="443"/>
      <c r="K43" s="715"/>
      <c r="L43" s="2723"/>
      <c r="M43" s="2715"/>
      <c r="N43" s="2715"/>
      <c r="O43" s="2724"/>
      <c r="P43" s="3646" t="str">
        <f>A43</f>
        <v>估价对象XX用房的比较价值（楼面单价，元/平方米）</v>
      </c>
      <c r="Q43" s="3647"/>
      <c r="R43" s="3648">
        <f>ROUND(IF(D42="简单平均",AVERAGE(R42:W42),R42*F42+T42*H42+V42*J42),0)</f>
        <v>146</v>
      </c>
      <c r="S43" s="3648"/>
      <c r="T43" s="3648"/>
      <c r="U43" s="3648"/>
      <c r="V43" s="3648"/>
      <c r="W43" s="3648"/>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f>IF(E41&lt;E42,E42/E41-1,E41/E42-1)</f>
        <v>5.8823529411764719E-2</v>
      </c>
      <c r="F46" s="449" t="str">
        <f>IF(OR(E46&gt;=0.3,E46&lt;=-0.3),"超过30%","")</f>
        <v/>
      </c>
      <c r="G46" s="448">
        <f>IF(G41&lt;G42,G42/G41-1,G41/G42-1)</f>
        <v>5.7692307692307709E-2</v>
      </c>
      <c r="H46" s="449" t="str">
        <f>IF(OR(G46&gt;=0.3,G46&lt;=-0.3),"超过30%","")</f>
        <v/>
      </c>
      <c r="I46" s="448">
        <f>IF(I41&lt;I42,I42/I41-1,I41/I42-1)</f>
        <v>4.4965517241379427E-2</v>
      </c>
      <c r="J46" s="449" t="str">
        <f>IF(OR(I46&gt;=0.3,I46&lt;=-0.3),"超过30%","")</f>
        <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f>IF(E42&lt;G42,G42/E42-1,E42/G42-1)</f>
        <v>0.14705882352941169</v>
      </c>
      <c r="F47" s="449" t="str">
        <f>IF(OR(E47&gt;=0.2,E47&lt;=-0.2),"超过20%","")</f>
        <v/>
      </c>
      <c r="G47" s="448">
        <f>IF(G42&lt;I42,I42/G42-1,G42/I42-1)</f>
        <v>7.5862068965517171E-2</v>
      </c>
      <c r="H47" s="449" t="str">
        <f>IF(OR(G47&gt;=0.2,G47&lt;=-0.2),"超过20%","")</f>
        <v/>
      </c>
      <c r="I47" s="448">
        <f>IF(I42&lt;E42,E42/I42-1,I42/E42-1)</f>
        <v>6.6176470588235281E-2</v>
      </c>
      <c r="J47" s="449" t="str">
        <f>IF(OR(I47&gt;=0.2,I47&lt;=-0.2),"超过20%","")</f>
        <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f>IF(E41&lt;G41,G41/E41-1,E41/G41-1)</f>
        <v>0.14583333333333326</v>
      </c>
      <c r="F48" s="449" t="str">
        <f>IF(OR(E48&gt;=0.3,E48&lt;=-0.3),"超过30%","")</f>
        <v/>
      </c>
      <c r="G48" s="448">
        <f>IF(G41&lt;I41,I41/G41-1,G41/I41-1)</f>
        <v>8.8965153115100337E-2</v>
      </c>
      <c r="H48" s="449" t="str">
        <f>IF(OR(G48&gt;=0.3,G48&lt;=-0.3),"超过30%","")</f>
        <v/>
      </c>
      <c r="I48" s="448">
        <f>IF(I41&lt;E41,E41/I41-1,I41/E41-1)</f>
        <v>5.2222222222222392E-2</v>
      </c>
      <c r="J48" s="449" t="str">
        <f>IF(OR(I48&gt;=0.3,I48&lt;=-0.3),"超过30%","")</f>
        <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3" t="s">
        <v>1883</v>
      </c>
      <c r="D50" s="1984" t="s">
        <v>1884</v>
      </c>
      <c r="E50" s="634" t="s">
        <v>1885</v>
      </c>
      <c r="F50" s="635" t="s">
        <v>1886</v>
      </c>
      <c r="G50" s="3661" t="s">
        <v>1887</v>
      </c>
      <c r="H50" s="3673"/>
      <c r="I50" s="1356" t="s">
        <v>1922</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f>C43</f>
        <v>146</v>
      </c>
      <c r="C51" s="638">
        <v>1</v>
      </c>
      <c r="D51" s="944">
        <v>1</v>
      </c>
      <c r="E51" s="638">
        <f>'数据-汇总表'!E8+'数据-汇总表'!E9</f>
        <v>253546.02500000002</v>
      </c>
      <c r="F51" s="639">
        <f t="shared" ref="F51:F60" si="15">ROUND(B51*E51/10000,0)</f>
        <v>3702</v>
      </c>
      <c r="G51" s="3674"/>
      <c r="H51" s="364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f>ROUND($C$43*C52*D52,0)</f>
        <v>0</v>
      </c>
      <c r="C52" s="171">
        <f t="shared" ref="C52:C60" si="16">IF($C$50="北京市系数",I52,J52)</f>
        <v>0</v>
      </c>
      <c r="D52" s="945">
        <v>0.25</v>
      </c>
      <c r="E52" s="642"/>
      <c r="F52" s="639">
        <f t="shared" si="15"/>
        <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f t="shared" ref="B53:B60" si="17">ROUND($C$43*C53*D53,0)</f>
        <v>0</v>
      </c>
      <c r="C53" s="171">
        <f t="shared" si="16"/>
        <v>0</v>
      </c>
      <c r="D53" s="945">
        <v>0.25</v>
      </c>
      <c r="E53" s="642"/>
      <c r="F53" s="639">
        <f t="shared" si="15"/>
        <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f t="shared" si="17"/>
        <v>0</v>
      </c>
      <c r="C54" s="171">
        <f t="shared" si="16"/>
        <v>0</v>
      </c>
      <c r="D54" s="945">
        <v>0.25</v>
      </c>
      <c r="E54" s="642"/>
      <c r="F54" s="639">
        <f t="shared" si="15"/>
        <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f t="shared" si="17"/>
        <v>0</v>
      </c>
      <c r="C56" s="171">
        <f t="shared" si="16"/>
        <v>0</v>
      </c>
      <c r="D56" s="945">
        <v>0.25</v>
      </c>
      <c r="E56" s="217">
        <f>'数据-汇总表'!E11</f>
        <v>0</v>
      </c>
      <c r="F56" s="639">
        <f t="shared" si="15"/>
        <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f t="shared" si="17"/>
        <v>0</v>
      </c>
      <c r="C57" s="171">
        <f t="shared" si="16"/>
        <v>0</v>
      </c>
      <c r="D57" s="945">
        <v>0.25</v>
      </c>
      <c r="E57" s="217">
        <f>'数据-汇总表'!E12</f>
        <v>0</v>
      </c>
      <c r="F57" s="639">
        <f t="shared" si="15"/>
        <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f t="shared" si="17"/>
        <v>0</v>
      </c>
      <c r="C58" s="171">
        <f t="shared" si="16"/>
        <v>0</v>
      </c>
      <c r="D58" s="945">
        <v>0.25</v>
      </c>
      <c r="E58" s="217">
        <f>'数据-汇总表'!E13</f>
        <v>0</v>
      </c>
      <c r="F58" s="639">
        <f t="shared" si="15"/>
        <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f t="shared" si="17"/>
        <v>0</v>
      </c>
      <c r="C59" s="171">
        <f t="shared" si="16"/>
        <v>0</v>
      </c>
      <c r="D59" s="945">
        <v>0.25</v>
      </c>
      <c r="E59" s="217">
        <f>'数据-汇总表'!E14</f>
        <v>0</v>
      </c>
      <c r="F59" s="639">
        <f t="shared" si="15"/>
        <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f t="shared" si="17"/>
        <v>0</v>
      </c>
      <c r="C60" s="171">
        <f t="shared" si="16"/>
        <v>0</v>
      </c>
      <c r="D60" s="945">
        <v>0.25</v>
      </c>
      <c r="E60" s="217">
        <f>'数据-汇总表'!E15</f>
        <v>0</v>
      </c>
      <c r="F60" s="639">
        <f t="shared" si="15"/>
        <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368153.3</v>
      </c>
      <c r="F61" s="645">
        <f>IF(B41="楼面地价",SUM(F51:F60),ROUND(C43*E61/10000,0))</f>
        <v>5375</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f t="shared" ref="D66:K66" si="20">C66-0.2</f>
        <v>99.8</v>
      </c>
      <c r="E66" s="544">
        <f t="shared" si="20"/>
        <v>99.6</v>
      </c>
      <c r="F66" s="544">
        <f t="shared" si="20"/>
        <v>99.399999999999991</v>
      </c>
      <c r="G66" s="544">
        <f t="shared" si="20"/>
        <v>99.199999999999989</v>
      </c>
      <c r="H66" s="544">
        <f t="shared" si="20"/>
        <v>98.999999999999986</v>
      </c>
      <c r="I66" s="544">
        <f t="shared" si="20"/>
        <v>98.799999999999983</v>
      </c>
      <c r="J66" s="544">
        <f t="shared" si="20"/>
        <v>98.59999999999998</v>
      </c>
      <c r="K66" s="544">
        <f t="shared" si="20"/>
        <v>98.399999999999977</v>
      </c>
      <c r="L66" s="544"/>
      <c r="M66" s="1178"/>
      <c r="N66" s="1178"/>
      <c r="O66" s="1180"/>
      <c r="P66" s="2738"/>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0（含）-0.5</v>
      </c>
      <c r="D74" s="496" t="str">
        <f t="shared" ref="D74:L74" si="21">D75&amp;"（含）"&amp;"-"&amp;E75</f>
        <v>0.5（含）-1</v>
      </c>
      <c r="E74" s="496" t="str">
        <f t="shared" si="21"/>
        <v>1（含）-1.5</v>
      </c>
      <c r="F74" s="496" t="str">
        <f t="shared" si="21"/>
        <v>1.5（含）-2</v>
      </c>
      <c r="G74" s="496" t="str">
        <f t="shared" si="21"/>
        <v>2（含）-2.5</v>
      </c>
      <c r="H74" s="496" t="str">
        <f t="shared" si="21"/>
        <v>2.5（含）-</v>
      </c>
      <c r="I74" s="496" t="str">
        <f t="shared" si="21"/>
        <v>（含）-</v>
      </c>
      <c r="J74" s="496" t="str">
        <f t="shared" si="21"/>
        <v>（含）-</v>
      </c>
      <c r="K74" s="496" t="str">
        <f t="shared" si="21"/>
        <v>（含）-</v>
      </c>
      <c r="L74" s="496" t="str">
        <f t="shared" si="21"/>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v>0</v>
      </c>
      <c r="D75" s="498">
        <v>0.5</v>
      </c>
      <c r="E75" s="498">
        <v>1</v>
      </c>
      <c r="F75" s="498">
        <v>1.5</v>
      </c>
      <c r="G75" s="498">
        <v>2</v>
      </c>
      <c r="H75" s="498">
        <v>2.5</v>
      </c>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2">IF($B$41="单位面积地价",D76+$K11,D76-$K11)</f>
        <v>100</v>
      </c>
      <c r="F76" s="493">
        <f t="shared" si="22"/>
        <v>100</v>
      </c>
      <c r="G76" s="493">
        <f t="shared" si="22"/>
        <v>100</v>
      </c>
      <c r="H76" s="493">
        <f t="shared" si="22"/>
        <v>100</v>
      </c>
      <c r="I76" s="493">
        <f t="shared" si="22"/>
        <v>100</v>
      </c>
      <c r="J76" s="493">
        <f t="shared" si="22"/>
        <v>100</v>
      </c>
      <c r="K76" s="493">
        <f t="shared" si="22"/>
        <v>100</v>
      </c>
      <c r="L76" s="493">
        <f t="shared" si="22"/>
        <v>100</v>
      </c>
      <c r="M76" s="493">
        <f t="shared" si="22"/>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1924</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3">C96-$K27</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3">
        <f t="shared" si="23"/>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4">C98-$K28</f>
        <v>100</v>
      </c>
      <c r="E98" s="493">
        <f t="shared" si="24"/>
        <v>100</v>
      </c>
      <c r="F98" s="493">
        <f t="shared" si="24"/>
        <v>100</v>
      </c>
      <c r="G98" s="493">
        <f t="shared" si="24"/>
        <v>100</v>
      </c>
      <c r="H98" s="493">
        <f t="shared" si="24"/>
        <v>100</v>
      </c>
      <c r="I98" s="493">
        <f t="shared" si="24"/>
        <v>100</v>
      </c>
      <c r="J98" s="493">
        <f t="shared" si="24"/>
        <v>100</v>
      </c>
      <c r="K98" s="493">
        <f t="shared" si="24"/>
        <v>100</v>
      </c>
      <c r="L98" s="493">
        <f t="shared" si="24"/>
        <v>100</v>
      </c>
      <c r="M98" s="493">
        <f t="shared" si="24"/>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27.6">
      <c r="A107" s="476" t="s">
        <v>1694</v>
      </c>
      <c r="B107" s="477" t="s">
        <v>1913</v>
      </c>
      <c r="C107" s="478" t="str">
        <f t="shared" ref="C107:L107" si="26">C108&amp;"(含)"&amp;"-"&amp;D108</f>
        <v>0(含)-50000</v>
      </c>
      <c r="D107" s="478" t="str">
        <f t="shared" si="26"/>
        <v>50000(含)-100000</v>
      </c>
      <c r="E107" s="478" t="str">
        <f t="shared" si="26"/>
        <v>100000(含)-150000</v>
      </c>
      <c r="F107" s="478" t="str">
        <f t="shared" si="26"/>
        <v>150000(含)-200000</v>
      </c>
      <c r="G107" s="478" t="str">
        <f t="shared" si="26"/>
        <v>200000(含)-300000</v>
      </c>
      <c r="H107" s="478" t="str">
        <f t="shared" si="26"/>
        <v>300000(含)-500000</v>
      </c>
      <c r="I107" s="478" t="str">
        <f t="shared" si="26"/>
        <v>500000(含)-</v>
      </c>
      <c r="J107" s="478" t="str">
        <f t="shared" si="26"/>
        <v>(含)-</v>
      </c>
      <c r="K107" s="1333" t="str">
        <f t="shared" si="26"/>
        <v>(含)-</v>
      </c>
      <c r="L107" s="1333" t="str">
        <f t="shared" si="26"/>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v>0</v>
      </c>
      <c r="D108" s="544">
        <v>50000</v>
      </c>
      <c r="E108" s="544">
        <v>100000</v>
      </c>
      <c r="F108" s="544">
        <v>150000</v>
      </c>
      <c r="G108" s="544">
        <v>200000</v>
      </c>
      <c r="H108" s="544">
        <v>300000</v>
      </c>
      <c r="I108" s="544">
        <v>500000</v>
      </c>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v>100</v>
      </c>
      <c r="D109" s="540">
        <f>C109-1</f>
        <v>99</v>
      </c>
      <c r="E109" s="540">
        <f>D109-1</f>
        <v>98</v>
      </c>
      <c r="F109" s="540">
        <f>E109-1</f>
        <v>97</v>
      </c>
      <c r="G109" s="540">
        <f>F109-1</f>
        <v>96</v>
      </c>
      <c r="H109" s="540">
        <f>G109-1</f>
        <v>95</v>
      </c>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7">C111-$K35</f>
        <v>100</v>
      </c>
      <c r="E111" s="493">
        <f t="shared" si="27"/>
        <v>100</v>
      </c>
      <c r="F111" s="493">
        <f t="shared" si="27"/>
        <v>100</v>
      </c>
      <c r="G111" s="493">
        <f t="shared" si="27"/>
        <v>100</v>
      </c>
      <c r="H111" s="493">
        <f t="shared" si="27"/>
        <v>100</v>
      </c>
      <c r="I111" s="493">
        <f t="shared" si="27"/>
        <v>100</v>
      </c>
      <c r="J111" s="493">
        <f t="shared" si="27"/>
        <v>100</v>
      </c>
      <c r="K111" s="493">
        <f t="shared" si="27"/>
        <v>100</v>
      </c>
      <c r="L111" s="493">
        <f t="shared" si="27"/>
        <v>100</v>
      </c>
      <c r="M111" s="494">
        <f t="shared" si="27"/>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8">C113-$K36</f>
        <v>100</v>
      </c>
      <c r="E113" s="493">
        <f t="shared" si="28"/>
        <v>100</v>
      </c>
      <c r="F113" s="493">
        <f t="shared" si="28"/>
        <v>100</v>
      </c>
      <c r="G113" s="493">
        <f t="shared" si="28"/>
        <v>100</v>
      </c>
      <c r="H113" s="493">
        <f t="shared" si="28"/>
        <v>100</v>
      </c>
      <c r="I113" s="493">
        <f t="shared" si="28"/>
        <v>100</v>
      </c>
      <c r="J113" s="493">
        <f t="shared" si="28"/>
        <v>100</v>
      </c>
      <c r="K113" s="493">
        <f t="shared" si="28"/>
        <v>100</v>
      </c>
      <c r="L113" s="493">
        <f t="shared" si="28"/>
        <v>100</v>
      </c>
      <c r="M113" s="494">
        <f t="shared" si="28"/>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9">C115-$K37</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6" priority="18" stopIfTrue="1" operator="containsText" text="超过">
      <formula>NOT(ISERROR(SEARCH("超过",F46)))</formula>
    </cfRule>
  </conditionalFormatting>
  <conditionalFormatting sqref="J48">
    <cfRule type="containsText" dxfId="165" priority="17" stopIfTrue="1" operator="containsText" text="超过">
      <formula>NOT(ISERROR(SEARCH("超过",J48)))</formula>
    </cfRule>
  </conditionalFormatting>
  <conditionalFormatting sqref="H48">
    <cfRule type="containsText" dxfId="164" priority="16" stopIfTrue="1" operator="containsText" text="超过">
      <formula>NOT(ISERROR(SEARCH("超过",H48)))</formula>
    </cfRule>
  </conditionalFormatting>
  <conditionalFormatting sqref="F48">
    <cfRule type="containsText" dxfId="163" priority="15" stopIfTrue="1" operator="containsText" text="超过">
      <formula>NOT(ISERROR(SEARCH("超过",F48)))</formula>
    </cfRule>
  </conditionalFormatting>
  <conditionalFormatting sqref="F47 H47 J47">
    <cfRule type="containsText" dxfId="162" priority="14" stopIfTrue="1" operator="containsText" text="超过">
      <formula>NOT(ISERROR(SEARCH("超过",F47)))</formula>
    </cfRule>
  </conditionalFormatting>
  <conditionalFormatting sqref="E46">
    <cfRule type="expression" dxfId="161" priority="13" stopIfTrue="1">
      <formula>$F$46="超过30%"</formula>
    </cfRule>
  </conditionalFormatting>
  <conditionalFormatting sqref="G48">
    <cfRule type="expression" dxfId="160" priority="12" stopIfTrue="1">
      <formula>$H$48="超过30%"</formula>
    </cfRule>
  </conditionalFormatting>
  <conditionalFormatting sqref="E48">
    <cfRule type="expression" dxfId="159" priority="10" stopIfTrue="1">
      <formula>$F$48="超过30%"</formula>
    </cfRule>
  </conditionalFormatting>
  <conditionalFormatting sqref="G46">
    <cfRule type="expression" dxfId="158" priority="9" stopIfTrue="1">
      <formula>$H$46="超过30%"</formula>
    </cfRule>
  </conditionalFormatting>
  <conditionalFormatting sqref="G47">
    <cfRule type="expression" dxfId="157" priority="8" stopIfTrue="1">
      <formula>$H$47="超过20%"</formula>
    </cfRule>
  </conditionalFormatting>
  <conditionalFormatting sqref="I46">
    <cfRule type="expression" dxfId="156" priority="7" stopIfTrue="1">
      <formula>$J$46="超过30%"</formula>
    </cfRule>
  </conditionalFormatting>
  <conditionalFormatting sqref="I47">
    <cfRule type="expression" dxfId="155" priority="6" stopIfTrue="1">
      <formula>$J$47="超过20%"</formula>
    </cfRule>
  </conditionalFormatting>
  <conditionalFormatting sqref="I48">
    <cfRule type="expression" dxfId="154" priority="5" stopIfTrue="1">
      <formula>$J$48="超过30%"</formula>
    </cfRule>
  </conditionalFormatting>
  <conditionalFormatting sqref="E47">
    <cfRule type="expression" dxfId="153" priority="53" stopIfTrue="1">
      <formula>#REF!+$F$47="超过20%"</formula>
    </cfRule>
  </conditionalFormatting>
  <conditionalFormatting sqref="F42">
    <cfRule type="expression" dxfId="152" priority="4">
      <formula>$D$42="简单平均"</formula>
    </cfRule>
  </conditionalFormatting>
  <conditionalFormatting sqref="H42">
    <cfRule type="expression" dxfId="151" priority="3">
      <formula>$D$42="简单平均"</formula>
    </cfRule>
  </conditionalFormatting>
  <conditionalFormatting sqref="J42">
    <cfRule type="expression" dxfId="150" priority="2">
      <formula>$D$42="简单平均"</formula>
    </cfRule>
  </conditionalFormatting>
  <conditionalFormatting sqref="F7:F40 H7:H40 J7:J40">
    <cfRule type="cellIs" dxfId="149"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85" zoomScaleNormal="70" zoomScaleSheetLayoutView="85" workbookViewId="0">
      <selection activeCell="G37" sqref="G37"/>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t="s">
        <v>3</v>
      </c>
      <c r="D1" s="1190"/>
      <c r="E1" s="2805"/>
      <c r="F1" s="2805"/>
      <c r="G1" s="2670"/>
      <c r="H1" s="2805"/>
      <c r="I1" s="2805"/>
      <c r="J1" s="2805"/>
      <c r="K1" s="2806">
        <f>MATCH(C1,'数据-取费表'!A6:A16,0)+5</f>
        <v>6</v>
      </c>
    </row>
    <row r="2" spans="1:33" ht="18" customHeight="1">
      <c r="A2" s="201" t="s">
        <v>1462</v>
      </c>
      <c r="B2" s="204">
        <f ca="1">C32</f>
        <v>36140</v>
      </c>
      <c r="C2" s="276" t="s">
        <v>1595</v>
      </c>
      <c r="D2" s="276"/>
      <c r="E2" s="2805"/>
      <c r="F2" s="2805"/>
      <c r="G2" s="2805"/>
      <c r="H2" s="2805"/>
      <c r="I2" s="2805"/>
      <c r="J2" s="2805"/>
      <c r="K2" s="2805"/>
    </row>
    <row r="3" spans="1:33" ht="18" customHeight="1" thickBot="1">
      <c r="A3" s="203" t="s">
        <v>1464</v>
      </c>
      <c r="B3" s="204">
        <f ca="1">ROUND(B2*10000/IF(C1="",'数据-汇总表'!E3,INDIRECT("'数据-取费表'!K"&amp;$K$1)),0)</f>
        <v>1424</v>
      </c>
      <c r="C3" s="276" t="s">
        <v>1596</v>
      </c>
      <c r="D3" s="276"/>
      <c r="E3" s="2805"/>
      <c r="F3" s="2805"/>
      <c r="G3" s="2805"/>
      <c r="H3" s="2805"/>
      <c r="I3" s="2805"/>
      <c r="J3" s="2805"/>
      <c r="K3" s="2805"/>
    </row>
    <row r="4" spans="1:33" s="785" customFormat="1" ht="16.5" customHeight="1">
      <c r="A4" s="782" t="s">
        <v>1597</v>
      </c>
      <c r="B4" s="783"/>
      <c r="C4" s="824">
        <f ca="1">SUM(C8:K8)</f>
        <v>46050</v>
      </c>
      <c r="D4" s="783"/>
      <c r="E4" s="783"/>
      <c r="F4" s="783"/>
      <c r="G4" s="783"/>
      <c r="H4" s="783"/>
      <c r="I4" s="783"/>
      <c r="J4" s="783"/>
      <c r="K4" s="784"/>
    </row>
    <row r="5" spans="1:33" s="789" customFormat="1" ht="14.4">
      <c r="A5" s="786" t="s">
        <v>1598</v>
      </c>
      <c r="B5" s="787" t="s">
        <v>1599</v>
      </c>
      <c r="C5" s="1860" t="s">
        <v>3</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 ca="1">收益法!B3</f>
        <v>1815</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253739.7</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f ca="1">收益法!B2</f>
        <v>46050</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5075</v>
      </c>
      <c r="D11" s="802"/>
      <c r="E11" s="329"/>
      <c r="F11" s="812">
        <f ca="1">1-IF('数据-取费表'!B24=0,1,IF(C1="",'数据-取费表'!N16,INDIRECT("'数据-取费表'!n"&amp;$K$1)))</f>
        <v>7.999999999999996E-2</v>
      </c>
      <c r="G11" s="5"/>
      <c r="H11" s="797"/>
      <c r="I11" s="797"/>
      <c r="J11" s="797"/>
      <c r="K11" s="798"/>
    </row>
    <row r="12" spans="1:33" s="803" customFormat="1" ht="13.5" customHeight="1">
      <c r="A12" s="800" t="s">
        <v>636</v>
      </c>
      <c r="B12" s="801" t="s">
        <v>1613</v>
      </c>
      <c r="C12" s="21">
        <f ca="1">ROUND(C11*F12,0)</f>
        <v>152</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304</v>
      </c>
      <c r="D14" s="846">
        <f ca="1">IF(C1="",'数据-汇总表'!E3,INDIRECT("'数据-取费表'!K"&amp;$K$1)+INDIRECT("'数据-取费表'!S"&amp;$K$1))</f>
        <v>253739.7</v>
      </c>
      <c r="E14" s="21">
        <f>'数据-取费表'!B35</f>
        <v>150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76</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5607</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253739.7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253739.7</v>
      </c>
      <c r="E20" s="21">
        <f>'数据-取费表'!B28</f>
        <v>0</v>
      </c>
      <c r="F20" s="804"/>
      <c r="G20" s="12"/>
      <c r="H20" s="809"/>
      <c r="I20" s="809"/>
      <c r="J20" s="809"/>
      <c r="K20" s="810"/>
    </row>
    <row r="21" spans="1:33" s="803" customFormat="1" ht="13.5" customHeight="1">
      <c r="A21" s="790" t="s">
        <v>357</v>
      </c>
      <c r="B21" s="813" t="s">
        <v>1628</v>
      </c>
      <c r="C21" s="814">
        <f ca="1">C16+C17+C18</f>
        <v>5607</v>
      </c>
      <c r="D21" s="815"/>
      <c r="E21" s="281"/>
      <c r="F21" s="281"/>
      <c r="G21" s="131" t="s">
        <v>1629</v>
      </c>
      <c r="H21" s="807"/>
      <c r="I21" s="807"/>
      <c r="J21" s="807"/>
      <c r="K21" s="808"/>
    </row>
    <row r="22" spans="1:33" s="803" customFormat="1" ht="13.5" customHeight="1">
      <c r="A22" s="790" t="s">
        <v>1601</v>
      </c>
      <c r="B22" s="813" t="s">
        <v>1630</v>
      </c>
      <c r="C22" s="814">
        <f ca="1">ROUND(C21*F22,0)</f>
        <v>112</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74</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16</v>
      </c>
      <c r="D25" s="280">
        <f ca="1">C26</f>
        <v>5.5999999999999999E-3</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5.5999999999999999E-3</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16</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290</v>
      </c>
      <c r="D28" s="280">
        <f ca="1">C29</f>
        <v>4.1000000000000003E-3</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4.1000000000000003E-3</v>
      </c>
      <c r="D29" s="284"/>
      <c r="E29" s="285"/>
      <c r="F29" s="290"/>
      <c r="G29" s="131" t="s">
        <v>1644</v>
      </c>
      <c r="H29" s="807"/>
      <c r="I29" s="807"/>
      <c r="J29" s="807"/>
      <c r="K29" s="808"/>
    </row>
    <row r="30" spans="1:33" s="291" customFormat="1" ht="13.5" customHeight="1">
      <c r="A30" s="800" t="s">
        <v>359</v>
      </c>
      <c r="B30" s="822" t="s">
        <v>1645</v>
      </c>
      <c r="C30" s="292">
        <f ca="1">ROUND((C21+C22+C23)*F28,0)</f>
        <v>290</v>
      </c>
      <c r="D30" s="284"/>
      <c r="E30" s="285"/>
      <c r="F30" s="290"/>
      <c r="G30" s="131"/>
      <c r="H30" s="807"/>
      <c r="I30" s="807"/>
      <c r="J30" s="807"/>
      <c r="K30" s="808"/>
    </row>
    <row r="31" spans="1:33" s="803" customFormat="1" ht="13.5" customHeight="1" thickBot="1">
      <c r="A31" s="1866" t="s">
        <v>1646</v>
      </c>
      <c r="B31" s="833" t="s">
        <v>1647</v>
      </c>
      <c r="C31" s="834">
        <f ca="1">ROUND(C4*F31/(1+'数据-取费表'!C42),0)</f>
        <v>2412</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36140</v>
      </c>
      <c r="D32" s="829"/>
      <c r="E32" s="829"/>
      <c r="F32" s="829"/>
      <c r="G32" s="831" t="s">
        <v>1650</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70" zoomScaleNormal="70" zoomScaleSheetLayoutView="70" workbookViewId="0">
      <selection activeCell="K57" sqref="K57"/>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v>
      </c>
      <c r="D1" s="1362" t="s">
        <v>3467</v>
      </c>
      <c r="E1" s="1363" t="s">
        <v>678</v>
      </c>
      <c r="F1" s="1062">
        <f ca="1">J53</f>
        <v>47.35</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46050</v>
      </c>
      <c r="C2" s="1387" t="s">
        <v>805</v>
      </c>
      <c r="D2" s="1387"/>
      <c r="E2" s="1388"/>
      <c r="F2" s="1389"/>
      <c r="G2" s="2705"/>
      <c r="H2" s="2694"/>
      <c r="I2" s="2694"/>
      <c r="J2" s="2694"/>
      <c r="K2" s="2695"/>
      <c r="L2" s="2694"/>
      <c r="M2" s="2694"/>
    </row>
    <row r="3" spans="1:37" ht="18" customHeight="1" thickBot="1">
      <c r="A3" s="1390" t="s">
        <v>806</v>
      </c>
      <c r="B3" s="1391">
        <f ca="1">IF(ISERROR(B2*10000/F43),0,ROUND(B2*10000/F43,0))</f>
        <v>1815</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4084</v>
      </c>
      <c r="D5" s="1364" t="s">
        <v>693</v>
      </c>
      <c r="E5" s="1071"/>
      <c r="F5" s="1072"/>
      <c r="G5" s="1384"/>
      <c r="H5" s="299">
        <v>1</v>
      </c>
      <c r="I5" s="300" t="s">
        <v>692</v>
      </c>
      <c r="J5" s="1070">
        <f ca="1">J6+J10+J12</f>
        <v>0</v>
      </c>
      <c r="K5" s="1364" t="s">
        <v>693</v>
      </c>
      <c r="L5" s="1071"/>
      <c r="M5" s="1072"/>
    </row>
    <row r="6" spans="1:37" ht="18" customHeight="1">
      <c r="A6" s="1069" t="s">
        <v>398</v>
      </c>
      <c r="B6" s="3690" t="s">
        <v>694</v>
      </c>
      <c r="C6" s="1074">
        <f ca="1">ROUND(F6*F8*F7*(1-F9)/10000,0)</f>
        <v>4084</v>
      </c>
      <c r="D6" s="155" t="s">
        <v>2108</v>
      </c>
      <c r="E6" s="302" t="s">
        <v>696</v>
      </c>
      <c r="F6" s="303">
        <f ca="1">INDIRECT("'数据-取费表'!u"&amp;$G$1)</f>
        <v>0.49</v>
      </c>
      <c r="G6" s="1384"/>
      <c r="H6" s="1069" t="s">
        <v>398</v>
      </c>
      <c r="I6" s="3690" t="s">
        <v>694</v>
      </c>
      <c r="J6" s="301">
        <f ca="1">ROUND(M6*M8*M7*(1-M9)/10000,0)</f>
        <v>0</v>
      </c>
      <c r="K6" s="155" t="s">
        <v>2107</v>
      </c>
      <c r="L6" s="302" t="s">
        <v>696</v>
      </c>
      <c r="M6" s="303">
        <f ca="1">INDIRECT("'数据-取费表'!z"&amp;$G$1)</f>
        <v>0</v>
      </c>
    </row>
    <row r="7" spans="1:37" ht="18" customHeight="1">
      <c r="A7" s="1073"/>
      <c r="B7" s="3691"/>
      <c r="C7" s="1075"/>
      <c r="D7" s="307"/>
      <c r="E7" s="1076" t="s">
        <v>697</v>
      </c>
      <c r="F7" s="303">
        <f ca="1">IF(INDIRECT("'数据-取费表'!ah"&amp;$G$1)="",INDIRECT("'数据-取费表'!k"&amp;$G$1),INDIRECT("'数据-取费表'!ah"&amp;$G$1))</f>
        <v>253739.7</v>
      </c>
      <c r="G7" s="1384"/>
      <c r="H7" s="304"/>
      <c r="I7" s="3691"/>
      <c r="J7" s="306"/>
      <c r="K7" s="307"/>
      <c r="L7" s="302" t="s">
        <v>697</v>
      </c>
      <c r="M7" s="303">
        <f ca="1">F7</f>
        <v>253739.7</v>
      </c>
    </row>
    <row r="8" spans="1:37" ht="18" customHeight="1">
      <c r="A8" s="304"/>
      <c r="B8" s="3691"/>
      <c r="C8" s="306"/>
      <c r="D8" s="307"/>
      <c r="E8" s="302" t="s">
        <v>698</v>
      </c>
      <c r="F8" s="303">
        <f ca="1">INDIRECT("'数据-取费表'!ai"&amp;$G$1)</f>
        <v>365</v>
      </c>
      <c r="G8" s="1384"/>
      <c r="H8" s="304"/>
      <c r="I8" s="3691"/>
      <c r="J8" s="306"/>
      <c r="K8" s="307"/>
      <c r="L8" s="302" t="s">
        <v>698</v>
      </c>
      <c r="M8" s="303">
        <f ca="1">INDIRECT("'数据-取费表'!ai"&amp;$G$1)</f>
        <v>365</v>
      </c>
    </row>
    <row r="9" spans="1:37" ht="18" customHeight="1">
      <c r="A9" s="304"/>
      <c r="B9" s="3692"/>
      <c r="C9" s="306"/>
      <c r="D9" s="307"/>
      <c r="E9" s="302" t="s">
        <v>699</v>
      </c>
      <c r="F9" s="312">
        <f ca="1">INDIRECT("'数据-取费表'!w"&amp;$G$1)</f>
        <v>0.1</v>
      </c>
      <c r="G9" s="1384"/>
      <c r="H9" s="304"/>
      <c r="I9" s="369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t="s">
        <v>3468</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83744</v>
      </c>
      <c r="D13" s="1081" t="s">
        <v>705</v>
      </c>
      <c r="E13" s="1081" t="s">
        <v>706</v>
      </c>
      <c r="F13" s="1082">
        <f ca="1">INDIRECT("'数据-取费表'!y"&amp;$G$1)</f>
        <v>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63435</v>
      </c>
      <c r="D14" s="1345" t="s">
        <v>708</v>
      </c>
      <c r="E14" s="1342"/>
      <c r="F14" s="319"/>
      <c r="G14" s="1384"/>
      <c r="H14" s="982" t="s">
        <v>398</v>
      </c>
      <c r="I14" s="302" t="s">
        <v>709</v>
      </c>
      <c r="J14" s="21">
        <f ca="1">C29</f>
        <v>83744</v>
      </c>
      <c r="K14" s="12"/>
      <c r="L14" s="807"/>
      <c r="M14" s="808"/>
    </row>
    <row r="15" spans="1:37" s="1397" customFormat="1" ht="18" customHeight="1" thickBot="1">
      <c r="A15" s="982" t="s">
        <v>399</v>
      </c>
      <c r="B15" s="302" t="s">
        <v>710</v>
      </c>
      <c r="C15" s="21">
        <f ca="1">ROUND(C14*F15,0)</f>
        <v>1903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419</v>
      </c>
      <c r="K16" s="1087" t="s">
        <v>715</v>
      </c>
      <c r="L16" s="1088"/>
      <c r="M16" s="1072"/>
    </row>
    <row r="17" spans="1:37" s="1397" customFormat="1" ht="18" customHeight="1">
      <c r="A17" s="982" t="s">
        <v>681</v>
      </c>
      <c r="B17" s="302" t="s">
        <v>716</v>
      </c>
      <c r="C17" s="21">
        <f ca="1">ROUND(F17*(F43+INDIRECT("'数据-取费表'!S"&amp;$G$1))/10000,0)</f>
        <v>3806</v>
      </c>
      <c r="D17" s="302" t="s">
        <v>717</v>
      </c>
      <c r="E17" s="302" t="s">
        <v>718</v>
      </c>
      <c r="F17" s="23">
        <f>'数据-取费表'!B35</f>
        <v>150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952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70096</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1402</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368153.3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418.72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2466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-419</v>
      </c>
      <c r="K25" s="1095" t="s">
        <v>753</v>
      </c>
      <c r="L25" s="1096"/>
      <c r="M25" s="1097"/>
    </row>
    <row r="26" spans="1:37">
      <c r="A26" s="982" t="s">
        <v>397</v>
      </c>
      <c r="B26" s="302" t="s">
        <v>754</v>
      </c>
      <c r="C26" s="21">
        <f ca="1">ROUND((C19+C20)*F26,0)</f>
        <v>3575</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83744</v>
      </c>
      <c r="D29" s="1092"/>
      <c r="E29" s="1090"/>
      <c r="F29" s="1093"/>
      <c r="G29" s="1396"/>
      <c r="H29" s="334" t="s">
        <v>396</v>
      </c>
      <c r="I29" s="335" t="s">
        <v>768</v>
      </c>
      <c r="J29" s="336">
        <f ca="1">ROUND(J26/(1+F40)^F41,0)</f>
        <v>0</v>
      </c>
      <c r="K29" s="337" t="s">
        <v>769</v>
      </c>
      <c r="L29" s="338"/>
      <c r="M29" s="339">
        <f ca="1">INDIRECT("'数据-取费表'!k"&amp;$G$1)</f>
        <v>253739.7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1204</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ROUND(IF(AND(项目基本情况!B11="自然人",项目基本情况!B10="北京市"),C6*F31/(1+'数据-取费表'!C42),C32+C33+C34),2)</f>
        <v>680.66</v>
      </c>
      <c r="D31" s="1345" t="s">
        <v>720</v>
      </c>
      <c r="E31" s="1344" t="s">
        <v>770</v>
      </c>
      <c r="F31" s="2315" t="str">
        <f>IF(项目基本情况!B11="企业","——",IF(M47="住宅",IF(F6*F7*F8/12/(1+'数据-取费表'!F30)&gt;100000,4%,2.5%),IF(F6*F7*F8/12/(1+'数据-取费表'!F30)&gt;100000,12%,7%)))</f>
        <v>——</v>
      </c>
      <c r="G31" s="1384"/>
      <c r="H31" s="2807" t="s">
        <v>2309</v>
      </c>
      <c r="I31" s="1398"/>
      <c r="J31" s="1399"/>
      <c r="K31" s="2475"/>
      <c r="L31" s="2697"/>
      <c r="M31" s="2698"/>
    </row>
    <row r="32" spans="1:37" ht="18" customHeight="1">
      <c r="A32" s="982" t="s">
        <v>397</v>
      </c>
      <c r="B32" s="302" t="s">
        <v>723</v>
      </c>
      <c r="C32" s="21">
        <f ca="1">IF(项目基本情况!B11="自然人","——",ROUND(C6*F32/(1+'数据-取费表'!C42),2))</f>
        <v>213.92</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466.74</v>
      </c>
      <c r="D33" s="1370" t="s">
        <v>3339</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368153.3</v>
      </c>
      <c r="G35" s="1384"/>
      <c r="H35" s="2696"/>
      <c r="I35" s="1398"/>
      <c r="J35" s="1399"/>
      <c r="K35" s="2700"/>
      <c r="L35" s="2699"/>
      <c r="M35" s="2699"/>
    </row>
    <row r="36" spans="1:18" ht="18" customHeight="1">
      <c r="A36" s="1102" t="s">
        <v>402</v>
      </c>
      <c r="B36" s="302" t="s">
        <v>738</v>
      </c>
      <c r="C36" s="21">
        <f ca="1">ROUND(C29*F36,2)</f>
        <v>418.72</v>
      </c>
      <c r="D36" s="1344" t="s">
        <v>771</v>
      </c>
      <c r="E36" s="302" t="s">
        <v>712</v>
      </c>
      <c r="F36" s="328">
        <f ca="1">INDIRECT("'数据-取费表'!Ak"&amp;$G$1)</f>
        <v>5.0000000000000001E-3</v>
      </c>
      <c r="G36" s="1384"/>
      <c r="H36" s="2699"/>
      <c r="I36" s="1398"/>
      <c r="J36" s="1399"/>
      <c r="K36" s="2544"/>
      <c r="L36" s="2699"/>
      <c r="M36" s="2699"/>
    </row>
    <row r="37" spans="1:18" ht="18" customHeight="1">
      <c r="A37" s="982" t="s">
        <v>437</v>
      </c>
      <c r="B37" s="302" t="s">
        <v>742</v>
      </c>
      <c r="C37" s="21">
        <f ca="1">ROUND(C13*F37,2)</f>
        <v>83.74</v>
      </c>
      <c r="D37" s="1344" t="s">
        <v>743</v>
      </c>
      <c r="E37" s="302" t="s">
        <v>744</v>
      </c>
      <c r="F37" s="330">
        <f ca="1">INDIRECT("'数据-取费表'!Al"&amp;$G$1)</f>
        <v>1E-3</v>
      </c>
      <c r="G37" s="1384"/>
      <c r="H37" s="2699"/>
      <c r="I37" s="1398"/>
      <c r="J37" s="1399"/>
      <c r="K37" s="2544"/>
      <c r="L37" s="2699"/>
      <c r="M37" s="2699"/>
    </row>
    <row r="38" spans="1:18" ht="18" customHeight="1" thickBot="1">
      <c r="A38" s="1089" t="s">
        <v>684</v>
      </c>
      <c r="B38" s="1090" t="s">
        <v>728</v>
      </c>
      <c r="C38" s="1091">
        <f ca="1">ROUND(C5*F38,2)</f>
        <v>20.420000000000002</v>
      </c>
      <c r="D38" s="1092" t="s">
        <v>748</v>
      </c>
      <c r="E38" s="1090" t="s">
        <v>744</v>
      </c>
      <c r="F38" s="1086">
        <f ca="1">INDIRECT("'数据-取费表'!Am"&amp;$G$1)</f>
        <v>5.0000000000000001E-3</v>
      </c>
      <c r="G38" s="1384"/>
      <c r="H38" s="2699"/>
      <c r="I38" s="1398"/>
      <c r="J38" s="1399"/>
      <c r="K38" s="2703"/>
      <c r="L38" s="2699"/>
      <c r="M38" s="2699"/>
    </row>
    <row r="39" spans="1:18" ht="24.6" customHeight="1" thickTop="1">
      <c r="A39" s="1079" t="s">
        <v>394</v>
      </c>
      <c r="B39" s="1094" t="s">
        <v>772</v>
      </c>
      <c r="C39" s="310">
        <f ca="1">C5-C30</f>
        <v>2880</v>
      </c>
      <c r="D39" s="1095" t="s">
        <v>773</v>
      </c>
      <c r="E39" s="1096"/>
      <c r="F39" s="1097"/>
      <c r="G39" s="1384"/>
      <c r="H39" s="2699"/>
      <c r="I39" s="1398"/>
      <c r="J39" s="1399"/>
      <c r="K39" s="2703"/>
      <c r="L39" s="2699"/>
      <c r="M39" s="2699"/>
    </row>
    <row r="40" spans="1:18" ht="18" customHeight="1">
      <c r="A40" s="299" t="s">
        <v>395</v>
      </c>
      <c r="B40" s="300" t="s">
        <v>774</v>
      </c>
      <c r="C40" s="301">
        <f ca="1">ROUND(C39*(1-((1+F42)/(1+F40))^F41)/(F40-F42),0)</f>
        <v>44959</v>
      </c>
      <c r="D40" s="324" t="s">
        <v>758</v>
      </c>
      <c r="E40" s="302" t="s">
        <v>759</v>
      </c>
      <c r="F40" s="312">
        <f ca="1">INDIRECT("'数据-取费表'!I"&amp;$G$1)</f>
        <v>0.06</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47.35</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f ca="1">ROUND(C40*10000/F43,0)</f>
        <v>1772</v>
      </c>
      <c r="D43" s="337" t="s">
        <v>777</v>
      </c>
      <c r="E43" s="338" t="s">
        <v>778</v>
      </c>
      <c r="F43" s="339">
        <f ca="1">INDIRECT("'数据-取费表'!k"&amp;$G$1)</f>
        <v>253739.7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f ca="1">C68-C40</f>
        <v>-52796</v>
      </c>
      <c r="D46" s="1406" t="str">
        <f>C2</f>
        <v>万元</v>
      </c>
      <c r="E46" s="1400"/>
      <c r="F46" s="1400"/>
      <c r="I46" s="1407" t="s">
        <v>810</v>
      </c>
      <c r="J46" s="1408"/>
      <c r="K46" s="1409"/>
      <c r="L46" s="1410">
        <f ca="1">IF(M47="住宅",0,IF(L48&gt;J51,L60,J60))</f>
        <v>1091</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3469</v>
      </c>
      <c r="K47" s="1416" t="s">
        <v>816</v>
      </c>
      <c r="L47" s="1417">
        <f ca="1">INDIRECT("'数据-取费表'!d"&amp;$G$1)</f>
        <v>50</v>
      </c>
      <c r="M47" s="1380" t="str">
        <f>IF(ISNUMBER(FIND("住宅",C1)),"住宅","非住宅")</f>
        <v>非住宅</v>
      </c>
      <c r="O47" s="1418" t="s">
        <v>403</v>
      </c>
      <c r="P47" s="1419" t="s">
        <v>817</v>
      </c>
      <c r="Q47" s="1420">
        <f ca="1">C40+J29</f>
        <v>44959</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3470</v>
      </c>
      <c r="K48" s="1423" t="s">
        <v>820</v>
      </c>
      <c r="L48" s="1424">
        <f ca="1">INDIRECT("'数据-取费表'!f"&amp;$G$1)</f>
        <v>47.51</v>
      </c>
      <c r="O48" s="1418" t="s">
        <v>404</v>
      </c>
      <c r="P48" s="1419" t="s">
        <v>821</v>
      </c>
      <c r="Q48" s="1420">
        <f ca="1">J60</f>
        <v>1091</v>
      </c>
      <c r="R48" s="1420" t="s">
        <v>822</v>
      </c>
    </row>
    <row r="49" spans="1:18" s="1384" customFormat="1" ht="13.8" thickBot="1">
      <c r="A49" s="975" t="s">
        <v>439</v>
      </c>
      <c r="B49" s="1371" t="s">
        <v>779</v>
      </c>
      <c r="C49" s="1114">
        <f ca="1">ROUND(F49*F51*F50*(1-F52)/10000,0)</f>
        <v>0</v>
      </c>
      <c r="D49" s="1055" t="s">
        <v>2109</v>
      </c>
      <c r="E49" s="1372" t="s">
        <v>780</v>
      </c>
      <c r="F49" s="1060"/>
      <c r="G49" s="1425"/>
      <c r="H49" s="723"/>
      <c r="I49" s="1421" t="s">
        <v>823</v>
      </c>
      <c r="J49" s="1426">
        <v>2023</v>
      </c>
      <c r="K49" s="1423" t="s">
        <v>824</v>
      </c>
      <c r="L49" s="1427"/>
      <c r="O49" s="1428" t="s">
        <v>405</v>
      </c>
      <c r="P49" s="1419" t="s">
        <v>825</v>
      </c>
      <c r="Q49" s="1420">
        <f ca="1">C29</f>
        <v>83744</v>
      </c>
      <c r="R49" s="1420" t="s">
        <v>818</v>
      </c>
    </row>
    <row r="50" spans="1:18" s="1384" customFormat="1" ht="13.8" thickBot="1">
      <c r="A50" s="976"/>
      <c r="B50" s="979"/>
      <c r="C50" s="1118"/>
      <c r="D50" s="953"/>
      <c r="E50" s="1056" t="s">
        <v>697</v>
      </c>
      <c r="F50" s="1057">
        <f ca="1">F7</f>
        <v>253739.7</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-58932</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47.35</v>
      </c>
      <c r="R52" s="1420" t="s">
        <v>835</v>
      </c>
    </row>
    <row r="53" spans="1:18" s="1384" customFormat="1" ht="36.6"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47.35</v>
      </c>
      <c r="K53" s="3688" t="s">
        <v>837</v>
      </c>
      <c r="L53" s="3689"/>
      <c r="O53" s="1418" t="s">
        <v>409</v>
      </c>
      <c r="P53" s="1419" t="s">
        <v>838</v>
      </c>
      <c r="Q53" s="1420">
        <f ca="1">Q47+Q48</f>
        <v>46050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0.05</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83744</v>
      </c>
      <c r="D56" s="1447"/>
      <c r="E56" s="1448"/>
      <c r="F56" s="1440"/>
      <c r="I56" s="1449" t="s">
        <v>842</v>
      </c>
      <c r="J56" s="1450" t="s">
        <v>3640</v>
      </c>
      <c r="K56" s="1421" t="s">
        <v>843</v>
      </c>
      <c r="L56" s="1424" t="str">
        <f ca="1">IF(L48&lt;J51,"——",L48-J53)</f>
        <v>——</v>
      </c>
      <c r="O56" s="1418" t="s">
        <v>403</v>
      </c>
      <c r="P56" s="1419" t="s">
        <v>817</v>
      </c>
      <c r="Q56" s="1420">
        <f ca="1">C40+J29</f>
        <v>44959</v>
      </c>
      <c r="R56" s="1420" t="s">
        <v>818</v>
      </c>
    </row>
    <row r="57" spans="1:18" s="1384" customFormat="1" ht="24.6" thickBot="1">
      <c r="A57" s="1451"/>
      <c r="B57" s="950" t="s">
        <v>767</v>
      </c>
      <c r="C57" s="238">
        <f ca="1">C29</f>
        <v>83744</v>
      </c>
      <c r="D57" s="1452"/>
      <c r="E57" s="1453"/>
      <c r="F57" s="1454"/>
      <c r="I57" s="1455" t="s">
        <v>844</v>
      </c>
      <c r="J57" s="1456">
        <f ca="1">IF(OR(M47="住宅",J51&lt;L48,J56="是"),"——",J51-L48)</f>
        <v>2.490000000000002</v>
      </c>
      <c r="K57" s="1421" t="s">
        <v>845</v>
      </c>
      <c r="L57" s="1424" t="str">
        <f ca="1">IF(L48&lt;J51,"——",IF(L55="比较法",L49,IF(L55="基准地价",L50,L51)))</f>
        <v>——</v>
      </c>
      <c r="O57" s="1418" t="s">
        <v>404</v>
      </c>
      <c r="P57" s="1419" t="s">
        <v>846</v>
      </c>
      <c r="Q57" s="1420">
        <f ca="1">L60</f>
        <v>0</v>
      </c>
      <c r="R57" s="1420" t="s">
        <v>847</v>
      </c>
    </row>
    <row r="58" spans="1:18" s="1384" customFormat="1" ht="24.6" thickBot="1">
      <c r="A58" s="315" t="s">
        <v>393</v>
      </c>
      <c r="B58" s="958" t="s">
        <v>714</v>
      </c>
      <c r="C58" s="316">
        <f ca="1">ROUND(C59+C64+C65+C66,0)</f>
        <v>502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33498</v>
      </c>
      <c r="K59" s="142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1091</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续建工期及建筑物耐用年限下的土地年期修正系数Kn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44959</v>
      </c>
      <c r="R62" s="1420" t="s">
        <v>410</v>
      </c>
    </row>
    <row r="63" spans="1:18" s="1384" customFormat="1" ht="13.8" thickBot="1">
      <c r="A63" s="326"/>
      <c r="B63" s="956"/>
      <c r="C63" s="26"/>
      <c r="D63" s="966"/>
      <c r="E63" s="950" t="s">
        <v>788</v>
      </c>
      <c r="F63" s="303">
        <f t="shared" ca="1" si="0"/>
        <v>368153.3</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418.72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83.74</v>
      </c>
      <c r="D65" s="964" t="s">
        <v>743</v>
      </c>
      <c r="E65" s="950" t="s">
        <v>744</v>
      </c>
      <c r="F65" s="330">
        <f t="shared" ca="1" si="0"/>
        <v>1E-3</v>
      </c>
      <c r="I65" s="1462" t="s">
        <v>867</v>
      </c>
      <c r="J65" s="1463">
        <v>40</v>
      </c>
      <c r="K65" s="1463">
        <v>30</v>
      </c>
      <c r="L65" s="1463">
        <v>50</v>
      </c>
      <c r="M65" s="1465">
        <v>0.02</v>
      </c>
      <c r="O65" s="1418" t="s">
        <v>403</v>
      </c>
      <c r="P65" s="1419" t="s">
        <v>868</v>
      </c>
      <c r="Q65" s="1420">
        <f ca="1">C40+J29</f>
        <v>44959</v>
      </c>
      <c r="R65" s="1420" t="s">
        <v>818</v>
      </c>
    </row>
    <row r="66" spans="1:18" s="1384" customFormat="1" ht="16.2"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24.6" thickBot="1">
      <c r="A67" s="957" t="s">
        <v>394</v>
      </c>
      <c r="B67" s="967" t="s">
        <v>752</v>
      </c>
      <c r="C67" s="316">
        <f ca="1">C48-C58</f>
        <v>-502</v>
      </c>
      <c r="D67" s="963" t="s">
        <v>753</v>
      </c>
      <c r="E67" s="968"/>
      <c r="F67" s="969"/>
      <c r="O67" s="1428" t="s">
        <v>405</v>
      </c>
      <c r="P67" s="1419" t="s">
        <v>850</v>
      </c>
      <c r="Q67" s="1466">
        <f ca="1">L51</f>
        <v>-58932</v>
      </c>
      <c r="R67" s="1420" t="s">
        <v>870</v>
      </c>
    </row>
    <row r="68" spans="1:18" s="1384" customFormat="1" ht="16.2" thickBot="1">
      <c r="A68" s="947" t="s">
        <v>395</v>
      </c>
      <c r="B68" s="948" t="s">
        <v>774</v>
      </c>
      <c r="C68" s="301">
        <f ca="1">ROUND(C67*(1-((1+F70)/(1+F68))^F69)/(F68-F70),0)</f>
        <v>-7837</v>
      </c>
      <c r="D68" s="965" t="s">
        <v>758</v>
      </c>
      <c r="E68" s="950" t="s">
        <v>759</v>
      </c>
      <c r="F68" s="312">
        <f ca="1">F40</f>
        <v>0.06</v>
      </c>
      <c r="O68" s="1428" t="s">
        <v>406</v>
      </c>
      <c r="P68" s="1467" t="s">
        <v>871</v>
      </c>
      <c r="Q68" s="1420">
        <f ca="1">ROUND(Q69-Q70*Q71,0)</f>
        <v>-2982</v>
      </c>
      <c r="R68" s="1420" t="s">
        <v>414</v>
      </c>
    </row>
    <row r="69" spans="1:18" s="1384" customFormat="1" ht="13.8" thickBot="1">
      <c r="A69" s="951"/>
      <c r="B69" s="952"/>
      <c r="C69" s="306"/>
      <c r="D69" s="970" t="s">
        <v>762</v>
      </c>
      <c r="E69" s="950" t="s">
        <v>763</v>
      </c>
      <c r="F69" s="333">
        <f ca="1">F41</f>
        <v>47.35</v>
      </c>
      <c r="O69" s="1428" t="s">
        <v>411</v>
      </c>
      <c r="P69" s="1467" t="s">
        <v>872</v>
      </c>
      <c r="Q69" s="1420">
        <f ca="1">C39</f>
        <v>2880</v>
      </c>
      <c r="R69" s="1420" t="s">
        <v>818</v>
      </c>
    </row>
    <row r="70" spans="1:18" s="1384" customFormat="1" ht="13.8" thickBot="1">
      <c r="A70" s="954"/>
      <c r="B70" s="955"/>
      <c r="C70" s="310"/>
      <c r="D70" s="966"/>
      <c r="E70" s="950" t="s">
        <v>766</v>
      </c>
      <c r="F70" s="1054"/>
      <c r="O70" s="1428" t="s">
        <v>412</v>
      </c>
      <c r="P70" s="1467" t="s">
        <v>873</v>
      </c>
      <c r="Q70" s="1420">
        <f ca="1">C13</f>
        <v>83744</v>
      </c>
      <c r="R70" s="1420" t="s">
        <v>818</v>
      </c>
    </row>
    <row r="71" spans="1:18" s="1384" customFormat="1" ht="13.8" thickBot="1">
      <c r="A71" s="971" t="s">
        <v>396</v>
      </c>
      <c r="B71" s="972" t="s">
        <v>776</v>
      </c>
      <c r="C71" s="336">
        <f ca="1">ROUND(C68*10000/F71,0)</f>
        <v>-309</v>
      </c>
      <c r="D71" s="973" t="s">
        <v>777</v>
      </c>
      <c r="E71" s="974" t="s">
        <v>778</v>
      </c>
      <c r="F71" s="339">
        <f ca="1">F43</f>
        <v>253739.7</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续建工期及建筑物耐用年限下的土地年期修正系数Kn</v>
      </c>
      <c r="Q74" s="1420" t="e">
        <f ca="1">L59</f>
        <v>#DIV/0!</v>
      </c>
      <c r="R74" s="1420" t="s">
        <v>857</v>
      </c>
    </row>
    <row r="75" spans="1:18" ht="13.8" thickBot="1">
      <c r="A75" s="1384"/>
      <c r="B75" s="340" t="s">
        <v>795</v>
      </c>
      <c r="C75" s="341">
        <f ca="1">ROUND(C13*C76,0)</f>
        <v>5862</v>
      </c>
      <c r="D75" s="1384"/>
      <c r="E75" s="1384"/>
      <c r="F75" s="1384"/>
      <c r="K75" s="1402"/>
      <c r="L75" s="1384"/>
      <c r="O75" s="1418" t="s">
        <v>409</v>
      </c>
      <c r="P75" s="1419" t="s">
        <v>838</v>
      </c>
      <c r="Q75" s="1420">
        <f ca="1">Q65+Q66</f>
        <v>44959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-1.0350000000000001</v>
      </c>
    </row>
    <row r="80" spans="1:18">
      <c r="B80" s="340" t="s">
        <v>800</v>
      </c>
      <c r="C80" s="274">
        <f ca="1">ROUND(C75/C39,3)</f>
        <v>2.0350000000000001</v>
      </c>
    </row>
    <row r="81" spans="2:3">
      <c r="B81" s="270" t="s">
        <v>801</v>
      </c>
      <c r="C81" s="238"/>
    </row>
    <row r="82" spans="2:3">
      <c r="B82" s="273" t="s">
        <v>802</v>
      </c>
      <c r="C82" s="275">
        <f ca="1">1-C83</f>
        <v>-0.86299999999999999</v>
      </c>
    </row>
    <row r="83" spans="2:3">
      <c r="B83" s="273" t="s">
        <v>803</v>
      </c>
      <c r="C83" s="274">
        <f ca="1">ROUND(C13/C40,3)</f>
        <v>1.863</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0" t="s">
        <v>694</v>
      </c>
      <c r="C6" s="1074">
        <f ca="1">ROUND(F6*F8*F7*(1-F9),0)</f>
        <v>0</v>
      </c>
      <c r="D6" s="155" t="s">
        <v>2105</v>
      </c>
      <c r="E6" s="302" t="s">
        <v>696</v>
      </c>
      <c r="F6" s="303">
        <f ca="1">INDIRECT("'数据-取费表'!u"&amp;$G$1)</f>
        <v>0</v>
      </c>
      <c r="G6" s="1384"/>
      <c r="H6" s="1069" t="s">
        <v>398</v>
      </c>
      <c r="I6" s="3690" t="s">
        <v>694</v>
      </c>
      <c r="J6" s="301">
        <f ca="1">ROUND(M6*M8*M7*(1-M9),0)</f>
        <v>0</v>
      </c>
      <c r="K6" s="1376" t="s">
        <v>2106</v>
      </c>
      <c r="L6" s="302" t="s">
        <v>696</v>
      </c>
      <c r="M6" s="303">
        <f ca="1">INDIRECT("'数据-取费表'!z"&amp;$G$1)</f>
        <v>0</v>
      </c>
    </row>
    <row r="7" spans="1:37" ht="18" customHeight="1">
      <c r="A7" s="1073"/>
      <c r="B7" s="3691"/>
      <c r="C7" s="1075"/>
      <c r="D7" s="307"/>
      <c r="E7" s="1076" t="s">
        <v>697</v>
      </c>
      <c r="F7" s="303">
        <f ca="1">IF(INDIRECT("'数据-取费表'!ah"&amp;$G$1)="",INDIRECT("'数据-取费表'!k"&amp;$G$1),INDIRECT("'数据-取费表'!ah"&amp;$G$1))</f>
        <v>0</v>
      </c>
      <c r="G7" s="1384"/>
      <c r="H7" s="304"/>
      <c r="I7" s="3691"/>
      <c r="J7" s="306"/>
      <c r="K7" s="307"/>
      <c r="L7" s="302" t="s">
        <v>697</v>
      </c>
      <c r="M7" s="303">
        <f ca="1">F7</f>
        <v>0</v>
      </c>
    </row>
    <row r="8" spans="1:37" ht="18" customHeight="1">
      <c r="A8" s="304"/>
      <c r="B8" s="3691"/>
      <c r="C8" s="306"/>
      <c r="D8" s="307"/>
      <c r="E8" s="302" t="s">
        <v>698</v>
      </c>
      <c r="F8" s="303">
        <f ca="1">INDIRECT("'数据-取费表'!ai"&amp;$G$1)</f>
        <v>0</v>
      </c>
      <c r="G8" s="1384"/>
      <c r="H8" s="304"/>
      <c r="I8" s="3691"/>
      <c r="J8" s="306"/>
      <c r="K8" s="307"/>
      <c r="L8" s="302" t="s">
        <v>698</v>
      </c>
      <c r="M8" s="303">
        <f ca="1">INDIRECT("'数据-取费表'!ai"&amp;$G$1)</f>
        <v>0</v>
      </c>
    </row>
    <row r="9" spans="1:37" ht="18" customHeight="1">
      <c r="A9" s="304"/>
      <c r="B9" s="3692"/>
      <c r="C9" s="306"/>
      <c r="D9" s="307"/>
      <c r="E9" s="302" t="s">
        <v>699</v>
      </c>
      <c r="F9" s="312">
        <f ca="1">INDIRECT("'数据-取费表'!w"&amp;$G$1)</f>
        <v>0</v>
      </c>
      <c r="G9" s="1384"/>
      <c r="H9" s="304"/>
      <c r="I9" s="369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150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5"/>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2309</v>
      </c>
      <c r="I31" s="1398"/>
      <c r="J31" s="1399"/>
      <c r="K31" s="2475"/>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5"/>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4"/>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4"/>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0" t="s">
        <v>3355</v>
      </c>
      <c r="B45" s="1400"/>
      <c r="C45" s="1472" t="e">
        <f ca="1">ROUND((C68-C40)/10000,4)</f>
        <v>#DIV/0!</v>
      </c>
      <c r="D45" s="3431" t="s">
        <v>3356</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88" t="s">
        <v>837</v>
      </c>
      <c r="L53" s="3689"/>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2" customHeight="1">
      <c r="A2" s="1385" t="s">
        <v>2318</v>
      </c>
      <c r="B2" s="2842" t="e">
        <f>IF(D2="——",C40,C40+E2)</f>
        <v>#DIV/0!</v>
      </c>
      <c r="C2" s="2843" t="s">
        <v>2319</v>
      </c>
      <c r="D2" s="3442" t="s">
        <v>3362</v>
      </c>
      <c r="E2" s="3443"/>
      <c r="F2" s="2845"/>
      <c r="G2" s="2846"/>
      <c r="H2" s="2847"/>
      <c r="I2" s="2848"/>
      <c r="J2" s="3693" t="s">
        <v>2320</v>
      </c>
      <c r="K2" s="3694"/>
      <c r="L2" s="2849" t="s">
        <v>2321</v>
      </c>
      <c r="M2" s="2849" t="s">
        <v>2322</v>
      </c>
      <c r="N2" s="2849" t="s">
        <v>2323</v>
      </c>
      <c r="O2" s="2849" t="s">
        <v>2324</v>
      </c>
      <c r="P2" s="2849" t="s">
        <v>2325</v>
      </c>
      <c r="Q2" s="2850" t="s">
        <v>2326</v>
      </c>
      <c r="R2" s="2851" t="s">
        <v>2327</v>
      </c>
      <c r="S2" s="2840"/>
      <c r="T2" s="2840"/>
      <c r="U2" s="2840"/>
      <c r="V2" s="2848"/>
    </row>
    <row r="3" spans="1:22" s="2852" customFormat="1" ht="13.2" customHeight="1">
      <c r="A3" s="2853" t="s">
        <v>2328</v>
      </c>
      <c r="B3" s="2854" t="e">
        <f>ROUND(B2*10000/B4,0)</f>
        <v>#DIV/0!</v>
      </c>
      <c r="C3" s="2843" t="s">
        <v>2329</v>
      </c>
      <c r="D3" s="2843"/>
      <c r="E3" s="2844"/>
      <c r="F3" s="2845"/>
      <c r="G3" s="2846"/>
      <c r="H3" s="2847"/>
      <c r="I3" s="2848"/>
      <c r="J3" s="3695" t="s">
        <v>2330</v>
      </c>
      <c r="K3" s="3696"/>
      <c r="L3" s="2855"/>
      <c r="M3" s="2855"/>
      <c r="N3" s="2855"/>
      <c r="O3" s="2855"/>
      <c r="P3" s="2855"/>
      <c r="Q3" s="2856"/>
      <c r="R3" s="2857">
        <f>SUM(L3:Q3)</f>
        <v>0</v>
      </c>
      <c r="S3" s="2840"/>
      <c r="T3" s="2840"/>
      <c r="U3" s="2840"/>
      <c r="V3" s="2848"/>
    </row>
    <row r="4" spans="1:22" s="2852" customFormat="1" ht="13.2" customHeight="1">
      <c r="A4" s="2858" t="s">
        <v>2331</v>
      </c>
      <c r="B4" s="2859"/>
      <c r="C4" s="2843"/>
      <c r="D4" s="2843"/>
      <c r="E4" s="2844"/>
      <c r="F4" s="2845"/>
      <c r="G4" s="2846"/>
      <c r="H4" s="2847"/>
      <c r="I4" s="2848"/>
      <c r="J4" s="3695" t="s">
        <v>2332</v>
      </c>
      <c r="K4" s="3696"/>
      <c r="L4" s="2860"/>
      <c r="M4" s="2860"/>
      <c r="N4" s="2860"/>
      <c r="O4" s="2860"/>
      <c r="P4" s="2860"/>
      <c r="Q4" s="2861"/>
      <c r="R4" s="2862">
        <f>SUM(L4:Q4)</f>
        <v>0</v>
      </c>
      <c r="S4" s="2840"/>
      <c r="T4" s="2840"/>
      <c r="U4" s="2840"/>
      <c r="V4" s="2848"/>
    </row>
    <row r="5" spans="1:22" s="2852" customFormat="1" ht="13.2"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2" customHeight="1" thickBot="1">
      <c r="A6" s="3697" t="s">
        <v>2336</v>
      </c>
      <c r="B6" s="3698"/>
      <c r="C6" s="3699"/>
      <c r="D6" s="2869"/>
      <c r="E6" s="2870"/>
      <c r="F6" s="2871"/>
      <c r="G6" s="2872"/>
      <c r="H6" s="2847"/>
      <c r="I6" s="2848"/>
      <c r="J6" s="3700">
        <v>1</v>
      </c>
      <c r="K6" s="3701"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2" customHeight="1">
      <c r="A7" s="2875" t="s">
        <v>2346</v>
      </c>
      <c r="B7" s="2876"/>
      <c r="C7" s="2877"/>
      <c r="D7" s="2878">
        <f>SUM(D9,D10,D11,D17,0)</f>
        <v>0</v>
      </c>
      <c r="E7" s="2879" t="e">
        <f>E9+E10+E11+E17</f>
        <v>#DIV/0!</v>
      </c>
      <c r="F7" s="2880"/>
      <c r="G7" s="2881"/>
      <c r="H7" s="2847"/>
      <c r="I7" s="2848"/>
      <c r="J7" s="3700"/>
      <c r="K7" s="3702"/>
      <c r="L7" s="2882" t="s">
        <v>2347</v>
      </c>
      <c r="M7" s="2883"/>
      <c r="N7" s="2859"/>
      <c r="O7" s="2884"/>
      <c r="P7" s="2884"/>
      <c r="Q7" s="2885">
        <v>365</v>
      </c>
      <c r="R7" s="2886">
        <f>ROUND(M7*N7*O7*P7*Q7/10000,0)</f>
        <v>0</v>
      </c>
      <c r="S7" s="2840"/>
      <c r="T7" s="2840" t="s">
        <v>2348</v>
      </c>
      <c r="U7" s="2840"/>
      <c r="V7" s="2848"/>
    </row>
    <row r="8" spans="1:22" s="2852" customFormat="1" ht="13.2" customHeight="1">
      <c r="A8" s="2887" t="s">
        <v>2349</v>
      </c>
      <c r="B8" s="3704" t="s">
        <v>2350</v>
      </c>
      <c r="C8" s="3705"/>
      <c r="D8" s="2888" t="s">
        <v>2351</v>
      </c>
      <c r="E8" s="2889" t="s">
        <v>2352</v>
      </c>
      <c r="F8" s="2890" t="s">
        <v>2353</v>
      </c>
      <c r="G8" s="2891"/>
      <c r="H8" s="2847"/>
      <c r="I8" s="2848"/>
      <c r="J8" s="3700"/>
      <c r="K8" s="3702"/>
      <c r="L8" s="2882" t="s">
        <v>2354</v>
      </c>
      <c r="M8" s="2883"/>
      <c r="N8" s="2859"/>
      <c r="O8" s="2884"/>
      <c r="P8" s="2884"/>
      <c r="Q8" s="2885">
        <v>365</v>
      </c>
      <c r="R8" s="2886">
        <f t="shared" ref="R8:R13" si="0">ROUND(M8*N8*O8*P8*Q8/10000,0)</f>
        <v>0</v>
      </c>
      <c r="S8" s="2840"/>
      <c r="T8" s="2840" t="s">
        <v>2355</v>
      </c>
      <c r="U8" s="2840"/>
      <c r="V8" s="2848"/>
    </row>
    <row r="9" spans="1:22" s="2852" customFormat="1" ht="13.2" customHeight="1">
      <c r="A9" s="2887">
        <v>1</v>
      </c>
      <c r="B9" s="3704" t="s">
        <v>2356</v>
      </c>
      <c r="C9" s="3705"/>
      <c r="D9" s="2888">
        <f>ROUND(D6*E9,0)</f>
        <v>0</v>
      </c>
      <c r="E9" s="2892"/>
      <c r="F9" s="2893" t="s">
        <v>2357</v>
      </c>
      <c r="G9" s="2872"/>
      <c r="H9" s="2847"/>
      <c r="I9" s="2848"/>
      <c r="J9" s="3700"/>
      <c r="K9" s="3702"/>
      <c r="L9" s="2882" t="s">
        <v>2358</v>
      </c>
      <c r="M9" s="2883"/>
      <c r="N9" s="2859"/>
      <c r="O9" s="2884"/>
      <c r="P9" s="2884"/>
      <c r="Q9" s="2885">
        <v>365</v>
      </c>
      <c r="R9" s="2886">
        <f t="shared" si="0"/>
        <v>0</v>
      </c>
      <c r="S9" s="2840"/>
      <c r="T9" s="2840"/>
      <c r="U9" s="2840"/>
      <c r="V9" s="2848"/>
    </row>
    <row r="10" spans="1:22" s="2852" customFormat="1" ht="13.2" customHeight="1">
      <c r="A10" s="2887">
        <v>2</v>
      </c>
      <c r="B10" s="3704" t="s">
        <v>2359</v>
      </c>
      <c r="C10" s="3705"/>
      <c r="D10" s="2888">
        <f>ROUND(D6*E10,0)</f>
        <v>0</v>
      </c>
      <c r="E10" s="2892"/>
      <c r="F10" s="2893" t="s">
        <v>2360</v>
      </c>
      <c r="G10" s="2872"/>
      <c r="H10" s="2847"/>
      <c r="I10" s="2848"/>
      <c r="J10" s="3700"/>
      <c r="K10" s="3702"/>
      <c r="L10" s="2882" t="s">
        <v>2361</v>
      </c>
      <c r="M10" s="2883"/>
      <c r="N10" s="2859"/>
      <c r="O10" s="2884"/>
      <c r="P10" s="2884"/>
      <c r="Q10" s="2885">
        <v>365</v>
      </c>
      <c r="R10" s="2886">
        <f t="shared" si="0"/>
        <v>0</v>
      </c>
      <c r="S10" s="2840"/>
      <c r="T10" s="2840"/>
      <c r="U10" s="2840"/>
      <c r="V10" s="2848"/>
    </row>
    <row r="11" spans="1:22" s="2852" customFormat="1" ht="13.2" customHeight="1">
      <c r="A11" s="2887">
        <v>3</v>
      </c>
      <c r="B11" s="3704" t="s">
        <v>2362</v>
      </c>
      <c r="C11" s="3705"/>
      <c r="D11" s="2888">
        <f>D12+D14+D15+D16</f>
        <v>0</v>
      </c>
      <c r="E11" s="2894" t="e">
        <f>D11/D6</f>
        <v>#DIV/0!</v>
      </c>
      <c r="F11" s="2890"/>
      <c r="G11" s="2891"/>
      <c r="H11" s="2847"/>
      <c r="I11" s="2848"/>
      <c r="J11" s="3700"/>
      <c r="K11" s="3702"/>
      <c r="L11" s="2882" t="s">
        <v>2363</v>
      </c>
      <c r="M11" s="2883"/>
      <c r="N11" s="2859"/>
      <c r="O11" s="2884"/>
      <c r="P11" s="2884"/>
      <c r="Q11" s="2885">
        <v>365</v>
      </c>
      <c r="R11" s="2886">
        <f t="shared" si="0"/>
        <v>0</v>
      </c>
      <c r="S11" s="2840"/>
      <c r="T11" s="2840"/>
      <c r="U11" s="2840"/>
      <c r="V11" s="2848"/>
    </row>
    <row r="12" spans="1:22" s="2852" customFormat="1" ht="13.2" customHeight="1">
      <c r="A12" s="2895" t="s">
        <v>2364</v>
      </c>
      <c r="B12" s="3706" t="s">
        <v>2365</v>
      </c>
      <c r="C12" s="3707"/>
      <c r="D12" s="2896">
        <f>ROUND(D13*1.2%*(1-30%),0)</f>
        <v>0</v>
      </c>
      <c r="E12" s="2897">
        <v>1.2E-2</v>
      </c>
      <c r="F12" s="2890" t="s">
        <v>2366</v>
      </c>
      <c r="G12" s="2891"/>
      <c r="H12" s="2847"/>
      <c r="I12" s="2848"/>
      <c r="J12" s="3700"/>
      <c r="K12" s="3702"/>
      <c r="L12" s="2882" t="s">
        <v>2367</v>
      </c>
      <c r="M12" s="2883"/>
      <c r="N12" s="2859"/>
      <c r="O12" s="2884"/>
      <c r="P12" s="2884"/>
      <c r="Q12" s="2885">
        <v>365</v>
      </c>
      <c r="R12" s="2886">
        <f t="shared" si="0"/>
        <v>0</v>
      </c>
      <c r="S12" s="2840"/>
      <c r="T12" s="2840"/>
      <c r="U12" s="2840"/>
      <c r="V12" s="2848"/>
    </row>
    <row r="13" spans="1:22" s="2852" customFormat="1" ht="13.2" customHeight="1">
      <c r="A13" s="2895"/>
      <c r="B13" s="2898"/>
      <c r="C13" s="2899" t="s">
        <v>2368</v>
      </c>
      <c r="D13" s="2900"/>
      <c r="E13" s="2901"/>
      <c r="F13" s="2890"/>
      <c r="G13" s="2891"/>
      <c r="H13" s="2847"/>
      <c r="I13" s="2848"/>
      <c r="J13" s="3700"/>
      <c r="K13" s="3702"/>
      <c r="L13" s="2882" t="s">
        <v>2369</v>
      </c>
      <c r="M13" s="2883"/>
      <c r="N13" s="2859"/>
      <c r="O13" s="2884"/>
      <c r="P13" s="2884"/>
      <c r="Q13" s="2885">
        <v>365</v>
      </c>
      <c r="R13" s="2886">
        <f t="shared" si="0"/>
        <v>0</v>
      </c>
      <c r="S13" s="2840"/>
      <c r="T13" s="2840"/>
      <c r="U13" s="2840"/>
      <c r="V13" s="2848"/>
    </row>
    <row r="14" spans="1:22" s="2852" customFormat="1" ht="13.2" customHeight="1">
      <c r="A14" s="2895" t="s">
        <v>2370</v>
      </c>
      <c r="B14" s="3706" t="s">
        <v>2371</v>
      </c>
      <c r="C14" s="3707"/>
      <c r="D14" s="2896">
        <f>ROUND(E14*B5/10000,0)</f>
        <v>0</v>
      </c>
      <c r="E14" s="2885"/>
      <c r="F14" s="2890" t="s">
        <v>2372</v>
      </c>
      <c r="G14" s="2891"/>
      <c r="H14" s="2847"/>
      <c r="I14" s="2848"/>
      <c r="J14" s="3700"/>
      <c r="K14" s="3703"/>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2374</v>
      </c>
      <c r="B15" s="3706" t="s">
        <v>2375</v>
      </c>
      <c r="C15" s="3707"/>
      <c r="D15" s="2896">
        <f>ROUND(D6*E15,0)</f>
        <v>0</v>
      </c>
      <c r="E15" s="2897">
        <v>5.5E-2</v>
      </c>
      <c r="F15" s="2890" t="s">
        <v>2376</v>
      </c>
      <c r="G15" s="2872"/>
      <c r="H15" s="2847"/>
      <c r="I15" s="2848"/>
      <c r="J15" s="3700">
        <v>2</v>
      </c>
      <c r="K15" s="3701"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2" customHeight="1">
      <c r="A16" s="2895" t="s">
        <v>2383</v>
      </c>
      <c r="B16" s="3706" t="s">
        <v>2384</v>
      </c>
      <c r="C16" s="3707"/>
      <c r="D16" s="2907">
        <f>D6*E16</f>
        <v>0</v>
      </c>
      <c r="E16" s="2908"/>
      <c r="F16" s="2893" t="s">
        <v>2385</v>
      </c>
      <c r="G16" s="2872"/>
      <c r="H16" s="2847"/>
      <c r="I16" s="2848"/>
      <c r="J16" s="3700"/>
      <c r="K16" s="3702"/>
      <c r="L16" s="2882" t="s">
        <v>2386</v>
      </c>
      <c r="M16" s="2883"/>
      <c r="N16" s="2883"/>
      <c r="O16" s="2884"/>
      <c r="P16" s="2885">
        <v>365</v>
      </c>
      <c r="Q16" s="2859"/>
      <c r="R16" s="2906">
        <f>ROUND(M16*N16*O16*P16/10000,0)</f>
        <v>0</v>
      </c>
      <c r="S16" s="2840"/>
      <c r="T16" s="2840"/>
      <c r="U16" s="2840"/>
      <c r="V16" s="2848"/>
    </row>
    <row r="17" spans="1:22" s="2852" customFormat="1" ht="13.2" customHeight="1" thickBot="1">
      <c r="A17" s="2909">
        <v>4</v>
      </c>
      <c r="B17" s="3708" t="s">
        <v>2387</v>
      </c>
      <c r="C17" s="3709"/>
      <c r="D17" s="2910">
        <f>ROUND(D6*E17,0)</f>
        <v>0</v>
      </c>
      <c r="E17" s="2911"/>
      <c r="F17" s="2912" t="s">
        <v>2388</v>
      </c>
      <c r="G17" s="2872"/>
      <c r="H17" s="2847"/>
      <c r="I17" s="2848"/>
      <c r="J17" s="3700"/>
      <c r="K17" s="3702"/>
      <c r="L17" s="2882" t="s">
        <v>2389</v>
      </c>
      <c r="M17" s="2883"/>
      <c r="N17" s="2883"/>
      <c r="O17" s="2884"/>
      <c r="P17" s="2885">
        <v>365</v>
      </c>
      <c r="Q17" s="2859"/>
      <c r="R17" s="2906">
        <f>ROUND(M17*N17*O17*P17/10000,0)</f>
        <v>0</v>
      </c>
      <c r="S17" s="2840"/>
      <c r="T17" s="2840"/>
      <c r="U17" s="2840"/>
      <c r="V17" s="2848"/>
    </row>
    <row r="18" spans="1:22" s="2852" customFormat="1" ht="13.2" customHeight="1" thickBot="1">
      <c r="A18" s="2875" t="s">
        <v>2390</v>
      </c>
      <c r="B18" s="2876"/>
      <c r="C18" s="2876"/>
      <c r="D18" s="2913">
        <f>ROUND(D6*E18,0)</f>
        <v>0</v>
      </c>
      <c r="E18" s="2914"/>
      <c r="F18" s="2915" t="s">
        <v>2391</v>
      </c>
      <c r="G18" s="2872"/>
      <c r="H18" s="2847"/>
      <c r="I18" s="2848"/>
      <c r="J18" s="3700"/>
      <c r="K18" s="3702"/>
      <c r="L18" s="2882" t="s">
        <v>2392</v>
      </c>
      <c r="M18" s="2883"/>
      <c r="N18" s="2883"/>
      <c r="O18" s="2884"/>
      <c r="P18" s="2885">
        <v>365</v>
      </c>
      <c r="Q18" s="2859"/>
      <c r="R18" s="2906">
        <f>ROUND(M18*N18*O18*P18/10000,0)</f>
        <v>0</v>
      </c>
      <c r="S18" s="2840"/>
      <c r="T18" s="2840"/>
      <c r="U18" s="2840"/>
      <c r="V18" s="2848"/>
    </row>
    <row r="19" spans="1:22" s="2852" customFormat="1" ht="13.2" customHeight="1" thickBot="1">
      <c r="A19" s="2916" t="s">
        <v>2393</v>
      </c>
      <c r="B19" s="2870"/>
      <c r="C19" s="2870"/>
      <c r="D19" s="2870"/>
      <c r="E19" s="2870"/>
      <c r="F19" s="2871"/>
      <c r="G19" s="2891"/>
      <c r="H19" s="2847"/>
      <c r="I19" s="2848"/>
      <c r="J19" s="3700"/>
      <c r="K19" s="3703"/>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700">
        <v>3</v>
      </c>
      <c r="K20" s="3701"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2" customHeight="1">
      <c r="A21" s="2875"/>
      <c r="B21" s="2876"/>
      <c r="C21" s="2922" t="s">
        <v>2402</v>
      </c>
      <c r="D21" s="2923" t="s">
        <v>2403</v>
      </c>
      <c r="E21" s="2924" t="s">
        <v>2404</v>
      </c>
      <c r="F21" s="2919"/>
      <c r="G21" s="2891"/>
      <c r="H21" s="2847"/>
      <c r="I21" s="2848"/>
      <c r="J21" s="3700"/>
      <c r="K21" s="3702"/>
      <c r="L21" s="2882" t="s">
        <v>2405</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2406</v>
      </c>
      <c r="D22" s="2927" t="s">
        <v>2407</v>
      </c>
      <c r="E22" s="2928" t="s">
        <v>2408</v>
      </c>
      <c r="F22" s="2919"/>
      <c r="G22" s="2929"/>
      <c r="H22" s="2847"/>
      <c r="I22" s="2848"/>
      <c r="J22" s="3700"/>
      <c r="K22" s="3702"/>
      <c r="L22" s="2882" t="s">
        <v>2409</v>
      </c>
      <c r="M22" s="2883"/>
      <c r="N22" s="2883"/>
      <c r="O22" s="2884"/>
      <c r="P22" s="2885">
        <v>365</v>
      </c>
      <c r="Q22" s="2859"/>
      <c r="R22" s="2925">
        <f>ROUND(M22*N22*O22*P22/10000,0)</f>
        <v>0</v>
      </c>
      <c r="S22" s="2921"/>
      <c r="T22" s="2921"/>
      <c r="U22" s="2921"/>
      <c r="V22" s="2848"/>
    </row>
    <row r="23" spans="1:22" s="2852" customFormat="1" ht="13.2" customHeight="1">
      <c r="A23" s="2930">
        <v>1</v>
      </c>
      <c r="B23" s="2931" t="s">
        <v>2410</v>
      </c>
      <c r="C23" s="2932">
        <f>D6</f>
        <v>0</v>
      </c>
      <c r="D23" s="2933">
        <f>C23*(1+D24)</f>
        <v>0</v>
      </c>
      <c r="E23" s="2934">
        <f>D23*(1+E24)</f>
        <v>0</v>
      </c>
      <c r="F23" s="2935"/>
      <c r="G23" s="2936"/>
      <c r="H23" s="2847"/>
      <c r="I23" s="2848"/>
      <c r="J23" s="3700"/>
      <c r="K23" s="3702"/>
      <c r="L23" s="2882" t="s">
        <v>2411</v>
      </c>
      <c r="M23" s="2883"/>
      <c r="N23" s="2883"/>
      <c r="O23" s="2884"/>
      <c r="P23" s="2885">
        <v>365</v>
      </c>
      <c r="Q23" s="2859"/>
      <c r="R23" s="2925">
        <f>ROUND(M23*N23*O23*P23/10000,0)</f>
        <v>0</v>
      </c>
      <c r="S23" s="2840"/>
      <c r="T23" s="2840"/>
      <c r="U23" s="2840"/>
      <c r="V23" s="2848"/>
    </row>
    <row r="24" spans="1:22" s="2852" customFormat="1" ht="13.2" customHeight="1">
      <c r="A24" s="2937"/>
      <c r="B24" s="2938" t="s">
        <v>2412</v>
      </c>
      <c r="C24" s="2939"/>
      <c r="D24" s="2940"/>
      <c r="E24" s="2941"/>
      <c r="F24" s="2942"/>
      <c r="G24" s="2936"/>
      <c r="H24" s="2847"/>
      <c r="I24" s="2848"/>
      <c r="J24" s="3700"/>
      <c r="K24" s="3703"/>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2" customHeight="1">
      <c r="A26" s="2930">
        <v>2</v>
      </c>
      <c r="B26" s="2931" t="s">
        <v>2414</v>
      </c>
      <c r="C26" s="2932">
        <f>D7</f>
        <v>0</v>
      </c>
      <c r="D26" s="2933">
        <f>D23*D27</f>
        <v>0</v>
      </c>
      <c r="E26" s="2934">
        <f>E23*E27</f>
        <v>0</v>
      </c>
      <c r="F26" s="2935"/>
      <c r="G26" s="2936"/>
      <c r="H26" s="2847"/>
      <c r="I26" s="2848"/>
      <c r="J26" s="3710">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2" customHeight="1">
      <c r="A27" s="2937"/>
      <c r="B27" s="2938" t="s">
        <v>2420</v>
      </c>
      <c r="C27" s="2956" t="e">
        <f>E7</f>
        <v>#DIV/0!</v>
      </c>
      <c r="D27" s="2940"/>
      <c r="E27" s="2941"/>
      <c r="F27" s="2942"/>
      <c r="G27" s="2936"/>
      <c r="H27" s="2957"/>
      <c r="I27" s="2948"/>
      <c r="J27" s="3711"/>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2"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2" customHeight="1">
      <c r="A32" s="2930">
        <v>4</v>
      </c>
      <c r="B32" s="2931" t="s">
        <v>2428</v>
      </c>
      <c r="C32" s="2932">
        <f>C23-C26-C29</f>
        <v>0</v>
      </c>
      <c r="D32" s="2933">
        <f>D23-D26-D29</f>
        <v>0</v>
      </c>
      <c r="E32" s="2934">
        <f>E23-E26-E29</f>
        <v>0</v>
      </c>
      <c r="F32" s="2935"/>
      <c r="G32" s="2929"/>
      <c r="H32" s="2847"/>
      <c r="I32" s="2848"/>
      <c r="J32" s="3693" t="s">
        <v>2320</v>
      </c>
      <c r="K32" s="3694"/>
      <c r="L32" s="2849" t="s">
        <v>2321</v>
      </c>
      <c r="M32" s="2849" t="s">
        <v>2322</v>
      </c>
      <c r="N32" s="2849" t="s">
        <v>2323</v>
      </c>
      <c r="O32" s="2849" t="s">
        <v>2324</v>
      </c>
      <c r="P32" s="2849" t="s">
        <v>2325</v>
      </c>
      <c r="Q32" s="2850" t="s">
        <v>2326</v>
      </c>
      <c r="R32" s="2972" t="s">
        <v>2327</v>
      </c>
      <c r="S32" s="2921"/>
      <c r="T32" s="2840"/>
      <c r="U32" s="2840"/>
      <c r="V32" s="2948"/>
    </row>
    <row r="33" spans="1:23" s="2852" customFormat="1" ht="13.2" customHeight="1">
      <c r="A33" s="2930"/>
      <c r="B33" s="2931"/>
      <c r="C33" s="2932"/>
      <c r="D33" s="2973"/>
      <c r="E33" s="2974"/>
      <c r="F33" s="2935"/>
      <c r="G33" s="2929"/>
      <c r="H33" s="2957"/>
      <c r="I33" s="2948"/>
      <c r="J33" s="3695" t="s">
        <v>2330</v>
      </c>
      <c r="K33" s="3696"/>
      <c r="L33" s="2855"/>
      <c r="M33" s="2855"/>
      <c r="N33" s="2855"/>
      <c r="O33" s="2855"/>
      <c r="P33" s="2855"/>
      <c r="Q33" s="2856"/>
      <c r="R33" s="2975">
        <f>SUM(L33:Q33)</f>
        <v>0</v>
      </c>
      <c r="S33" s="2921"/>
      <c r="T33" s="2840"/>
      <c r="U33" s="2840"/>
      <c r="V33" s="2848"/>
    </row>
    <row r="34" spans="1:23" s="2852" customFormat="1" ht="13.2" customHeight="1">
      <c r="A34" s="2930">
        <v>5</v>
      </c>
      <c r="B34" s="2931" t="s">
        <v>2429</v>
      </c>
      <c r="C34" s="2976"/>
      <c r="D34" s="2977"/>
      <c r="E34" s="2978"/>
      <c r="F34" s="2935"/>
      <c r="G34" s="2929"/>
      <c r="H34" s="2957"/>
      <c r="I34" s="2948"/>
      <c r="J34" s="3695" t="s">
        <v>2332</v>
      </c>
      <c r="K34" s="3696"/>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2" customHeight="1" thickBot="1">
      <c r="A36" s="2930">
        <v>7</v>
      </c>
      <c r="B36" s="2985" t="s">
        <v>2431</v>
      </c>
      <c r="C36" s="2986"/>
      <c r="D36" s="2987"/>
      <c r="E36" s="2988"/>
      <c r="F36" s="2989">
        <f>C36+D36+E36</f>
        <v>0</v>
      </c>
      <c r="G36" s="2929"/>
      <c r="H36" s="2847"/>
      <c r="I36" s="2848"/>
      <c r="J36" s="3700">
        <v>1</v>
      </c>
      <c r="K36" s="3701" t="s">
        <v>2432</v>
      </c>
      <c r="L36" s="2873"/>
      <c r="M36" s="2874"/>
      <c r="N36" s="2874"/>
      <c r="O36" s="2874"/>
      <c r="P36" s="2874"/>
      <c r="Q36" s="2874"/>
      <c r="R36" s="2857" t="s">
        <v>2344</v>
      </c>
      <c r="S36" s="2921"/>
      <c r="T36" s="2840" t="s">
        <v>2345</v>
      </c>
      <c r="U36" s="2840"/>
      <c r="V36" s="2848"/>
    </row>
    <row r="37" spans="1:23" s="2852" customFormat="1" ht="13.2" customHeight="1">
      <c r="A37" s="2930"/>
      <c r="B37" s="2931"/>
      <c r="C37" s="2931"/>
      <c r="D37" s="2931"/>
      <c r="E37" s="2931"/>
      <c r="F37" s="2935"/>
      <c r="G37" s="2929"/>
      <c r="H37" s="2847"/>
      <c r="I37" s="2848"/>
      <c r="J37" s="3700"/>
      <c r="K37" s="3702"/>
      <c r="L37" s="2882"/>
      <c r="M37" s="2883"/>
      <c r="N37" s="2859"/>
      <c r="O37" s="2884"/>
      <c r="P37" s="2884"/>
      <c r="Q37" s="2885"/>
      <c r="R37" s="2886"/>
      <c r="S37" s="2921"/>
      <c r="T37" s="2840" t="s">
        <v>2348</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700"/>
      <c r="K38" s="3702"/>
      <c r="L38" s="2882"/>
      <c r="M38" s="2883"/>
      <c r="N38" s="2859"/>
      <c r="O38" s="2884"/>
      <c r="P38" s="2884"/>
      <c r="Q38" s="2885"/>
      <c r="R38" s="2886"/>
      <c r="S38" s="2921"/>
      <c r="T38" s="2840" t="s">
        <v>2355</v>
      </c>
      <c r="U38" s="2840"/>
      <c r="V38" s="2848"/>
    </row>
    <row r="39" spans="1:23" s="2852" customFormat="1" ht="13.2" customHeight="1">
      <c r="A39" s="2930">
        <v>9</v>
      </c>
      <c r="B39" s="2931" t="s">
        <v>2433</v>
      </c>
      <c r="C39" s="2896" t="e">
        <f>C38</f>
        <v>#DIV/0!</v>
      </c>
      <c r="D39" s="2931">
        <f>D38/(1+D34)^C36</f>
        <v>0</v>
      </c>
      <c r="E39" s="2931">
        <f>E38/(1+E34)^(C36+D36)</f>
        <v>0</v>
      </c>
      <c r="F39" s="2935"/>
      <c r="G39" s="2990"/>
      <c r="H39" s="2847"/>
      <c r="I39" s="2848"/>
      <c r="J39" s="3700"/>
      <c r="K39" s="3702"/>
      <c r="L39" s="2882"/>
      <c r="M39" s="2883"/>
      <c r="N39" s="2859"/>
      <c r="O39" s="2884"/>
      <c r="P39" s="2884"/>
      <c r="Q39" s="2885"/>
      <c r="R39" s="2886"/>
      <c r="S39" s="2921"/>
      <c r="T39" s="2840"/>
      <c r="U39" s="2840"/>
      <c r="V39" s="2848"/>
    </row>
    <row r="40" spans="1:23" s="2852" customFormat="1" ht="13.2" customHeight="1">
      <c r="A40" s="2991">
        <v>10</v>
      </c>
      <c r="B40" s="2931" t="s">
        <v>2434</v>
      </c>
      <c r="C40" s="2992" t="e">
        <f>C39+D39+E39</f>
        <v>#DIV/0!</v>
      </c>
      <c r="D40" s="2993"/>
      <c r="E40" s="2993"/>
      <c r="F40" s="2994"/>
      <c r="G40" s="2929"/>
      <c r="H40" s="2847"/>
      <c r="I40" s="2848"/>
      <c r="J40" s="3700"/>
      <c r="K40" s="3703"/>
      <c r="L40" s="2902" t="s">
        <v>2373</v>
      </c>
      <c r="M40" s="2903"/>
      <c r="N40" s="2903"/>
      <c r="O40" s="2904"/>
      <c r="P40" s="2904"/>
      <c r="Q40" s="2905"/>
      <c r="R40" s="2851">
        <f>SUM(R37:R39)</f>
        <v>0</v>
      </c>
      <c r="S40" s="2921"/>
      <c r="T40" s="2840"/>
      <c r="U40" s="2840"/>
      <c r="V40" s="2848"/>
    </row>
    <row r="41" spans="1:23" s="2852" customFormat="1" ht="13.2"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2" customHeight="1">
      <c r="G42" s="2999"/>
      <c r="H42" s="2847"/>
      <c r="I42" s="2848"/>
      <c r="J42" s="3710">
        <v>3</v>
      </c>
      <c r="K42" s="2950" t="s">
        <v>2415</v>
      </c>
      <c r="L42" s="2951"/>
      <c r="M42" s="2952"/>
      <c r="N42" s="2953" t="s">
        <v>2416</v>
      </c>
      <c r="O42" s="2953" t="s">
        <v>2417</v>
      </c>
      <c r="P42" s="2954" t="s">
        <v>2418</v>
      </c>
      <c r="Q42" s="2954" t="s">
        <v>2419</v>
      </c>
      <c r="R42" s="2857" t="s">
        <v>2344</v>
      </c>
      <c r="S42" s="2955"/>
      <c r="T42" s="2955"/>
      <c r="U42" s="2840"/>
      <c r="V42" s="2848"/>
    </row>
    <row r="43" spans="1:23" ht="13.2" customHeight="1">
      <c r="A43" s="2852"/>
      <c r="B43" s="2852"/>
      <c r="C43" s="2852"/>
      <c r="D43" s="2852"/>
      <c r="E43" s="2852"/>
      <c r="F43" s="2852"/>
      <c r="I43" s="2835"/>
      <c r="J43" s="3711"/>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f ca="1">SUMIF(B6:B13,"&lt;&gt;#ref!",B6:B13)</f>
        <v>46050</v>
      </c>
      <c r="C2" s="1872" t="s">
        <v>1651</v>
      </c>
      <c r="D2" s="1873" t="s">
        <v>1652</v>
      </c>
      <c r="E2" s="2607">
        <f>SUM(E6:E13)</f>
        <v>253739.7</v>
      </c>
      <c r="F2" s="2706"/>
      <c r="G2" s="1489"/>
      <c r="H2" s="1489"/>
      <c r="I2" s="1489"/>
      <c r="J2" s="1489"/>
      <c r="K2" s="1489"/>
      <c r="L2" s="1489"/>
      <c r="M2" s="1489"/>
      <c r="N2" s="1489"/>
      <c r="O2" s="1489"/>
      <c r="P2" s="1489"/>
      <c r="Q2" s="1489"/>
      <c r="R2" s="1489"/>
      <c r="S2" s="1489"/>
    </row>
    <row r="3" spans="1:22" ht="15.6">
      <c r="A3" s="1870" t="s">
        <v>686</v>
      </c>
      <c r="B3" s="2601">
        <f ca="1">ROUND(B2*10000/E2,0)</f>
        <v>1815</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3" t="s">
        <v>1653</v>
      </c>
      <c r="B5" s="3712" t="s">
        <v>1654</v>
      </c>
      <c r="C5" s="3713"/>
      <c r="D5" s="2707"/>
      <c r="E5" s="1874" t="s">
        <v>1655</v>
      </c>
      <c r="F5" s="1875" t="s">
        <v>1656</v>
      </c>
      <c r="G5" s="1489"/>
      <c r="H5" s="1489"/>
      <c r="I5" s="1489"/>
      <c r="J5" s="1489"/>
      <c r="K5" s="1489"/>
      <c r="L5" s="1489"/>
      <c r="M5" s="1489"/>
      <c r="N5" s="1489"/>
      <c r="O5" s="1489"/>
      <c r="P5" s="1489"/>
      <c r="Q5" s="1489"/>
      <c r="R5" s="1489"/>
      <c r="S5" s="1489"/>
    </row>
    <row r="6" spans="1:22" ht="14.4">
      <c r="A6" s="2604" t="str">
        <f>'数据-取费表'!AN6</f>
        <v>收益法</v>
      </c>
      <c r="B6" s="2602">
        <f ca="1">IF(F6="是",'数据-取费表'!AO6,0)</f>
        <v>46050</v>
      </c>
      <c r="C6" s="1872" t="s">
        <v>1651</v>
      </c>
      <c r="D6" s="2708"/>
      <c r="E6" s="2606">
        <f>IF(OR(A6=0,F6="否"),0,'数据-取费表'!K6+'数据-取费表'!S6)</f>
        <v>253739.7</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8"/>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8"/>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8"/>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8"/>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8"/>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8"/>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09"/>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253739.7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661" t="s">
        <v>1667</v>
      </c>
      <c r="D4" s="3662"/>
      <c r="E4" s="3663" t="s">
        <v>1668</v>
      </c>
      <c r="F4" s="3664"/>
      <c r="G4" s="3661" t="s">
        <v>1669</v>
      </c>
      <c r="H4" s="3662"/>
      <c r="I4" s="3661" t="s">
        <v>1670</v>
      </c>
      <c r="J4" s="3662"/>
      <c r="K4" s="1889" t="s">
        <v>1671</v>
      </c>
      <c r="L4" s="2714"/>
      <c r="M4" s="2715"/>
      <c r="N4" s="2715"/>
      <c r="O4" s="2715"/>
      <c r="P4" s="3665" t="s">
        <v>1672</v>
      </c>
      <c r="Q4" s="3666"/>
      <c r="R4" s="3675" t="s">
        <v>1668</v>
      </c>
      <c r="S4" s="3676"/>
      <c r="T4" s="3675" t="s">
        <v>1669</v>
      </c>
      <c r="U4" s="3676"/>
      <c r="V4" s="3653" t="s">
        <v>1670</v>
      </c>
      <c r="W4" s="3653"/>
      <c r="X4" s="1355"/>
      <c r="Y4" s="3675" t="s">
        <v>1672</v>
      </c>
      <c r="Z4" s="3676"/>
      <c r="AA4" s="3658" t="s">
        <v>1668</v>
      </c>
      <c r="AB4" s="3658" t="s">
        <v>1669</v>
      </c>
      <c r="AC4" s="3658" t="s">
        <v>1670</v>
      </c>
    </row>
    <row r="5" spans="1:29">
      <c r="A5" s="358"/>
      <c r="B5" s="359"/>
      <c r="C5" s="3679" t="s">
        <v>1673</v>
      </c>
      <c r="D5" s="3680"/>
      <c r="E5" s="3671" t="s">
        <v>1674</v>
      </c>
      <c r="F5" s="3672"/>
      <c r="G5" s="3679" t="s">
        <v>1675</v>
      </c>
      <c r="H5" s="3680"/>
      <c r="I5" s="3679" t="s">
        <v>1676</v>
      </c>
      <c r="J5" s="3680"/>
      <c r="K5" s="1890"/>
      <c r="L5" s="2714"/>
      <c r="M5" s="2715"/>
      <c r="N5" s="2715"/>
      <c r="O5" s="2715"/>
      <c r="P5" s="3667"/>
      <c r="Q5" s="3668"/>
      <c r="R5" s="3677"/>
      <c r="S5" s="3678"/>
      <c r="T5" s="3677"/>
      <c r="U5" s="3678"/>
      <c r="V5" s="3653"/>
      <c r="W5" s="3653"/>
      <c r="X5" s="1355"/>
      <c r="Y5" s="3677"/>
      <c r="Z5" s="3678"/>
      <c r="AA5" s="3659"/>
      <c r="AB5" s="3659"/>
      <c r="AC5" s="3659"/>
    </row>
    <row r="6" spans="1:29" ht="15" thickBot="1">
      <c r="A6" s="360"/>
      <c r="B6" s="361"/>
      <c r="C6" s="3714" t="s">
        <v>1677</v>
      </c>
      <c r="D6" s="3715"/>
      <c r="E6" s="3716" t="s">
        <v>1677</v>
      </c>
      <c r="F6" s="3717"/>
      <c r="G6" s="3714" t="s">
        <v>1677</v>
      </c>
      <c r="H6" s="3715"/>
      <c r="I6" s="3714" t="s">
        <v>1677</v>
      </c>
      <c r="J6" s="3715"/>
      <c r="K6" s="1890" t="s">
        <v>1678</v>
      </c>
      <c r="L6" s="2714"/>
      <c r="M6" s="2715"/>
      <c r="N6" s="2715"/>
      <c r="O6" s="2715"/>
      <c r="P6" s="3669"/>
      <c r="Q6" s="3670"/>
      <c r="R6" s="3677"/>
      <c r="S6" s="3678"/>
      <c r="T6" s="3686"/>
      <c r="U6" s="3687"/>
      <c r="V6" s="3653"/>
      <c r="W6" s="3653"/>
      <c r="X6" s="1355"/>
      <c r="Y6" s="3686"/>
      <c r="Z6" s="3687"/>
      <c r="AA6" s="3660"/>
      <c r="AB6" s="3660"/>
      <c r="AC6" s="3660"/>
    </row>
    <row r="7" spans="1:29" s="108" customFormat="1" ht="15" thickBot="1">
      <c r="A7" s="362" t="s">
        <v>1679</v>
      </c>
      <c r="B7" s="363"/>
      <c r="C7" s="364">
        <f>'数据-取费表'!B2</f>
        <v>45274</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51" t="s">
        <v>1680</v>
      </c>
      <c r="Q7" s="3683"/>
      <c r="R7" s="701" t="s">
        <v>20</v>
      </c>
      <c r="S7" s="702">
        <f t="shared" ref="S7:S15" si="0">F7</f>
        <v>0</v>
      </c>
      <c r="T7" s="701" t="s">
        <v>20</v>
      </c>
      <c r="U7" s="702">
        <f t="shared" ref="U7:U15" si="1">H7</f>
        <v>0</v>
      </c>
      <c r="V7" s="701" t="s">
        <v>20</v>
      </c>
      <c r="W7" s="702">
        <f t="shared" ref="W7:W15" si="2">J7</f>
        <v>0</v>
      </c>
      <c r="X7" s="703"/>
      <c r="Y7" s="3651" t="s">
        <v>1680</v>
      </c>
      <c r="Z7" s="3652"/>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51" t="s">
        <v>1683</v>
      </c>
      <c r="Q8" s="3652"/>
      <c r="R8" s="701" t="s">
        <v>20</v>
      </c>
      <c r="S8" s="702">
        <f t="shared" si="0"/>
        <v>100</v>
      </c>
      <c r="T8" s="701" t="s">
        <v>20</v>
      </c>
      <c r="U8" s="702">
        <f t="shared" si="1"/>
        <v>100</v>
      </c>
      <c r="V8" s="701" t="s">
        <v>20</v>
      </c>
      <c r="W8" s="702">
        <f t="shared" si="2"/>
        <v>100</v>
      </c>
      <c r="X8" s="703"/>
      <c r="Y8" s="3651" t="s">
        <v>1683</v>
      </c>
      <c r="Z8" s="3652"/>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4"/>
      <c r="Q11" s="1343" t="str">
        <f t="shared" si="6"/>
        <v>容积率</v>
      </c>
      <c r="R11" s="701" t="s">
        <v>18</v>
      </c>
      <c r="S11" s="702" t="e">
        <f t="shared" si="0"/>
        <v>#N/A</v>
      </c>
      <c r="T11" s="701" t="s">
        <v>18</v>
      </c>
      <c r="U11" s="702" t="e">
        <f t="shared" si="1"/>
        <v>#N/A</v>
      </c>
      <c r="V11" s="701" t="s">
        <v>18</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4"/>
      <c r="Q12" s="1343">
        <f t="shared" si="6"/>
        <v>111</v>
      </c>
      <c r="R12" s="701" t="s">
        <v>18</v>
      </c>
      <c r="S12" s="702">
        <f t="shared" si="0"/>
        <v>100</v>
      </c>
      <c r="T12" s="701" t="s">
        <v>18</v>
      </c>
      <c r="U12" s="702">
        <f t="shared" si="1"/>
        <v>100</v>
      </c>
      <c r="V12" s="701" t="s">
        <v>18</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4"/>
      <c r="Q13" s="1343">
        <f t="shared" si="6"/>
        <v>111</v>
      </c>
      <c r="R13" s="701" t="s">
        <v>18</v>
      </c>
      <c r="S13" s="702">
        <f t="shared" si="0"/>
        <v>100</v>
      </c>
      <c r="T13" s="701" t="s">
        <v>18</v>
      </c>
      <c r="U13" s="702">
        <f t="shared" si="1"/>
        <v>100</v>
      </c>
      <c r="V13" s="701" t="s">
        <v>18</v>
      </c>
      <c r="W13" s="702">
        <f t="shared" si="2"/>
        <v>100</v>
      </c>
      <c r="X13" s="703"/>
      <c r="Y13" s="3619"/>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4"/>
      <c r="Q14" s="1343">
        <f t="shared" si="6"/>
        <v>111</v>
      </c>
      <c r="R14" s="701" t="s">
        <v>18</v>
      </c>
      <c r="S14" s="702">
        <f t="shared" si="0"/>
        <v>100</v>
      </c>
      <c r="T14" s="701" t="s">
        <v>18</v>
      </c>
      <c r="U14" s="702">
        <f t="shared" si="1"/>
        <v>100</v>
      </c>
      <c r="V14" s="701" t="s">
        <v>18</v>
      </c>
      <c r="W14" s="702">
        <f t="shared" si="2"/>
        <v>100</v>
      </c>
      <c r="X14" s="703"/>
      <c r="Y14" s="3619"/>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4" t="s">
        <v>1691</v>
      </c>
      <c r="Q15" s="1352" t="str">
        <f t="shared" si="6"/>
        <v>居住社区成熟度</v>
      </c>
      <c r="R15" s="705" t="s">
        <v>18</v>
      </c>
      <c r="S15" s="706">
        <f t="shared" si="0"/>
        <v>100</v>
      </c>
      <c r="T15" s="705" t="s">
        <v>18</v>
      </c>
      <c r="U15" s="706">
        <f t="shared" si="1"/>
        <v>100</v>
      </c>
      <c r="V15" s="705" t="s">
        <v>18</v>
      </c>
      <c r="W15" s="706">
        <f t="shared" si="2"/>
        <v>100</v>
      </c>
      <c r="X15" s="1355"/>
      <c r="Y15" s="365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25"/>
      <c r="Q16" s="1352"/>
      <c r="R16" s="705"/>
      <c r="S16" s="706"/>
      <c r="T16" s="705"/>
      <c r="U16" s="706"/>
      <c r="V16" s="705"/>
      <c r="W16" s="706"/>
      <c r="X16" s="1355"/>
      <c r="Y16" s="3655"/>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5"/>
      <c r="Q17" s="1352" t="str">
        <f>B17</f>
        <v>交通便捷度</v>
      </c>
      <c r="R17" s="705" t="s">
        <v>18</v>
      </c>
      <c r="S17" s="706">
        <f>F17</f>
        <v>100</v>
      </c>
      <c r="T17" s="705" t="s">
        <v>18</v>
      </c>
      <c r="U17" s="706">
        <f>H17</f>
        <v>100</v>
      </c>
      <c r="V17" s="705" t="s">
        <v>18</v>
      </c>
      <c r="W17" s="706">
        <f>J17</f>
        <v>100</v>
      </c>
      <c r="X17" s="1355"/>
      <c r="Y17" s="365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25"/>
      <c r="Q18" s="1352"/>
      <c r="R18" s="705"/>
      <c r="S18" s="706"/>
      <c r="T18" s="705"/>
      <c r="U18" s="706"/>
      <c r="V18" s="705"/>
      <c r="W18" s="706"/>
      <c r="X18" s="1355"/>
      <c r="Y18" s="3655"/>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5"/>
      <c r="Q19" s="1352" t="str">
        <f>B19</f>
        <v>公共配套设施</v>
      </c>
      <c r="R19" s="705" t="s">
        <v>18</v>
      </c>
      <c r="S19" s="706">
        <f>F19</f>
        <v>100</v>
      </c>
      <c r="T19" s="705" t="s">
        <v>18</v>
      </c>
      <c r="U19" s="706">
        <f>H19</f>
        <v>100</v>
      </c>
      <c r="V19" s="705" t="s">
        <v>18</v>
      </c>
      <c r="W19" s="706">
        <f>J19</f>
        <v>100</v>
      </c>
      <c r="X19" s="1355"/>
      <c r="Y19" s="365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25"/>
      <c r="Q20" s="1352"/>
      <c r="R20" s="705"/>
      <c r="S20" s="706"/>
      <c r="T20" s="705"/>
      <c r="U20" s="706"/>
      <c r="V20" s="705"/>
      <c r="W20" s="706"/>
      <c r="X20" s="1355"/>
      <c r="Y20" s="3655"/>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5"/>
      <c r="Q21" s="1352" t="str">
        <f>B21</f>
        <v>基础设施水平</v>
      </c>
      <c r="R21" s="705" t="s">
        <v>14</v>
      </c>
      <c r="S21" s="706">
        <f>F21</f>
        <v>100</v>
      </c>
      <c r="T21" s="705" t="s">
        <v>14</v>
      </c>
      <c r="U21" s="706">
        <f>H21</f>
        <v>100</v>
      </c>
      <c r="V21" s="705" t="s">
        <v>14</v>
      </c>
      <c r="W21" s="706">
        <f>J21</f>
        <v>100</v>
      </c>
      <c r="X21" s="1355"/>
      <c r="Y21" s="36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25"/>
      <c r="Q22" s="1352"/>
      <c r="R22" s="705"/>
      <c r="S22" s="706"/>
      <c r="T22" s="705"/>
      <c r="U22" s="706"/>
      <c r="V22" s="705"/>
      <c r="W22" s="706"/>
      <c r="X22" s="1355"/>
      <c r="Y22" s="3655"/>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5"/>
      <c r="Q23" s="1352" t="str">
        <f>B23</f>
        <v>自然及人文环境</v>
      </c>
      <c r="R23" s="705" t="s">
        <v>18</v>
      </c>
      <c r="S23" s="706">
        <f>F23</f>
        <v>100</v>
      </c>
      <c r="T23" s="705" t="s">
        <v>18</v>
      </c>
      <c r="U23" s="706">
        <f>H23</f>
        <v>100</v>
      </c>
      <c r="V23" s="705" t="s">
        <v>18</v>
      </c>
      <c r="W23" s="706">
        <f>J23</f>
        <v>100</v>
      </c>
      <c r="X23" s="1355"/>
      <c r="Y23" s="365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25"/>
      <c r="Q24" s="1352"/>
      <c r="R24" s="705"/>
      <c r="S24" s="706"/>
      <c r="T24" s="705"/>
      <c r="U24" s="706"/>
      <c r="V24" s="705"/>
      <c r="W24" s="706"/>
      <c r="X24" s="1355"/>
      <c r="Y24" s="365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2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25"/>
      <c r="Q26" s="1352" t="str">
        <f t="shared" si="11"/>
        <v>朝向</v>
      </c>
      <c r="R26" s="705" t="s">
        <v>18</v>
      </c>
      <c r="S26" s="706">
        <f t="shared" si="12"/>
        <v>100</v>
      </c>
      <c r="T26" s="705" t="s">
        <v>18</v>
      </c>
      <c r="U26" s="706">
        <f t="shared" si="13"/>
        <v>100</v>
      </c>
      <c r="V26" s="705" t="s">
        <v>18</v>
      </c>
      <c r="W26" s="706">
        <f t="shared" si="14"/>
        <v>100</v>
      </c>
      <c r="X26" s="1355"/>
      <c r="Y26" s="365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25"/>
      <c r="Q27" s="1343">
        <f t="shared" si="11"/>
        <v>111</v>
      </c>
      <c r="R27" s="701" t="s">
        <v>18</v>
      </c>
      <c r="S27" s="702">
        <f t="shared" si="12"/>
        <v>100</v>
      </c>
      <c r="T27" s="701" t="s">
        <v>18</v>
      </c>
      <c r="U27" s="702">
        <f t="shared" si="13"/>
        <v>100</v>
      </c>
      <c r="V27" s="701" t="s">
        <v>18</v>
      </c>
      <c r="W27" s="702">
        <f t="shared" si="14"/>
        <v>100</v>
      </c>
      <c r="X27" s="703"/>
      <c r="Y27" s="365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25"/>
      <c r="Q28" s="1352">
        <f t="shared" si="11"/>
        <v>111</v>
      </c>
      <c r="R28" s="705" t="s">
        <v>18</v>
      </c>
      <c r="S28" s="706">
        <f t="shared" si="12"/>
        <v>100</v>
      </c>
      <c r="T28" s="705" t="s">
        <v>18</v>
      </c>
      <c r="U28" s="706">
        <f t="shared" si="13"/>
        <v>100</v>
      </c>
      <c r="V28" s="705" t="s">
        <v>18</v>
      </c>
      <c r="W28" s="706">
        <f t="shared" si="14"/>
        <v>100</v>
      </c>
      <c r="X28" s="1355"/>
      <c r="Y28" s="365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25"/>
      <c r="Q29" s="1352">
        <f t="shared" si="11"/>
        <v>111</v>
      </c>
      <c r="R29" s="705" t="s">
        <v>18</v>
      </c>
      <c r="S29" s="706">
        <f t="shared" si="12"/>
        <v>100</v>
      </c>
      <c r="T29" s="705" t="s">
        <v>18</v>
      </c>
      <c r="U29" s="706">
        <f t="shared" si="13"/>
        <v>100</v>
      </c>
      <c r="V29" s="705" t="s">
        <v>18</v>
      </c>
      <c r="W29" s="706">
        <f t="shared" si="14"/>
        <v>100</v>
      </c>
      <c r="X29" s="1355"/>
      <c r="Y29" s="365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25"/>
      <c r="Q30" s="1352">
        <f t="shared" si="11"/>
        <v>111</v>
      </c>
      <c r="R30" s="705" t="s">
        <v>18</v>
      </c>
      <c r="S30" s="706">
        <f t="shared" si="12"/>
        <v>100</v>
      </c>
      <c r="T30" s="705" t="s">
        <v>18</v>
      </c>
      <c r="U30" s="706">
        <f t="shared" si="13"/>
        <v>100</v>
      </c>
      <c r="V30" s="705" t="s">
        <v>18</v>
      </c>
      <c r="W30" s="706">
        <f t="shared" si="14"/>
        <v>100</v>
      </c>
      <c r="X30" s="1355"/>
      <c r="Y30" s="3655"/>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25"/>
      <c r="Q31" s="1352">
        <f t="shared" si="11"/>
        <v>111</v>
      </c>
      <c r="R31" s="705" t="s">
        <v>18</v>
      </c>
      <c r="S31" s="706">
        <f t="shared" si="12"/>
        <v>100</v>
      </c>
      <c r="T31" s="705" t="s">
        <v>18</v>
      </c>
      <c r="U31" s="706">
        <f t="shared" si="13"/>
        <v>100</v>
      </c>
      <c r="V31" s="705" t="s">
        <v>18</v>
      </c>
      <c r="W31" s="706">
        <f t="shared" si="14"/>
        <v>100</v>
      </c>
      <c r="X31" s="1355"/>
      <c r="Y31" s="365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20" t="s">
        <v>1696</v>
      </c>
      <c r="Q32" s="1352" t="str">
        <f t="shared" si="11"/>
        <v>建筑类型</v>
      </c>
      <c r="R32" s="705" t="s">
        <v>18</v>
      </c>
      <c r="S32" s="706">
        <f t="shared" si="12"/>
        <v>100</v>
      </c>
      <c r="T32" s="705" t="s">
        <v>18</v>
      </c>
      <c r="U32" s="706">
        <f t="shared" si="13"/>
        <v>100</v>
      </c>
      <c r="V32" s="705" t="s">
        <v>18</v>
      </c>
      <c r="W32" s="706">
        <f t="shared" si="14"/>
        <v>100</v>
      </c>
      <c r="X32" s="1355"/>
      <c r="Y32" s="365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21"/>
      <c r="Q33" s="707" t="str">
        <f t="shared" si="11"/>
        <v>项目建筑规模</v>
      </c>
      <c r="R33" s="708" t="s">
        <v>18</v>
      </c>
      <c r="S33" s="709" t="e">
        <f t="shared" si="12"/>
        <v>#N/A</v>
      </c>
      <c r="T33" s="708" t="s">
        <v>18</v>
      </c>
      <c r="U33" s="709" t="e">
        <f t="shared" si="13"/>
        <v>#N/A</v>
      </c>
      <c r="V33" s="708" t="s">
        <v>18</v>
      </c>
      <c r="W33" s="709" t="e">
        <f t="shared" si="14"/>
        <v>#N/A</v>
      </c>
      <c r="X33" s="710"/>
      <c r="Y33" s="365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21"/>
      <c r="Q34" s="1352" t="str">
        <f t="shared" si="11"/>
        <v>建筑结构</v>
      </c>
      <c r="R34" s="705" t="s">
        <v>18</v>
      </c>
      <c r="S34" s="706">
        <f t="shared" si="12"/>
        <v>100</v>
      </c>
      <c r="T34" s="705" t="s">
        <v>18</v>
      </c>
      <c r="U34" s="706">
        <f t="shared" si="13"/>
        <v>100</v>
      </c>
      <c r="V34" s="705" t="s">
        <v>18</v>
      </c>
      <c r="W34" s="706">
        <f t="shared" si="14"/>
        <v>100</v>
      </c>
      <c r="X34" s="1355"/>
      <c r="Y34" s="365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21"/>
      <c r="Q35" s="1352" t="str">
        <f t="shared" si="11"/>
        <v>建筑品质</v>
      </c>
      <c r="R35" s="705" t="s">
        <v>18</v>
      </c>
      <c r="S35" s="706">
        <f t="shared" si="12"/>
        <v>100</v>
      </c>
      <c r="T35" s="705" t="s">
        <v>18</v>
      </c>
      <c r="U35" s="706">
        <f t="shared" si="13"/>
        <v>100</v>
      </c>
      <c r="V35" s="705" t="s">
        <v>18</v>
      </c>
      <c r="W35" s="706">
        <f t="shared" si="14"/>
        <v>100</v>
      </c>
      <c r="X35" s="1355"/>
      <c r="Y35" s="365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21"/>
      <c r="Q36" s="1352" t="str">
        <f t="shared" si="11"/>
        <v>公共部分装修</v>
      </c>
      <c r="R36" s="705" t="s">
        <v>18</v>
      </c>
      <c r="S36" s="706">
        <f t="shared" si="12"/>
        <v>100</v>
      </c>
      <c r="T36" s="705" t="s">
        <v>18</v>
      </c>
      <c r="U36" s="706">
        <f t="shared" si="13"/>
        <v>100</v>
      </c>
      <c r="V36" s="705" t="s">
        <v>18</v>
      </c>
      <c r="W36" s="706">
        <f t="shared" si="14"/>
        <v>100</v>
      </c>
      <c r="X36" s="1355"/>
      <c r="Y36" s="365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21"/>
      <c r="Q37" s="1343" t="str">
        <f t="shared" si="11"/>
        <v>成新度</v>
      </c>
      <c r="R37" s="701" t="s">
        <v>18</v>
      </c>
      <c r="S37" s="702" t="e">
        <f t="shared" si="12"/>
        <v>#N/A</v>
      </c>
      <c r="T37" s="701" t="s">
        <v>18</v>
      </c>
      <c r="U37" s="702" t="e">
        <f t="shared" si="13"/>
        <v>#N/A</v>
      </c>
      <c r="V37" s="701" t="s">
        <v>18</v>
      </c>
      <c r="W37" s="702" t="e">
        <f t="shared" si="14"/>
        <v>#N/A</v>
      </c>
      <c r="X37" s="703"/>
      <c r="Y37" s="365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21" t="s">
        <v>1696</v>
      </c>
      <c r="Q38" s="1352" t="str">
        <f t="shared" si="11"/>
        <v>物业管理</v>
      </c>
      <c r="R38" s="705" t="s">
        <v>18</v>
      </c>
      <c r="S38" s="706">
        <f t="shared" si="12"/>
        <v>100</v>
      </c>
      <c r="T38" s="705" t="s">
        <v>18</v>
      </c>
      <c r="U38" s="706">
        <f t="shared" si="13"/>
        <v>100</v>
      </c>
      <c r="V38" s="705" t="s">
        <v>18</v>
      </c>
      <c r="W38" s="706">
        <f t="shared" si="14"/>
        <v>100</v>
      </c>
      <c r="X38" s="1355"/>
      <c r="Y38" s="365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21"/>
      <c r="Q39" s="1352" t="str">
        <f t="shared" si="11"/>
        <v>市政基础设施</v>
      </c>
      <c r="R39" s="705" t="s">
        <v>18</v>
      </c>
      <c r="S39" s="706">
        <f t="shared" si="12"/>
        <v>100</v>
      </c>
      <c r="T39" s="705" t="s">
        <v>18</v>
      </c>
      <c r="U39" s="706">
        <f t="shared" si="13"/>
        <v>100</v>
      </c>
      <c r="V39" s="705" t="s">
        <v>18</v>
      </c>
      <c r="W39" s="706">
        <f t="shared" si="14"/>
        <v>100</v>
      </c>
      <c r="X39" s="1355"/>
      <c r="Y39" s="365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21"/>
      <c r="Q40" s="1352" t="str">
        <f t="shared" si="11"/>
        <v>房型</v>
      </c>
      <c r="R40" s="705" t="s">
        <v>18</v>
      </c>
      <c r="S40" s="706">
        <f t="shared" si="12"/>
        <v>100</v>
      </c>
      <c r="T40" s="705" t="s">
        <v>18</v>
      </c>
      <c r="U40" s="706">
        <f t="shared" si="13"/>
        <v>100</v>
      </c>
      <c r="V40" s="705" t="s">
        <v>18</v>
      </c>
      <c r="W40" s="706">
        <f t="shared" si="14"/>
        <v>100</v>
      </c>
      <c r="X40" s="1355"/>
      <c r="Y40" s="3657"/>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21"/>
      <c r="Q41" s="707" t="str">
        <f t="shared" si="11"/>
        <v>单套/主力户型建筑面积</v>
      </c>
      <c r="R41" s="708" t="s">
        <v>18</v>
      </c>
      <c r="S41" s="709">
        <f t="shared" si="12"/>
        <v>100</v>
      </c>
      <c r="T41" s="708" t="s">
        <v>18</v>
      </c>
      <c r="U41" s="709">
        <f t="shared" si="13"/>
        <v>100</v>
      </c>
      <c r="V41" s="708" t="s">
        <v>18</v>
      </c>
      <c r="W41" s="709">
        <f t="shared" si="14"/>
        <v>100</v>
      </c>
      <c r="X41" s="710"/>
      <c r="Y41" s="365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21"/>
      <c r="Q42" s="1352" t="str">
        <f t="shared" si="11"/>
        <v>内部装修</v>
      </c>
      <c r="R42" s="705" t="s">
        <v>18</v>
      </c>
      <c r="S42" s="706">
        <f t="shared" si="12"/>
        <v>100</v>
      </c>
      <c r="T42" s="705" t="s">
        <v>18</v>
      </c>
      <c r="U42" s="706">
        <f t="shared" si="13"/>
        <v>100</v>
      </c>
      <c r="V42" s="705" t="s">
        <v>18</v>
      </c>
      <c r="W42" s="706">
        <f t="shared" si="14"/>
        <v>100</v>
      </c>
      <c r="X42" s="1355"/>
      <c r="Y42" s="3657"/>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21"/>
      <c r="Q43" s="1352" t="str">
        <f t="shared" si="11"/>
        <v>内部装修维护情况</v>
      </c>
      <c r="R43" s="705" t="s">
        <v>18</v>
      </c>
      <c r="S43" s="706">
        <f t="shared" si="12"/>
        <v>100</v>
      </c>
      <c r="T43" s="705" t="s">
        <v>18</v>
      </c>
      <c r="U43" s="706">
        <f t="shared" si="13"/>
        <v>100</v>
      </c>
      <c r="V43" s="705" t="s">
        <v>18</v>
      </c>
      <c r="W43" s="706">
        <f t="shared" si="14"/>
        <v>100</v>
      </c>
      <c r="X43" s="1355"/>
      <c r="Y43" s="365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21"/>
      <c r="Q44" s="1343">
        <f t="shared" si="11"/>
        <v>111</v>
      </c>
      <c r="R44" s="701" t="s">
        <v>18</v>
      </c>
      <c r="S44" s="702">
        <f t="shared" si="12"/>
        <v>100</v>
      </c>
      <c r="T44" s="701" t="s">
        <v>18</v>
      </c>
      <c r="U44" s="702">
        <f t="shared" si="13"/>
        <v>100</v>
      </c>
      <c r="V44" s="701" t="s">
        <v>18</v>
      </c>
      <c r="W44" s="702">
        <f t="shared" si="14"/>
        <v>100</v>
      </c>
      <c r="X44" s="703"/>
      <c r="Y44" s="365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21"/>
      <c r="Q45" s="1352">
        <f t="shared" si="11"/>
        <v>111</v>
      </c>
      <c r="R45" s="705" t="s">
        <v>18</v>
      </c>
      <c r="S45" s="706">
        <f t="shared" si="12"/>
        <v>100</v>
      </c>
      <c r="T45" s="705" t="s">
        <v>18</v>
      </c>
      <c r="U45" s="706">
        <f t="shared" si="13"/>
        <v>100</v>
      </c>
      <c r="V45" s="705" t="s">
        <v>18</v>
      </c>
      <c r="W45" s="706">
        <f t="shared" si="14"/>
        <v>100</v>
      </c>
      <c r="X45" s="1355"/>
      <c r="Y45" s="3657"/>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22"/>
      <c r="Q46" s="1352">
        <f t="shared" si="11"/>
        <v>111</v>
      </c>
      <c r="R46" s="705" t="s">
        <v>17</v>
      </c>
      <c r="S46" s="706">
        <f t="shared" si="12"/>
        <v>100</v>
      </c>
      <c r="T46" s="705" t="s">
        <v>17</v>
      </c>
      <c r="U46" s="706">
        <f t="shared" si="13"/>
        <v>100</v>
      </c>
      <c r="V46" s="705" t="s">
        <v>17</v>
      </c>
      <c r="W46" s="706">
        <f t="shared" si="14"/>
        <v>100</v>
      </c>
      <c r="X46" s="1355"/>
      <c r="Y46" s="3723"/>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3"/>
      <c r="M47" s="2724"/>
      <c r="N47" s="2715"/>
      <c r="O47" s="2724"/>
      <c r="P47" s="3649" t="str">
        <f>A47</f>
        <v>成交单价（元/平方米）</v>
      </c>
      <c r="Q47" s="3649"/>
      <c r="R47" s="3719">
        <f>E47</f>
        <v>0</v>
      </c>
      <c r="S47" s="3719"/>
      <c r="T47" s="3719">
        <f>G47</f>
        <v>0</v>
      </c>
      <c r="U47" s="3719"/>
      <c r="V47" s="3719">
        <f>I47</f>
        <v>0</v>
      </c>
      <c r="W47" s="3719"/>
      <c r="X47" s="690"/>
      <c r="Y47" s="712"/>
      <c r="Z47" s="690"/>
      <c r="AA47" s="690"/>
      <c r="AB47" s="690"/>
      <c r="AC47" s="690"/>
    </row>
    <row r="48" spans="1:29" ht="15" thickBot="1">
      <c r="A48" s="437" t="s">
        <v>1709</v>
      </c>
      <c r="B48" s="438"/>
      <c r="C48" s="1160" t="e">
        <f>R49</f>
        <v>#DIV/0!</v>
      </c>
      <c r="D48" s="2317" t="s">
        <v>2137</v>
      </c>
      <c r="E48" s="1161" t="e">
        <f>R48</f>
        <v>#DIV/0!</v>
      </c>
      <c r="F48" s="2318"/>
      <c r="G48" s="1160" t="e">
        <f>T48</f>
        <v>#DIV/0!</v>
      </c>
      <c r="H48" s="2318"/>
      <c r="I48" s="1161" t="e">
        <f>V48</f>
        <v>#DIV/0!</v>
      </c>
      <c r="J48" s="2318"/>
      <c r="K48" s="2319">
        <f>F48+H48+J48</f>
        <v>0</v>
      </c>
      <c r="L48" s="2723"/>
      <c r="M48" s="2724"/>
      <c r="N48" s="2724"/>
      <c r="O48" s="2724"/>
      <c r="P48" s="3649" t="str">
        <f>A48</f>
        <v>比较价值（元/平方米）</v>
      </c>
      <c r="Q48" s="3649"/>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3"/>
      <c r="M49" s="2724"/>
      <c r="N49" s="2724"/>
      <c r="O49" s="2724"/>
      <c r="P49" s="3646" t="str">
        <f>A49</f>
        <v>估价对象XX用房的比较价值（楼面单价，元/平方米）</v>
      </c>
      <c r="Q49" s="364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253739.7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661" t="s">
        <v>1770</v>
      </c>
      <c r="D4" s="3662"/>
      <c r="E4" s="3663" t="s">
        <v>1771</v>
      </c>
      <c r="F4" s="3664"/>
      <c r="G4" s="3661" t="s">
        <v>1772</v>
      </c>
      <c r="H4" s="3662"/>
      <c r="I4" s="3661" t="s">
        <v>1773</v>
      </c>
      <c r="J4" s="3662"/>
      <c r="K4" s="559" t="s">
        <v>1774</v>
      </c>
      <c r="L4" s="2714"/>
      <c r="M4" s="2715"/>
      <c r="N4" s="2715"/>
      <c r="O4" s="2715"/>
      <c r="P4" s="3665" t="s">
        <v>1775</v>
      </c>
      <c r="Q4" s="3666"/>
      <c r="R4" s="3675" t="s">
        <v>1771</v>
      </c>
      <c r="S4" s="3676"/>
      <c r="T4" s="3675" t="s">
        <v>1772</v>
      </c>
      <c r="U4" s="3676"/>
      <c r="V4" s="3653" t="s">
        <v>1773</v>
      </c>
      <c r="W4" s="3653"/>
      <c r="X4" s="1355"/>
      <c r="Y4" s="3675" t="s">
        <v>1775</v>
      </c>
      <c r="Z4" s="3676"/>
      <c r="AA4" s="3658" t="s">
        <v>1771</v>
      </c>
      <c r="AB4" s="3653" t="s">
        <v>1772</v>
      </c>
      <c r="AC4" s="3658" t="s">
        <v>1773</v>
      </c>
    </row>
    <row r="5" spans="1:29">
      <c r="A5" s="358"/>
      <c r="B5" s="359"/>
      <c r="C5" s="3679" t="s">
        <v>1673</v>
      </c>
      <c r="D5" s="3680"/>
      <c r="E5" s="3671" t="s">
        <v>1674</v>
      </c>
      <c r="F5" s="3672"/>
      <c r="G5" s="3679" t="s">
        <v>1675</v>
      </c>
      <c r="H5" s="3680"/>
      <c r="I5" s="3679" t="s">
        <v>1676</v>
      </c>
      <c r="J5" s="3680"/>
      <c r="K5" s="559"/>
      <c r="L5" s="2714"/>
      <c r="M5" s="2715"/>
      <c r="N5" s="2715"/>
      <c r="O5" s="2715"/>
      <c r="P5" s="3667"/>
      <c r="Q5" s="3668"/>
      <c r="R5" s="3677"/>
      <c r="S5" s="3678"/>
      <c r="T5" s="3677"/>
      <c r="U5" s="3678"/>
      <c r="V5" s="3653"/>
      <c r="W5" s="3653"/>
      <c r="X5" s="1355"/>
      <c r="Y5" s="3677"/>
      <c r="Z5" s="3678"/>
      <c r="AA5" s="3659"/>
      <c r="AB5" s="3653"/>
      <c r="AC5" s="3659"/>
    </row>
    <row r="6" spans="1:29" ht="15" thickBot="1">
      <c r="A6" s="360"/>
      <c r="B6" s="361"/>
      <c r="C6" s="3714" t="s">
        <v>1677</v>
      </c>
      <c r="D6" s="3715"/>
      <c r="E6" s="3716" t="s">
        <v>1677</v>
      </c>
      <c r="F6" s="3717"/>
      <c r="G6" s="3714" t="s">
        <v>1677</v>
      </c>
      <c r="H6" s="3715"/>
      <c r="I6" s="3714" t="s">
        <v>1677</v>
      </c>
      <c r="J6" s="3715"/>
      <c r="K6" s="559" t="s">
        <v>1678</v>
      </c>
      <c r="L6" s="2714"/>
      <c r="M6" s="2715"/>
      <c r="N6" s="2715"/>
      <c r="O6" s="2715"/>
      <c r="P6" s="3669"/>
      <c r="Q6" s="3670"/>
      <c r="R6" s="3677"/>
      <c r="S6" s="3678"/>
      <c r="T6" s="3686"/>
      <c r="U6" s="3687"/>
      <c r="V6" s="3653"/>
      <c r="W6" s="3653"/>
      <c r="X6" s="1355"/>
      <c r="Y6" s="3686"/>
      <c r="Z6" s="3687"/>
      <c r="AA6" s="3660"/>
      <c r="AB6" s="3653"/>
      <c r="AC6" s="3660"/>
    </row>
    <row r="7" spans="1:29" s="108" customFormat="1" ht="15" thickBot="1">
      <c r="A7" s="362" t="s">
        <v>1679</v>
      </c>
      <c r="B7" s="363"/>
      <c r="C7" s="364">
        <f>'数据-取费表'!B2</f>
        <v>45274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51" t="s">
        <v>1680</v>
      </c>
      <c r="Q7" s="3683"/>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51" t="s">
        <v>1683</v>
      </c>
      <c r="Q8" s="3652"/>
      <c r="R8" s="701" t="s">
        <v>14</v>
      </c>
      <c r="S8" s="702">
        <f t="shared" si="0"/>
        <v>100</v>
      </c>
      <c r="T8" s="701" t="s">
        <v>14</v>
      </c>
      <c r="U8" s="702">
        <f t="shared" si="1"/>
        <v>100</v>
      </c>
      <c r="V8" s="701" t="s">
        <v>14</v>
      </c>
      <c r="W8" s="702">
        <f t="shared" si="2"/>
        <v>100</v>
      </c>
      <c r="X8" s="703"/>
      <c r="Y8" s="3651" t="s">
        <v>1683</v>
      </c>
      <c r="Z8" s="3652"/>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4"/>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4"/>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4" t="s">
        <v>1691</v>
      </c>
      <c r="Q15" s="1352" t="str">
        <f t="shared" si="6"/>
        <v>商业繁华度</v>
      </c>
      <c r="R15" s="705" t="s">
        <v>14</v>
      </c>
      <c r="S15" s="706">
        <f t="shared" si="0"/>
        <v>100</v>
      </c>
      <c r="T15" s="705" t="s">
        <v>14</v>
      </c>
      <c r="U15" s="706">
        <f t="shared" si="1"/>
        <v>100</v>
      </c>
      <c r="V15" s="705" t="s">
        <v>14</v>
      </c>
      <c r="W15" s="706">
        <f t="shared" si="2"/>
        <v>100</v>
      </c>
      <c r="X15" s="1355"/>
      <c r="Y15" s="365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25"/>
      <c r="Q16" s="1352"/>
      <c r="R16" s="705"/>
      <c r="S16" s="706"/>
      <c r="T16" s="705"/>
      <c r="U16" s="706"/>
      <c r="V16" s="705"/>
      <c r="W16" s="706"/>
      <c r="X16" s="1355"/>
      <c r="Y16" s="3655"/>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5"/>
      <c r="Q17" s="1352" t="str">
        <f>B17</f>
        <v>交通便捷度</v>
      </c>
      <c r="R17" s="705" t="s">
        <v>14</v>
      </c>
      <c r="S17" s="706">
        <f>F17</f>
        <v>100</v>
      </c>
      <c r="T17" s="705" t="s">
        <v>14</v>
      </c>
      <c r="U17" s="706">
        <f>H17</f>
        <v>100</v>
      </c>
      <c r="V17" s="705" t="s">
        <v>14</v>
      </c>
      <c r="W17" s="706">
        <f>J17</f>
        <v>100</v>
      </c>
      <c r="X17" s="1355"/>
      <c r="Y17" s="36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25"/>
      <c r="Q18" s="1352"/>
      <c r="R18" s="705"/>
      <c r="S18" s="706"/>
      <c r="T18" s="705"/>
      <c r="U18" s="706"/>
      <c r="V18" s="705"/>
      <c r="W18" s="706"/>
      <c r="X18" s="1355"/>
      <c r="Y18" s="3655"/>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5"/>
      <c r="Q19" s="1352" t="str">
        <f>B19</f>
        <v>公共配套设施</v>
      </c>
      <c r="R19" s="705" t="s">
        <v>14</v>
      </c>
      <c r="S19" s="706">
        <f>F19</f>
        <v>100</v>
      </c>
      <c r="T19" s="705" t="s">
        <v>14</v>
      </c>
      <c r="U19" s="706">
        <f>H19</f>
        <v>100</v>
      </c>
      <c r="V19" s="705" t="s">
        <v>14</v>
      </c>
      <c r="W19" s="706">
        <f>J19</f>
        <v>100</v>
      </c>
      <c r="X19" s="1355"/>
      <c r="Y19" s="36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25"/>
      <c r="Q20" s="1352"/>
      <c r="R20" s="705"/>
      <c r="S20" s="706"/>
      <c r="T20" s="705"/>
      <c r="U20" s="706"/>
      <c r="V20" s="705"/>
      <c r="W20" s="706"/>
      <c r="X20" s="1355"/>
      <c r="Y20" s="3655"/>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5"/>
      <c r="Q21" s="1352" t="str">
        <f>B21</f>
        <v>基础设施水平</v>
      </c>
      <c r="R21" s="705" t="s">
        <v>14</v>
      </c>
      <c r="S21" s="706">
        <f>F21</f>
        <v>100</v>
      </c>
      <c r="T21" s="705" t="s">
        <v>14</v>
      </c>
      <c r="U21" s="706">
        <f>H21</f>
        <v>100</v>
      </c>
      <c r="V21" s="705" t="s">
        <v>14</v>
      </c>
      <c r="W21" s="706">
        <f>J21</f>
        <v>100</v>
      </c>
      <c r="X21" s="1355"/>
      <c r="Y21" s="36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25"/>
      <c r="Q22" s="1352"/>
      <c r="R22" s="705"/>
      <c r="S22" s="706"/>
      <c r="T22" s="705"/>
      <c r="U22" s="706"/>
      <c r="V22" s="705"/>
      <c r="W22" s="706"/>
      <c r="X22" s="1355"/>
      <c r="Y22" s="3655"/>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5"/>
      <c r="Q23" s="1352" t="str">
        <f>B23</f>
        <v>自然及人文环境</v>
      </c>
      <c r="R23" s="705" t="s">
        <v>14</v>
      </c>
      <c r="S23" s="706">
        <f>F23</f>
        <v>100</v>
      </c>
      <c r="T23" s="705" t="s">
        <v>14</v>
      </c>
      <c r="U23" s="706">
        <f>H23</f>
        <v>100</v>
      </c>
      <c r="V23" s="705" t="s">
        <v>14</v>
      </c>
      <c r="W23" s="706">
        <f>J23</f>
        <v>100</v>
      </c>
      <c r="X23" s="1355"/>
      <c r="Y23" s="365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25"/>
      <c r="Q24" s="1352"/>
      <c r="R24" s="705"/>
      <c r="S24" s="706"/>
      <c r="T24" s="705"/>
      <c r="U24" s="706"/>
      <c r="V24" s="705"/>
      <c r="W24" s="706"/>
      <c r="X24" s="1355"/>
      <c r="Y24" s="365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5"/>
      <c r="Q25" s="1352" t="str">
        <f t="shared" ref="Q25:Q46" si="11">B25</f>
        <v>临街状况</v>
      </c>
      <c r="R25" s="705" t="s">
        <v>14</v>
      </c>
      <c r="S25" s="706">
        <f>F25</f>
        <v>100</v>
      </c>
      <c r="T25" s="705" t="s">
        <v>14</v>
      </c>
      <c r="U25" s="706">
        <f>H25</f>
        <v>100</v>
      </c>
      <c r="V25" s="705" t="s">
        <v>14</v>
      </c>
      <c r="W25" s="706">
        <f>J25</f>
        <v>100</v>
      </c>
      <c r="X25" s="1355"/>
      <c r="Y25" s="365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5"/>
      <c r="Q26" s="1352" t="str">
        <f t="shared" si="11"/>
        <v>平面位置/可视性</v>
      </c>
      <c r="R26" s="705" t="s">
        <v>14</v>
      </c>
      <c r="S26" s="706">
        <f>F26</f>
        <v>100</v>
      </c>
      <c r="T26" s="705" t="s">
        <v>14</v>
      </c>
      <c r="U26" s="706">
        <f>H26</f>
        <v>100</v>
      </c>
      <c r="V26" s="705" t="s">
        <v>14</v>
      </c>
      <c r="W26" s="706">
        <f>J26</f>
        <v>100</v>
      </c>
      <c r="X26" s="1355"/>
      <c r="Y26" s="365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25"/>
      <c r="Q27" s="1343" t="str">
        <f t="shared" si="11"/>
        <v>人流量</v>
      </c>
      <c r="R27" s="701" t="s">
        <v>14</v>
      </c>
      <c r="S27" s="702">
        <f>F27</f>
        <v>100</v>
      </c>
      <c r="T27" s="701" t="s">
        <v>14</v>
      </c>
      <c r="U27" s="702">
        <f>H27</f>
        <v>100</v>
      </c>
      <c r="V27" s="701" t="s">
        <v>14</v>
      </c>
      <c r="W27" s="702">
        <f>J27</f>
        <v>100</v>
      </c>
      <c r="X27" s="703"/>
      <c r="Y27" s="365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5"/>
      <c r="Q29" s="1352">
        <f t="shared" si="11"/>
        <v>111</v>
      </c>
      <c r="R29" s="705" t="s">
        <v>14</v>
      </c>
      <c r="S29" s="706">
        <f t="shared" si="12"/>
        <v>100</v>
      </c>
      <c r="T29" s="705" t="s">
        <v>14</v>
      </c>
      <c r="U29" s="706">
        <f t="shared" si="13"/>
        <v>100</v>
      </c>
      <c r="V29" s="705" t="s">
        <v>14</v>
      </c>
      <c r="W29" s="706">
        <f t="shared" si="14"/>
        <v>100</v>
      </c>
      <c r="X29" s="1355"/>
      <c r="Y29" s="365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5"/>
      <c r="Q30" s="1352">
        <f t="shared" si="11"/>
        <v>111</v>
      </c>
      <c r="R30" s="705" t="s">
        <v>14</v>
      </c>
      <c r="S30" s="706">
        <f t="shared" si="12"/>
        <v>100</v>
      </c>
      <c r="T30" s="705" t="s">
        <v>14</v>
      </c>
      <c r="U30" s="706">
        <f t="shared" si="13"/>
        <v>100</v>
      </c>
      <c r="V30" s="705" t="s">
        <v>14</v>
      </c>
      <c r="W30" s="706">
        <f t="shared" si="14"/>
        <v>100</v>
      </c>
      <c r="X30" s="1355"/>
      <c r="Y30" s="3655"/>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5"/>
      <c r="Q31" s="1352">
        <f t="shared" si="11"/>
        <v>111</v>
      </c>
      <c r="R31" s="705" t="s">
        <v>14</v>
      </c>
      <c r="S31" s="706">
        <f t="shared" si="12"/>
        <v>100</v>
      </c>
      <c r="T31" s="705" t="s">
        <v>14</v>
      </c>
      <c r="U31" s="706">
        <f t="shared" si="13"/>
        <v>100</v>
      </c>
      <c r="V31" s="705" t="s">
        <v>14</v>
      </c>
      <c r="W31" s="706">
        <f t="shared" si="14"/>
        <v>100</v>
      </c>
      <c r="X31" s="1355"/>
      <c r="Y31" s="365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20" t="s">
        <v>1696</v>
      </c>
      <c r="Q32" s="1352" t="str">
        <f t="shared" si="11"/>
        <v>商业类型</v>
      </c>
      <c r="R32" s="705" t="s">
        <v>14</v>
      </c>
      <c r="S32" s="706">
        <f t="shared" si="12"/>
        <v>100</v>
      </c>
      <c r="T32" s="705" t="s">
        <v>14</v>
      </c>
      <c r="U32" s="706">
        <f t="shared" si="13"/>
        <v>100</v>
      </c>
      <c r="V32" s="705" t="s">
        <v>14</v>
      </c>
      <c r="W32" s="706">
        <f t="shared" si="14"/>
        <v>100</v>
      </c>
      <c r="X32" s="1355"/>
      <c r="Y32" s="365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21"/>
      <c r="Q33" s="707" t="str">
        <f t="shared" si="11"/>
        <v>项目建筑规模</v>
      </c>
      <c r="R33" s="708" t="s">
        <v>14</v>
      </c>
      <c r="S33" s="709" t="e">
        <f t="shared" si="12"/>
        <v>#N/A</v>
      </c>
      <c r="T33" s="708" t="s">
        <v>14</v>
      </c>
      <c r="U33" s="709" t="e">
        <f t="shared" si="13"/>
        <v>#N/A</v>
      </c>
      <c r="V33" s="708" t="s">
        <v>14</v>
      </c>
      <c r="W33" s="709" t="e">
        <f t="shared" si="14"/>
        <v>#N/A</v>
      </c>
      <c r="X33" s="710"/>
      <c r="Y33" s="365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21"/>
      <c r="Q34" s="1352" t="str">
        <f t="shared" si="11"/>
        <v>建筑结构</v>
      </c>
      <c r="R34" s="705" t="s">
        <v>14</v>
      </c>
      <c r="S34" s="706">
        <f t="shared" si="12"/>
        <v>100</v>
      </c>
      <c r="T34" s="705" t="s">
        <v>14</v>
      </c>
      <c r="U34" s="706">
        <f t="shared" si="13"/>
        <v>100</v>
      </c>
      <c r="V34" s="705" t="s">
        <v>14</v>
      </c>
      <c r="W34" s="706">
        <f t="shared" si="14"/>
        <v>100</v>
      </c>
      <c r="X34" s="1355"/>
      <c r="Y34" s="365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21"/>
      <c r="Q35" s="1352" t="str">
        <f t="shared" si="11"/>
        <v>公共部分装修</v>
      </c>
      <c r="R35" s="705" t="s">
        <v>14</v>
      </c>
      <c r="S35" s="706">
        <f t="shared" si="12"/>
        <v>100</v>
      </c>
      <c r="T35" s="705" t="s">
        <v>14</v>
      </c>
      <c r="U35" s="706">
        <f t="shared" si="13"/>
        <v>100</v>
      </c>
      <c r="V35" s="705" t="s">
        <v>14</v>
      </c>
      <c r="W35" s="706">
        <f t="shared" si="14"/>
        <v>100</v>
      </c>
      <c r="X35" s="1355"/>
      <c r="Y35" s="365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21"/>
      <c r="Q36" s="1352" t="str">
        <f t="shared" si="11"/>
        <v>成新度</v>
      </c>
      <c r="R36" s="705" t="s">
        <v>14</v>
      </c>
      <c r="S36" s="706" t="e">
        <f t="shared" si="12"/>
        <v>#N/A</v>
      </c>
      <c r="T36" s="705" t="s">
        <v>14</v>
      </c>
      <c r="U36" s="706" t="e">
        <f t="shared" si="13"/>
        <v>#N/A</v>
      </c>
      <c r="V36" s="705" t="s">
        <v>14</v>
      </c>
      <c r="W36" s="706" t="e">
        <f t="shared" si="14"/>
        <v>#N/A</v>
      </c>
      <c r="X36" s="1355"/>
      <c r="Y36" s="365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21"/>
      <c r="Q37" s="1343" t="str">
        <f t="shared" si="11"/>
        <v>市政基础设施</v>
      </c>
      <c r="R37" s="701" t="s">
        <v>14</v>
      </c>
      <c r="S37" s="702">
        <f t="shared" si="12"/>
        <v>100</v>
      </c>
      <c r="T37" s="701" t="s">
        <v>14</v>
      </c>
      <c r="U37" s="702">
        <f t="shared" si="13"/>
        <v>100</v>
      </c>
      <c r="V37" s="701" t="s">
        <v>14</v>
      </c>
      <c r="W37" s="702">
        <f t="shared" si="14"/>
        <v>100</v>
      </c>
      <c r="X37" s="703"/>
      <c r="Y37" s="365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21" t="s">
        <v>1696</v>
      </c>
      <c r="Q38" s="1352" t="str">
        <f t="shared" si="11"/>
        <v>业态</v>
      </c>
      <c r="R38" s="705" t="s">
        <v>14</v>
      </c>
      <c r="S38" s="706">
        <f t="shared" si="12"/>
        <v>100</v>
      </c>
      <c r="T38" s="705" t="s">
        <v>14</v>
      </c>
      <c r="U38" s="706">
        <f t="shared" si="13"/>
        <v>100</v>
      </c>
      <c r="V38" s="705" t="s">
        <v>14</v>
      </c>
      <c r="W38" s="706">
        <f t="shared" si="14"/>
        <v>100</v>
      </c>
      <c r="X38" s="1355"/>
      <c r="Y38" s="365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21"/>
      <c r="Q39" s="1352" t="str">
        <f t="shared" si="11"/>
        <v>层高</v>
      </c>
      <c r="R39" s="705" t="s">
        <v>14</v>
      </c>
      <c r="S39" s="706">
        <f t="shared" si="12"/>
        <v>100</v>
      </c>
      <c r="T39" s="705" t="s">
        <v>14</v>
      </c>
      <c r="U39" s="706">
        <f t="shared" si="13"/>
        <v>100</v>
      </c>
      <c r="V39" s="705" t="s">
        <v>14</v>
      </c>
      <c r="W39" s="706">
        <f t="shared" si="14"/>
        <v>100</v>
      </c>
      <c r="X39" s="1355"/>
      <c r="Y39" s="365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21"/>
      <c r="Q40" s="1352" t="str">
        <f t="shared" si="11"/>
        <v>单套建筑面积</v>
      </c>
      <c r="R40" s="705" t="s">
        <v>14</v>
      </c>
      <c r="S40" s="706">
        <f t="shared" si="12"/>
        <v>100</v>
      </c>
      <c r="T40" s="705" t="s">
        <v>14</v>
      </c>
      <c r="U40" s="706">
        <f t="shared" si="13"/>
        <v>100</v>
      </c>
      <c r="V40" s="705" t="s">
        <v>14</v>
      </c>
      <c r="W40" s="706">
        <f t="shared" si="14"/>
        <v>100</v>
      </c>
      <c r="X40" s="1355"/>
      <c r="Y40" s="365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21"/>
      <c r="Q41" s="707" t="str">
        <f t="shared" si="11"/>
        <v>进深比</v>
      </c>
      <c r="R41" s="708" t="s">
        <v>14</v>
      </c>
      <c r="S41" s="709">
        <f t="shared" si="12"/>
        <v>100</v>
      </c>
      <c r="T41" s="708" t="s">
        <v>14</v>
      </c>
      <c r="U41" s="709">
        <f t="shared" si="13"/>
        <v>100</v>
      </c>
      <c r="V41" s="708" t="s">
        <v>14</v>
      </c>
      <c r="W41" s="709">
        <f t="shared" si="14"/>
        <v>100</v>
      </c>
      <c r="X41" s="710"/>
      <c r="Y41" s="365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21"/>
      <c r="Q42" s="1352" t="str">
        <f t="shared" si="11"/>
        <v>内部装修</v>
      </c>
      <c r="R42" s="705" t="s">
        <v>14</v>
      </c>
      <c r="S42" s="706">
        <f t="shared" si="12"/>
        <v>100</v>
      </c>
      <c r="T42" s="705" t="s">
        <v>14</v>
      </c>
      <c r="U42" s="706">
        <f t="shared" si="13"/>
        <v>100</v>
      </c>
      <c r="V42" s="705" t="s">
        <v>14</v>
      </c>
      <c r="W42" s="706">
        <f t="shared" si="14"/>
        <v>100</v>
      </c>
      <c r="X42" s="1355"/>
      <c r="Y42" s="3657"/>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21"/>
      <c r="Q43" s="1352" t="str">
        <f t="shared" si="11"/>
        <v>内部装修维护情况</v>
      </c>
      <c r="R43" s="705" t="s">
        <v>14</v>
      </c>
      <c r="S43" s="706">
        <f t="shared" si="12"/>
        <v>100</v>
      </c>
      <c r="T43" s="705" t="s">
        <v>14</v>
      </c>
      <c r="U43" s="706">
        <f t="shared" si="13"/>
        <v>100</v>
      </c>
      <c r="V43" s="705" t="s">
        <v>14</v>
      </c>
      <c r="W43" s="706">
        <f t="shared" si="14"/>
        <v>100</v>
      </c>
      <c r="X43" s="1355"/>
      <c r="Y43" s="365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21"/>
      <c r="Q44" s="1343">
        <f t="shared" si="11"/>
        <v>111</v>
      </c>
      <c r="R44" s="701" t="s">
        <v>14</v>
      </c>
      <c r="S44" s="702">
        <f t="shared" si="12"/>
        <v>100</v>
      </c>
      <c r="T44" s="701" t="s">
        <v>14</v>
      </c>
      <c r="U44" s="702">
        <f t="shared" si="13"/>
        <v>100</v>
      </c>
      <c r="V44" s="701" t="s">
        <v>14</v>
      </c>
      <c r="W44" s="702">
        <f t="shared" si="14"/>
        <v>100</v>
      </c>
      <c r="X44" s="703"/>
      <c r="Y44" s="365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21"/>
      <c r="Q45" s="1352">
        <f t="shared" si="11"/>
        <v>111</v>
      </c>
      <c r="R45" s="705" t="s">
        <v>14</v>
      </c>
      <c r="S45" s="706">
        <f t="shared" si="12"/>
        <v>100</v>
      </c>
      <c r="T45" s="705" t="s">
        <v>14</v>
      </c>
      <c r="U45" s="706">
        <f t="shared" si="13"/>
        <v>100</v>
      </c>
      <c r="V45" s="705" t="s">
        <v>14</v>
      </c>
      <c r="W45" s="706">
        <f t="shared" si="14"/>
        <v>100</v>
      </c>
      <c r="X45" s="1355"/>
      <c r="Y45" s="3657"/>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22"/>
      <c r="Q46" s="1352">
        <f t="shared" si="11"/>
        <v>111</v>
      </c>
      <c r="R46" s="705" t="s">
        <v>14</v>
      </c>
      <c r="S46" s="706">
        <f t="shared" si="12"/>
        <v>100</v>
      </c>
      <c r="T46" s="705" t="s">
        <v>14</v>
      </c>
      <c r="U46" s="706">
        <f t="shared" si="13"/>
        <v>100</v>
      </c>
      <c r="V46" s="705" t="s">
        <v>14</v>
      </c>
      <c r="W46" s="706">
        <f t="shared" si="14"/>
        <v>100</v>
      </c>
      <c r="X46" s="1355"/>
      <c r="Y46" s="3723"/>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649" t="str">
        <f>A47</f>
        <v>成交单价（元/平方米）</v>
      </c>
      <c r="Q47" s="3649"/>
      <c r="R47" s="3653">
        <f>E47</f>
        <v>0</v>
      </c>
      <c r="S47" s="3653"/>
      <c r="T47" s="3653">
        <f>G47</f>
        <v>0</v>
      </c>
      <c r="U47" s="3653"/>
      <c r="V47" s="3653">
        <f>I47</f>
        <v>0</v>
      </c>
      <c r="W47" s="3653"/>
      <c r="X47" s="690"/>
      <c r="Y47" s="712"/>
      <c r="Z47" s="690"/>
      <c r="AA47" s="690"/>
      <c r="AB47" s="690"/>
      <c r="AC47" s="690"/>
    </row>
    <row r="48" spans="1:29" ht="15" thickBot="1">
      <c r="A48" s="437" t="s">
        <v>1793</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649" t="str">
        <f>A48</f>
        <v>比较价值（元/平方米）</v>
      </c>
      <c r="Q48" s="3649"/>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3"/>
      <c r="M49" s="2724"/>
      <c r="N49" s="2715"/>
      <c r="O49" s="2724"/>
      <c r="P49" s="3646" t="str">
        <f>A49</f>
        <v>估价对象XX用房的比较价值（楼面单价，元/平方米）</v>
      </c>
      <c r="Q49" s="3647"/>
      <c r="R49" s="3718" t="e">
        <f>IF(F1="售价",ROUND(IF(D48="简单平均",AVERAGE(R48:V48),R48*F48+T48*H48+V48*J48),0),ROUND(IF(D48="简单平均",AVERAGE(R48:V48),R48*F48+T48*H48+V48*J48),1))</f>
        <v>#DIV/0!</v>
      </c>
      <c r="S49" s="3718"/>
      <c r="T49" s="3718"/>
      <c r="U49" s="3718"/>
      <c r="V49" s="3718"/>
      <c r="W49" s="371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3"/>
      <c r="O89" s="2753"/>
      <c r="P89" s="2743"/>
      <c r="Q89" s="2738"/>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253739.7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661" t="s">
        <v>1770</v>
      </c>
      <c r="D4" s="3662"/>
      <c r="E4" s="3663" t="s">
        <v>1771</v>
      </c>
      <c r="F4" s="3664"/>
      <c r="G4" s="3661" t="s">
        <v>1772</v>
      </c>
      <c r="H4" s="3662"/>
      <c r="I4" s="3661" t="s">
        <v>1773</v>
      </c>
      <c r="J4" s="3662"/>
      <c r="K4" s="559" t="s">
        <v>1774</v>
      </c>
      <c r="L4" s="2714"/>
      <c r="M4" s="2715"/>
      <c r="N4" s="2715"/>
      <c r="O4" s="2715"/>
      <c r="P4" s="3732" t="s">
        <v>1775</v>
      </c>
      <c r="Q4" s="3733"/>
      <c r="R4" s="3727" t="s">
        <v>1771</v>
      </c>
      <c r="S4" s="3728"/>
      <c r="T4" s="3727" t="s">
        <v>1772</v>
      </c>
      <c r="U4" s="3728"/>
      <c r="V4" s="3736" t="s">
        <v>1773</v>
      </c>
      <c r="W4" s="3736"/>
      <c r="X4" s="1958"/>
      <c r="Y4" s="3727" t="s">
        <v>1775</v>
      </c>
      <c r="Z4" s="3728"/>
      <c r="AA4" s="3726" t="s">
        <v>1771</v>
      </c>
      <c r="AB4" s="3726" t="s">
        <v>1772</v>
      </c>
      <c r="AC4" s="3729" t="s">
        <v>1773</v>
      </c>
    </row>
    <row r="5" spans="1:29">
      <c r="A5" s="358"/>
      <c r="B5" s="359"/>
      <c r="C5" s="3679" t="s">
        <v>1673</v>
      </c>
      <c r="D5" s="3680"/>
      <c r="E5" s="3671" t="s">
        <v>1674</v>
      </c>
      <c r="F5" s="3672"/>
      <c r="G5" s="3679" t="s">
        <v>1675</v>
      </c>
      <c r="H5" s="3680"/>
      <c r="I5" s="3679" t="s">
        <v>1676</v>
      </c>
      <c r="J5" s="3680"/>
      <c r="K5" s="559"/>
      <c r="L5" s="2714"/>
      <c r="M5" s="2715"/>
      <c r="N5" s="2715"/>
      <c r="O5" s="2715"/>
      <c r="P5" s="3734"/>
      <c r="Q5" s="3668"/>
      <c r="R5" s="3677"/>
      <c r="S5" s="3678"/>
      <c r="T5" s="3677"/>
      <c r="U5" s="3678"/>
      <c r="V5" s="3653"/>
      <c r="W5" s="3653"/>
      <c r="X5" s="1355"/>
      <c r="Y5" s="3677"/>
      <c r="Z5" s="3678"/>
      <c r="AA5" s="3659"/>
      <c r="AB5" s="3659"/>
      <c r="AC5" s="3730"/>
    </row>
    <row r="6" spans="1:29" ht="15" thickBot="1">
      <c r="A6" s="360"/>
      <c r="B6" s="361"/>
      <c r="C6" s="3714" t="s">
        <v>1677</v>
      </c>
      <c r="D6" s="3715"/>
      <c r="E6" s="3716" t="s">
        <v>1677</v>
      </c>
      <c r="F6" s="3717"/>
      <c r="G6" s="3714" t="s">
        <v>1677</v>
      </c>
      <c r="H6" s="3715"/>
      <c r="I6" s="3714" t="s">
        <v>1677</v>
      </c>
      <c r="J6" s="3715"/>
      <c r="K6" s="559" t="s">
        <v>1678</v>
      </c>
      <c r="L6" s="2714"/>
      <c r="M6" s="2715"/>
      <c r="N6" s="2715"/>
      <c r="O6" s="2715"/>
      <c r="P6" s="3735"/>
      <c r="Q6" s="3670"/>
      <c r="R6" s="3677"/>
      <c r="S6" s="3678"/>
      <c r="T6" s="3686"/>
      <c r="U6" s="3687"/>
      <c r="V6" s="3653"/>
      <c r="W6" s="3653"/>
      <c r="X6" s="1355"/>
      <c r="Y6" s="3686"/>
      <c r="Z6" s="3687"/>
      <c r="AA6" s="3660"/>
      <c r="AB6" s="3660"/>
      <c r="AC6" s="3731"/>
    </row>
    <row r="7" spans="1:29" s="108" customFormat="1" ht="15" thickBot="1">
      <c r="A7" s="362" t="s">
        <v>1679</v>
      </c>
      <c r="B7" s="363"/>
      <c r="C7" s="364">
        <f>'数据-取费表'!B2</f>
        <v>45274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7" t="s">
        <v>1680</v>
      </c>
      <c r="Q7" s="3683"/>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7" t="s">
        <v>1683</v>
      </c>
      <c r="Q8" s="3652"/>
      <c r="R8" s="701" t="s">
        <v>14</v>
      </c>
      <c r="S8" s="702">
        <f t="shared" si="0"/>
        <v>100</v>
      </c>
      <c r="T8" s="701" t="s">
        <v>14</v>
      </c>
      <c r="U8" s="702">
        <f t="shared" si="1"/>
        <v>100</v>
      </c>
      <c r="V8" s="701" t="s">
        <v>14</v>
      </c>
      <c r="W8" s="702">
        <f t="shared" si="2"/>
        <v>100</v>
      </c>
      <c r="X8" s="703"/>
      <c r="Y8" s="3651" t="s">
        <v>1683</v>
      </c>
      <c r="Z8" s="3652"/>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4"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4"/>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4"/>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4"/>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4"/>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4"/>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4" t="s">
        <v>1691</v>
      </c>
      <c r="Q15" s="1352" t="str">
        <f t="shared" si="6"/>
        <v>办公集聚程度</v>
      </c>
      <c r="R15" s="705" t="s">
        <v>14</v>
      </c>
      <c r="S15" s="706">
        <f t="shared" si="0"/>
        <v>100</v>
      </c>
      <c r="T15" s="705" t="s">
        <v>14</v>
      </c>
      <c r="U15" s="706">
        <f t="shared" si="1"/>
        <v>100</v>
      </c>
      <c r="V15" s="705" t="s">
        <v>14</v>
      </c>
      <c r="W15" s="706">
        <f t="shared" si="2"/>
        <v>100</v>
      </c>
      <c r="X15" s="1355"/>
      <c r="Y15" s="365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25"/>
      <c r="Q16" s="1352"/>
      <c r="R16" s="705"/>
      <c r="S16" s="706"/>
      <c r="T16" s="705"/>
      <c r="U16" s="706"/>
      <c r="V16" s="705"/>
      <c r="W16" s="706"/>
      <c r="X16" s="1355"/>
      <c r="Y16" s="3655"/>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5"/>
      <c r="Q17" s="1352" t="str">
        <f>B17</f>
        <v>交通便捷度</v>
      </c>
      <c r="R17" s="705" t="s">
        <v>14</v>
      </c>
      <c r="S17" s="706">
        <f>F17</f>
        <v>100</v>
      </c>
      <c r="T17" s="705" t="s">
        <v>14</v>
      </c>
      <c r="U17" s="706">
        <f>H17</f>
        <v>100</v>
      </c>
      <c r="V17" s="705" t="s">
        <v>14</v>
      </c>
      <c r="W17" s="706">
        <f>J17</f>
        <v>100</v>
      </c>
      <c r="X17" s="1355"/>
      <c r="Y17" s="365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25"/>
      <c r="Q18" s="1352"/>
      <c r="R18" s="705"/>
      <c r="S18" s="706"/>
      <c r="T18" s="705"/>
      <c r="U18" s="706"/>
      <c r="V18" s="705"/>
      <c r="W18" s="706"/>
      <c r="X18" s="1355"/>
      <c r="Y18" s="3655"/>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5"/>
      <c r="Q19" s="1352" t="str">
        <f>B19</f>
        <v>公共配套设施</v>
      </c>
      <c r="R19" s="705" t="s">
        <v>14</v>
      </c>
      <c r="S19" s="706">
        <f>F19</f>
        <v>100</v>
      </c>
      <c r="T19" s="705" t="s">
        <v>14</v>
      </c>
      <c r="U19" s="706">
        <f>H19</f>
        <v>100</v>
      </c>
      <c r="V19" s="705" t="s">
        <v>14</v>
      </c>
      <c r="W19" s="706">
        <f>J19</f>
        <v>100</v>
      </c>
      <c r="X19" s="1355"/>
      <c r="Y19" s="365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25"/>
      <c r="Q20" s="1352"/>
      <c r="R20" s="705"/>
      <c r="S20" s="706"/>
      <c r="T20" s="705"/>
      <c r="U20" s="706"/>
      <c r="V20" s="705"/>
      <c r="W20" s="706"/>
      <c r="X20" s="1355"/>
      <c r="Y20" s="3655"/>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5"/>
      <c r="Q21" s="1352" t="str">
        <f>B21</f>
        <v>基础设施水平</v>
      </c>
      <c r="R21" s="705" t="s">
        <v>14</v>
      </c>
      <c r="S21" s="706">
        <f>F21</f>
        <v>100</v>
      </c>
      <c r="T21" s="705" t="s">
        <v>14</v>
      </c>
      <c r="U21" s="706">
        <f>H21</f>
        <v>100</v>
      </c>
      <c r="V21" s="705" t="s">
        <v>14</v>
      </c>
      <c r="W21" s="706">
        <f>J21</f>
        <v>100</v>
      </c>
      <c r="X21" s="1355"/>
      <c r="Y21" s="365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25"/>
      <c r="Q22" s="1352"/>
      <c r="R22" s="705"/>
      <c r="S22" s="706"/>
      <c r="T22" s="705"/>
      <c r="U22" s="706"/>
      <c r="V22" s="705"/>
      <c r="W22" s="706"/>
      <c r="X22" s="1355"/>
      <c r="Y22" s="3655"/>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5"/>
      <c r="Q23" s="1352" t="str">
        <f>B23</f>
        <v>环境质量</v>
      </c>
      <c r="R23" s="705" t="s">
        <v>14</v>
      </c>
      <c r="S23" s="706">
        <f>F23</f>
        <v>100</v>
      </c>
      <c r="T23" s="705" t="s">
        <v>14</v>
      </c>
      <c r="U23" s="706">
        <f>H23</f>
        <v>100</v>
      </c>
      <c r="V23" s="705" t="s">
        <v>14</v>
      </c>
      <c r="W23" s="706">
        <f>J23</f>
        <v>100</v>
      </c>
      <c r="X23" s="1355"/>
      <c r="Y23" s="365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25"/>
      <c r="Q24" s="1352"/>
      <c r="R24" s="705"/>
      <c r="S24" s="706"/>
      <c r="T24" s="705"/>
      <c r="U24" s="706"/>
      <c r="V24" s="705"/>
      <c r="W24" s="706"/>
      <c r="X24" s="1355"/>
      <c r="Y24" s="3655"/>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25"/>
      <c r="Q25" s="1352" t="str">
        <f>B25</f>
        <v>毗邻道路的类型与等级</v>
      </c>
      <c r="R25" s="705" t="s">
        <v>14</v>
      </c>
      <c r="S25" s="706">
        <f>F25</f>
        <v>100</v>
      </c>
      <c r="T25" s="705" t="s">
        <v>14</v>
      </c>
      <c r="U25" s="706">
        <f>H25</f>
        <v>100</v>
      </c>
      <c r="V25" s="705" t="s">
        <v>14</v>
      </c>
      <c r="W25" s="706">
        <f>J25</f>
        <v>100</v>
      </c>
      <c r="X25" s="1355"/>
      <c r="Y25" s="365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25"/>
      <c r="Q26" s="1352"/>
      <c r="R26" s="705"/>
      <c r="S26" s="706"/>
      <c r="T26" s="705"/>
      <c r="U26" s="706"/>
      <c r="V26" s="705"/>
      <c r="W26" s="706"/>
      <c r="X26" s="1355"/>
      <c r="Y26" s="365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5"/>
      <c r="Q27" s="1352" t="str">
        <f t="shared" ref="Q27:Q47" si="11">B27</f>
        <v>楼层</v>
      </c>
      <c r="R27" s="705" t="s">
        <v>14</v>
      </c>
      <c r="S27" s="706">
        <f>F27</f>
        <v>100</v>
      </c>
      <c r="T27" s="705" t="s">
        <v>14</v>
      </c>
      <c r="U27" s="706">
        <f>H27</f>
        <v>100</v>
      </c>
      <c r="V27" s="705" t="s">
        <v>14</v>
      </c>
      <c r="W27" s="706">
        <f>J27</f>
        <v>100</v>
      </c>
      <c r="X27" s="1355"/>
      <c r="Y27" s="365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25"/>
      <c r="Q28" s="1343" t="str">
        <f t="shared" si="11"/>
        <v>朝向</v>
      </c>
      <c r="R28" s="701" t="s">
        <v>14</v>
      </c>
      <c r="S28" s="702">
        <f>F28</f>
        <v>100</v>
      </c>
      <c r="T28" s="701" t="s">
        <v>14</v>
      </c>
      <c r="U28" s="702">
        <f>H28</f>
        <v>100</v>
      </c>
      <c r="V28" s="701" t="s">
        <v>14</v>
      </c>
      <c r="W28" s="702">
        <f>J28</f>
        <v>100</v>
      </c>
      <c r="X28" s="703"/>
      <c r="Y28" s="365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25"/>
      <c r="Q29" s="1352">
        <f t="shared" si="11"/>
        <v>111</v>
      </c>
      <c r="R29" s="705" t="s">
        <v>14</v>
      </c>
      <c r="S29" s="706">
        <f t="shared" ref="S29:S47" si="12">F29</f>
        <v>100</v>
      </c>
      <c r="T29" s="705" t="s">
        <v>14</v>
      </c>
      <c r="U29" s="706">
        <f t="shared" ref="U29:U47" si="13">H29</f>
        <v>100</v>
      </c>
      <c r="V29" s="705" t="s">
        <v>14</v>
      </c>
      <c r="W29" s="706">
        <f t="shared" ref="W29:W47" si="14">J29</f>
        <v>100</v>
      </c>
      <c r="X29" s="1355"/>
      <c r="Y29" s="365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25"/>
      <c r="Q30" s="1352">
        <f t="shared" si="11"/>
        <v>111</v>
      </c>
      <c r="R30" s="705" t="s">
        <v>14</v>
      </c>
      <c r="S30" s="706">
        <f t="shared" si="12"/>
        <v>100</v>
      </c>
      <c r="T30" s="705" t="s">
        <v>14</v>
      </c>
      <c r="U30" s="706">
        <f t="shared" si="13"/>
        <v>100</v>
      </c>
      <c r="V30" s="705" t="s">
        <v>14</v>
      </c>
      <c r="W30" s="706">
        <f t="shared" si="14"/>
        <v>100</v>
      </c>
      <c r="X30" s="1355"/>
      <c r="Y30" s="365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25"/>
      <c r="Q31" s="1352">
        <f t="shared" si="11"/>
        <v>111</v>
      </c>
      <c r="R31" s="705" t="s">
        <v>14</v>
      </c>
      <c r="S31" s="706">
        <f t="shared" si="12"/>
        <v>100</v>
      </c>
      <c r="T31" s="705" t="s">
        <v>14</v>
      </c>
      <c r="U31" s="706">
        <f t="shared" si="13"/>
        <v>100</v>
      </c>
      <c r="V31" s="705" t="s">
        <v>14</v>
      </c>
      <c r="W31" s="706">
        <f t="shared" si="14"/>
        <v>100</v>
      </c>
      <c r="X31" s="1355"/>
      <c r="Y31" s="3655"/>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25"/>
      <c r="Q32" s="1352">
        <f t="shared" si="11"/>
        <v>111</v>
      </c>
      <c r="R32" s="705" t="s">
        <v>14</v>
      </c>
      <c r="S32" s="706">
        <f t="shared" si="12"/>
        <v>100</v>
      </c>
      <c r="T32" s="705" t="s">
        <v>14</v>
      </c>
      <c r="U32" s="706">
        <f t="shared" si="13"/>
        <v>100</v>
      </c>
      <c r="V32" s="705" t="s">
        <v>14</v>
      </c>
      <c r="W32" s="706">
        <f t="shared" si="14"/>
        <v>100</v>
      </c>
      <c r="X32" s="1355"/>
      <c r="Y32" s="365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20" t="s">
        <v>1696</v>
      </c>
      <c r="Q33" s="1352" t="str">
        <f t="shared" si="11"/>
        <v>建筑类型</v>
      </c>
      <c r="R33" s="705" t="s">
        <v>14</v>
      </c>
      <c r="S33" s="706">
        <f t="shared" si="12"/>
        <v>100</v>
      </c>
      <c r="T33" s="705" t="s">
        <v>14</v>
      </c>
      <c r="U33" s="706">
        <f t="shared" si="13"/>
        <v>100</v>
      </c>
      <c r="V33" s="705" t="s">
        <v>14</v>
      </c>
      <c r="W33" s="706">
        <f t="shared" si="14"/>
        <v>100</v>
      </c>
      <c r="X33" s="1355"/>
      <c r="Y33" s="365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21"/>
      <c r="Q34" s="707" t="str">
        <f t="shared" si="11"/>
        <v>项目建筑规模</v>
      </c>
      <c r="R34" s="708" t="s">
        <v>14</v>
      </c>
      <c r="S34" s="709" t="e">
        <f t="shared" si="12"/>
        <v>#N/A</v>
      </c>
      <c r="T34" s="708" t="s">
        <v>14</v>
      </c>
      <c r="U34" s="709" t="e">
        <f t="shared" si="13"/>
        <v>#N/A</v>
      </c>
      <c r="V34" s="708" t="s">
        <v>14</v>
      </c>
      <c r="W34" s="709" t="e">
        <f t="shared" si="14"/>
        <v>#N/A</v>
      </c>
      <c r="X34" s="710"/>
      <c r="Y34" s="365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21"/>
      <c r="Q35" s="1352" t="str">
        <f t="shared" si="11"/>
        <v>建筑结构</v>
      </c>
      <c r="R35" s="705" t="s">
        <v>14</v>
      </c>
      <c r="S35" s="706">
        <f t="shared" si="12"/>
        <v>100</v>
      </c>
      <c r="T35" s="705" t="s">
        <v>14</v>
      </c>
      <c r="U35" s="706">
        <f t="shared" si="13"/>
        <v>100</v>
      </c>
      <c r="V35" s="705" t="s">
        <v>14</v>
      </c>
      <c r="W35" s="706">
        <f t="shared" si="14"/>
        <v>100</v>
      </c>
      <c r="X35" s="1355"/>
      <c r="Y35" s="365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21"/>
      <c r="Q36" s="1352" t="str">
        <f t="shared" si="11"/>
        <v>公共部分装修</v>
      </c>
      <c r="R36" s="705" t="s">
        <v>14</v>
      </c>
      <c r="S36" s="706">
        <f t="shared" si="12"/>
        <v>100</v>
      </c>
      <c r="T36" s="705" t="s">
        <v>14</v>
      </c>
      <c r="U36" s="706">
        <f t="shared" si="13"/>
        <v>100</v>
      </c>
      <c r="V36" s="705" t="s">
        <v>14</v>
      </c>
      <c r="W36" s="706">
        <f t="shared" si="14"/>
        <v>100</v>
      </c>
      <c r="X36" s="1355"/>
      <c r="Y36" s="365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21"/>
      <c r="Q37" s="1352" t="str">
        <f t="shared" si="11"/>
        <v>成新度</v>
      </c>
      <c r="R37" s="705" t="s">
        <v>14</v>
      </c>
      <c r="S37" s="706" t="e">
        <f t="shared" si="12"/>
        <v>#N/A</v>
      </c>
      <c r="T37" s="705" t="s">
        <v>14</v>
      </c>
      <c r="U37" s="706" t="e">
        <f t="shared" si="13"/>
        <v>#N/A</v>
      </c>
      <c r="V37" s="705" t="s">
        <v>14</v>
      </c>
      <c r="W37" s="706" t="e">
        <f t="shared" si="14"/>
        <v>#N/A</v>
      </c>
      <c r="X37" s="1355"/>
      <c r="Y37" s="365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21"/>
      <c r="Q38" s="1343" t="str">
        <f t="shared" si="11"/>
        <v>写字楼等级</v>
      </c>
      <c r="R38" s="701" t="s">
        <v>14</v>
      </c>
      <c r="S38" s="702">
        <f t="shared" si="12"/>
        <v>100</v>
      </c>
      <c r="T38" s="701" t="s">
        <v>14</v>
      </c>
      <c r="U38" s="702">
        <f t="shared" si="13"/>
        <v>100</v>
      </c>
      <c r="V38" s="701" t="s">
        <v>14</v>
      </c>
      <c r="W38" s="702">
        <f t="shared" si="14"/>
        <v>100</v>
      </c>
      <c r="X38" s="703"/>
      <c r="Y38" s="365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21" t="s">
        <v>1696</v>
      </c>
      <c r="Q39" s="1352" t="str">
        <f t="shared" si="11"/>
        <v>物业管理</v>
      </c>
      <c r="R39" s="705" t="s">
        <v>14</v>
      </c>
      <c r="S39" s="706">
        <f t="shared" si="12"/>
        <v>100</v>
      </c>
      <c r="T39" s="705" t="s">
        <v>14</v>
      </c>
      <c r="U39" s="706">
        <f t="shared" si="13"/>
        <v>100</v>
      </c>
      <c r="V39" s="705" t="s">
        <v>14</v>
      </c>
      <c r="W39" s="706">
        <f t="shared" si="14"/>
        <v>100</v>
      </c>
      <c r="X39" s="1355"/>
      <c r="Y39" s="365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21"/>
      <c r="Q40" s="1352" t="str">
        <f t="shared" si="11"/>
        <v>市政基础设施</v>
      </c>
      <c r="R40" s="705" t="s">
        <v>14</v>
      </c>
      <c r="S40" s="706">
        <f t="shared" si="12"/>
        <v>100</v>
      </c>
      <c r="T40" s="705" t="s">
        <v>14</v>
      </c>
      <c r="U40" s="706">
        <f t="shared" si="13"/>
        <v>100</v>
      </c>
      <c r="V40" s="705" t="s">
        <v>14</v>
      </c>
      <c r="W40" s="706">
        <f t="shared" si="14"/>
        <v>100</v>
      </c>
      <c r="X40" s="1355"/>
      <c r="Y40" s="365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21"/>
      <c r="Q41" s="1352" t="str">
        <f t="shared" si="11"/>
        <v>层高</v>
      </c>
      <c r="R41" s="705" t="s">
        <v>14</v>
      </c>
      <c r="S41" s="706">
        <f t="shared" si="12"/>
        <v>100</v>
      </c>
      <c r="T41" s="705" t="s">
        <v>14</v>
      </c>
      <c r="U41" s="706">
        <f t="shared" si="13"/>
        <v>100</v>
      </c>
      <c r="V41" s="705" t="s">
        <v>14</v>
      </c>
      <c r="W41" s="706">
        <f t="shared" si="14"/>
        <v>100</v>
      </c>
      <c r="X41" s="1355"/>
      <c r="Y41" s="365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21"/>
      <c r="Q42" s="707" t="str">
        <f t="shared" si="11"/>
        <v>单套建筑面积</v>
      </c>
      <c r="R42" s="708" t="s">
        <v>14</v>
      </c>
      <c r="S42" s="709">
        <f t="shared" si="12"/>
        <v>100</v>
      </c>
      <c r="T42" s="708" t="s">
        <v>14</v>
      </c>
      <c r="U42" s="709">
        <f t="shared" si="13"/>
        <v>100</v>
      </c>
      <c r="V42" s="708" t="s">
        <v>14</v>
      </c>
      <c r="W42" s="709">
        <f t="shared" si="14"/>
        <v>100</v>
      </c>
      <c r="X42" s="710"/>
      <c r="Y42" s="365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21"/>
      <c r="Q43" s="1352" t="str">
        <f t="shared" si="11"/>
        <v>内部装修</v>
      </c>
      <c r="R43" s="705" t="s">
        <v>14</v>
      </c>
      <c r="S43" s="706">
        <f t="shared" si="12"/>
        <v>100</v>
      </c>
      <c r="T43" s="705" t="s">
        <v>14</v>
      </c>
      <c r="U43" s="706">
        <f t="shared" si="13"/>
        <v>100</v>
      </c>
      <c r="V43" s="705" t="s">
        <v>14</v>
      </c>
      <c r="W43" s="706">
        <f t="shared" si="14"/>
        <v>100</v>
      </c>
      <c r="X43" s="1355"/>
      <c r="Y43" s="3657"/>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21"/>
      <c r="Q44" s="1352" t="str">
        <f t="shared" si="11"/>
        <v>内部装修维护情况</v>
      </c>
      <c r="R44" s="705" t="s">
        <v>14</v>
      </c>
      <c r="S44" s="706">
        <f t="shared" si="12"/>
        <v>100</v>
      </c>
      <c r="T44" s="705" t="s">
        <v>14</v>
      </c>
      <c r="U44" s="706">
        <f t="shared" si="13"/>
        <v>100</v>
      </c>
      <c r="V44" s="705" t="s">
        <v>14</v>
      </c>
      <c r="W44" s="706">
        <f t="shared" si="14"/>
        <v>100</v>
      </c>
      <c r="X44" s="1355"/>
      <c r="Y44" s="365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21"/>
      <c r="Q45" s="1343">
        <f t="shared" si="11"/>
        <v>111</v>
      </c>
      <c r="R45" s="701" t="s">
        <v>14</v>
      </c>
      <c r="S45" s="702">
        <f t="shared" si="12"/>
        <v>100</v>
      </c>
      <c r="T45" s="701" t="s">
        <v>14</v>
      </c>
      <c r="U45" s="702">
        <f t="shared" si="13"/>
        <v>100</v>
      </c>
      <c r="V45" s="701" t="s">
        <v>14</v>
      </c>
      <c r="W45" s="702">
        <f t="shared" si="14"/>
        <v>100</v>
      </c>
      <c r="X45" s="703"/>
      <c r="Y45" s="365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21"/>
      <c r="Q46" s="1352">
        <f t="shared" si="11"/>
        <v>111</v>
      </c>
      <c r="R46" s="705" t="s">
        <v>14</v>
      </c>
      <c r="S46" s="706">
        <f t="shared" si="12"/>
        <v>100</v>
      </c>
      <c r="T46" s="705" t="s">
        <v>14</v>
      </c>
      <c r="U46" s="706">
        <f t="shared" si="13"/>
        <v>100</v>
      </c>
      <c r="V46" s="705" t="s">
        <v>14</v>
      </c>
      <c r="W46" s="706">
        <f t="shared" si="14"/>
        <v>100</v>
      </c>
      <c r="X46" s="1355"/>
      <c r="Y46" s="3657"/>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22"/>
      <c r="Q47" s="1352">
        <f t="shared" si="11"/>
        <v>111</v>
      </c>
      <c r="R47" s="705" t="s">
        <v>14</v>
      </c>
      <c r="S47" s="706">
        <f t="shared" si="12"/>
        <v>100</v>
      </c>
      <c r="T47" s="705" t="s">
        <v>14</v>
      </c>
      <c r="U47" s="706">
        <f t="shared" si="13"/>
        <v>100</v>
      </c>
      <c r="V47" s="705" t="s">
        <v>14</v>
      </c>
      <c r="W47" s="706">
        <f t="shared" si="14"/>
        <v>100</v>
      </c>
      <c r="X47" s="1355"/>
      <c r="Y47" s="3723"/>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3"/>
      <c r="M48" s="2715"/>
      <c r="N48" s="2715"/>
      <c r="O48" s="2715"/>
      <c r="P48" s="3674" t="str">
        <f>A48</f>
        <v>成交单价（元/平方米）</v>
      </c>
      <c r="Q48" s="3649"/>
      <c r="R48" s="3719">
        <f>E48</f>
        <v>0</v>
      </c>
      <c r="S48" s="3719"/>
      <c r="T48" s="3719">
        <f>G48</f>
        <v>0</v>
      </c>
      <c r="U48" s="3719"/>
      <c r="V48" s="3719">
        <f>I48</f>
        <v>0</v>
      </c>
      <c r="W48" s="3719"/>
      <c r="X48" s="397"/>
      <c r="Y48" s="712"/>
      <c r="Z48" s="397"/>
      <c r="AA48" s="397"/>
      <c r="AB48" s="397"/>
      <c r="AC48" s="578"/>
    </row>
    <row r="49" spans="1:29" ht="15" thickBot="1">
      <c r="A49" s="437" t="s">
        <v>1793</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674" t="str">
        <f>A49</f>
        <v>比较价值（元/平方米）</v>
      </c>
      <c r="Q49" s="3649"/>
      <c r="R49" s="3719" t="e">
        <f>IF(F1="售价",ROUND(PRODUCT(R48,AA7:AA47),0),ROUND(PRODUCT(R48,AA7:AA47),1))</f>
        <v>#DIV/0!</v>
      </c>
      <c r="S49" s="3719"/>
      <c r="T49" s="3719" t="e">
        <f>IF(F1="售价",ROUND(PRODUCT(T48,AB7:AB47),0),ROUND(PRODUCT(T48,AB7:AB47),1))</f>
        <v>#DIV/0!</v>
      </c>
      <c r="U49" s="3719"/>
      <c r="V49" s="3719" t="e">
        <f>IF(F1="售价",ROUND(PRODUCT(V48,AC7:AC47),0),ROUND(PRODUCT(V48,AC7:AC47),1))</f>
        <v>#DIV/0!</v>
      </c>
      <c r="W49" s="3719"/>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3"/>
      <c r="M50" s="2715"/>
      <c r="N50" s="2715"/>
      <c r="O50" s="2715"/>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受贵公司委托，我公司对四川省绵阳市江油市工业用房出让国有建设用地使用权及在建建筑物房地产抵押价值进行了预评估。</v>
      </c>
    </row>
    <row r="5" spans="1:1" ht="17.399999999999999">
      <c r="A5" s="1481" t="s">
        <v>899</v>
      </c>
    </row>
    <row r="6" spans="1:1" ht="17.399999999999999">
      <c r="A6" s="1482" t="s">
        <v>900</v>
      </c>
    </row>
    <row r="7" spans="1:1" ht="69.59999999999999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绵阳市江油市工业用房出让国有建设用地使用权及在建建筑物房地产，为所有。根据《国有土地使用证》[]，估价对象（分摊）出让国有建设用地使用权面积为368153.3平方米，建筑面积为253739.7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绵阳市江油市工业用房出让国有建设用地使用权及在建建筑物房地产,为开发建设的，该项目尚在开发建设中。根据《国有土地使用证》[]，估价对象（分摊）出让国有建设用地使用权面积为368153.3平方米，规划建筑面积为253739.7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四川省绵阳市江油市工业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2023年12月14日（评估专业人员实地查勘之日）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本次评估采用的主估价方法为成本法和假设开发法。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253739.7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61" t="s">
        <v>1770</v>
      </c>
      <c r="D4" s="3662"/>
      <c r="E4" s="3663" t="s">
        <v>1771</v>
      </c>
      <c r="F4" s="3664"/>
      <c r="G4" s="3661" t="s">
        <v>1772</v>
      </c>
      <c r="H4" s="3662"/>
      <c r="I4" s="3661" t="s">
        <v>1773</v>
      </c>
      <c r="J4" s="3662"/>
      <c r="K4" s="559" t="s">
        <v>1774</v>
      </c>
      <c r="L4" s="913"/>
      <c r="M4" s="914"/>
      <c r="N4" s="914"/>
      <c r="O4" s="914"/>
      <c r="P4" s="3665" t="s">
        <v>1775</v>
      </c>
      <c r="Q4" s="3666"/>
      <c r="R4" s="3675" t="s">
        <v>1771</v>
      </c>
      <c r="S4" s="3676"/>
      <c r="T4" s="3675" t="s">
        <v>1772</v>
      </c>
      <c r="U4" s="3676"/>
      <c r="V4" s="3653" t="s">
        <v>1773</v>
      </c>
      <c r="W4" s="3653"/>
      <c r="X4" s="1355"/>
      <c r="Y4" s="3675" t="s">
        <v>1775</v>
      </c>
      <c r="Z4" s="3676"/>
      <c r="AA4" s="3658" t="s">
        <v>1771</v>
      </c>
      <c r="AB4" s="3659" t="s">
        <v>1772</v>
      </c>
      <c r="AC4" s="3658" t="s">
        <v>1773</v>
      </c>
    </row>
    <row r="5" spans="1:29">
      <c r="A5" s="358"/>
      <c r="B5" s="359"/>
      <c r="C5" s="3679" t="s">
        <v>1673</v>
      </c>
      <c r="D5" s="3680"/>
      <c r="E5" s="3671" t="s">
        <v>1674</v>
      </c>
      <c r="F5" s="3672"/>
      <c r="G5" s="3679" t="s">
        <v>1675</v>
      </c>
      <c r="H5" s="3680"/>
      <c r="I5" s="3679" t="s">
        <v>1676</v>
      </c>
      <c r="J5" s="3680"/>
      <c r="K5" s="559"/>
      <c r="L5" s="913"/>
      <c r="M5" s="914"/>
      <c r="N5" s="914"/>
      <c r="O5" s="914"/>
      <c r="P5" s="3667"/>
      <c r="Q5" s="3668"/>
      <c r="R5" s="3677"/>
      <c r="S5" s="3678"/>
      <c r="T5" s="3677"/>
      <c r="U5" s="3678"/>
      <c r="V5" s="3653"/>
      <c r="W5" s="3653"/>
      <c r="X5" s="1355"/>
      <c r="Y5" s="3677"/>
      <c r="Z5" s="3678"/>
      <c r="AA5" s="3659"/>
      <c r="AB5" s="3659"/>
      <c r="AC5" s="3659"/>
    </row>
    <row r="6" spans="1:29" ht="15" thickBot="1">
      <c r="A6" s="360"/>
      <c r="B6" s="361"/>
      <c r="C6" s="3714" t="s">
        <v>1677</v>
      </c>
      <c r="D6" s="3715"/>
      <c r="E6" s="3716" t="s">
        <v>1677</v>
      </c>
      <c r="F6" s="3717"/>
      <c r="G6" s="3714" t="s">
        <v>1677</v>
      </c>
      <c r="H6" s="3715"/>
      <c r="I6" s="3714" t="s">
        <v>1677</v>
      </c>
      <c r="J6" s="3715"/>
      <c r="K6" s="559" t="s">
        <v>1678</v>
      </c>
      <c r="L6" s="913"/>
      <c r="M6" s="914"/>
      <c r="N6" s="914"/>
      <c r="O6" s="914"/>
      <c r="P6" s="3669"/>
      <c r="Q6" s="3670"/>
      <c r="R6" s="3677"/>
      <c r="S6" s="3678"/>
      <c r="T6" s="3686"/>
      <c r="U6" s="3687"/>
      <c r="V6" s="3653"/>
      <c r="W6" s="3653"/>
      <c r="X6" s="1355"/>
      <c r="Y6" s="3686"/>
      <c r="Z6" s="3687"/>
      <c r="AA6" s="3660"/>
      <c r="AB6" s="3660"/>
      <c r="AC6" s="3660"/>
    </row>
    <row r="7" spans="1:29" s="108" customFormat="1" ht="15" thickBot="1">
      <c r="A7" s="362" t="s">
        <v>1679</v>
      </c>
      <c r="B7" s="363"/>
      <c r="C7" s="364">
        <f>'数据-取费表'!B2</f>
        <v>45274</v>
      </c>
      <c r="D7" s="365">
        <v>100</v>
      </c>
      <c r="E7" s="366"/>
      <c r="F7" s="367">
        <f>SUMIF(52:52,YEAR(E7)&amp;"-"&amp;MONTH(E7),53:53)</f>
        <v>0</v>
      </c>
      <c r="G7" s="366"/>
      <c r="H7" s="365">
        <f>SUMIF(52:52,YEAR(G7)&amp;"-"&amp;MONTH(G7),53:53)</f>
        <v>0</v>
      </c>
      <c r="I7" s="366"/>
      <c r="J7" s="365">
        <f>SUMIF(52:52,YEAR(I7)&amp;"-"&amp;MONTH(I7),53:53)</f>
        <v>0</v>
      </c>
      <c r="K7" s="560"/>
      <c r="L7" s="915"/>
      <c r="M7" s="916"/>
      <c r="N7" s="916"/>
      <c r="O7" s="916"/>
      <c r="P7" s="3651" t="s">
        <v>1680</v>
      </c>
      <c r="Q7" s="3683"/>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1" t="s">
        <v>1683</v>
      </c>
      <c r="Q8" s="3652"/>
      <c r="R8" s="701" t="s">
        <v>14</v>
      </c>
      <c r="S8" s="702">
        <f t="shared" si="0"/>
        <v>100</v>
      </c>
      <c r="T8" s="701" t="s">
        <v>14</v>
      </c>
      <c r="U8" s="702">
        <f t="shared" si="1"/>
        <v>100</v>
      </c>
      <c r="V8" s="701" t="s">
        <v>14</v>
      </c>
      <c r="W8" s="702">
        <f t="shared" si="2"/>
        <v>100</v>
      </c>
      <c r="X8" s="703"/>
      <c r="Y8" s="3651" t="s">
        <v>1683</v>
      </c>
      <c r="Z8" s="3652"/>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9"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4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9"/>
      <c r="Q11" s="1343" t="str">
        <f t="shared" si="6"/>
        <v>容积率</v>
      </c>
      <c r="R11" s="701" t="s">
        <v>14</v>
      </c>
      <c r="S11" s="702">
        <f t="shared" si="0"/>
        <v>100</v>
      </c>
      <c r="T11" s="701" t="s">
        <v>14</v>
      </c>
      <c r="U11" s="702">
        <f t="shared" si="1"/>
        <v>100</v>
      </c>
      <c r="V11" s="701" t="s">
        <v>14</v>
      </c>
      <c r="W11" s="702">
        <f t="shared" si="2"/>
        <v>100</v>
      </c>
      <c r="X11" s="703"/>
      <c r="Y11" s="361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9"/>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9"/>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9"/>
      <c r="Q14" s="1343">
        <f t="shared" si="6"/>
        <v>111</v>
      </c>
      <c r="R14" s="701" t="s">
        <v>14</v>
      </c>
      <c r="S14" s="702">
        <f t="shared" si="0"/>
        <v>100</v>
      </c>
      <c r="T14" s="701" t="s">
        <v>14</v>
      </c>
      <c r="U14" s="702">
        <f t="shared" si="1"/>
        <v>100</v>
      </c>
      <c r="V14" s="701" t="s">
        <v>14</v>
      </c>
      <c r="W14" s="702">
        <f t="shared" si="2"/>
        <v>100</v>
      </c>
      <c r="X14" s="703"/>
      <c r="Y14" s="3619"/>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4" t="s">
        <v>1691</v>
      </c>
      <c r="Q15" s="1352" t="str">
        <f t="shared" si="6"/>
        <v>产业集聚程度</v>
      </c>
      <c r="R15" s="705" t="s">
        <v>14</v>
      </c>
      <c r="S15" s="706">
        <f t="shared" si="0"/>
        <v>100</v>
      </c>
      <c r="T15" s="705" t="s">
        <v>14</v>
      </c>
      <c r="U15" s="706">
        <f t="shared" si="1"/>
        <v>100</v>
      </c>
      <c r="V15" s="705" t="s">
        <v>14</v>
      </c>
      <c r="W15" s="706">
        <f t="shared" si="2"/>
        <v>100</v>
      </c>
      <c r="X15" s="1355"/>
      <c r="Y15" s="365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5"/>
      <c r="Q16" s="1352"/>
      <c r="R16" s="705"/>
      <c r="S16" s="706"/>
      <c r="T16" s="705"/>
      <c r="U16" s="706"/>
      <c r="V16" s="705"/>
      <c r="W16" s="706"/>
      <c r="X16" s="1355"/>
      <c r="Y16" s="3655"/>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5"/>
      <c r="Q17" s="1352" t="str">
        <f>B17</f>
        <v>交通便捷度</v>
      </c>
      <c r="R17" s="705" t="s">
        <v>14</v>
      </c>
      <c r="S17" s="706">
        <f>F17</f>
        <v>100</v>
      </c>
      <c r="T17" s="705" t="s">
        <v>14</v>
      </c>
      <c r="U17" s="706">
        <f>H17</f>
        <v>100</v>
      </c>
      <c r="V17" s="705" t="s">
        <v>14</v>
      </c>
      <c r="W17" s="706">
        <f>J17</f>
        <v>100</v>
      </c>
      <c r="X17" s="1355"/>
      <c r="Y17" s="365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5"/>
      <c r="Q18" s="1352"/>
      <c r="R18" s="705"/>
      <c r="S18" s="706"/>
      <c r="T18" s="705"/>
      <c r="U18" s="706"/>
      <c r="V18" s="705"/>
      <c r="W18" s="706"/>
      <c r="X18" s="1355"/>
      <c r="Y18" s="3655"/>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5"/>
      <c r="Q19" s="1352" t="str">
        <f>B19</f>
        <v>公共配套设施</v>
      </c>
      <c r="R19" s="705" t="s">
        <v>14</v>
      </c>
      <c r="S19" s="706">
        <f>F19</f>
        <v>100</v>
      </c>
      <c r="T19" s="705" t="s">
        <v>14</v>
      </c>
      <c r="U19" s="706">
        <f>H19</f>
        <v>100</v>
      </c>
      <c r="V19" s="705" t="s">
        <v>14</v>
      </c>
      <c r="W19" s="706">
        <f>J19</f>
        <v>100</v>
      </c>
      <c r="X19" s="1355"/>
      <c r="Y19" s="365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5"/>
      <c r="Q20" s="1352"/>
      <c r="R20" s="705"/>
      <c r="S20" s="706"/>
      <c r="T20" s="705"/>
      <c r="U20" s="706"/>
      <c r="V20" s="705"/>
      <c r="W20" s="706"/>
      <c r="X20" s="1355"/>
      <c r="Y20" s="3655"/>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5"/>
      <c r="Q21" s="1352" t="str">
        <f>B21</f>
        <v>基础设施水平</v>
      </c>
      <c r="R21" s="705" t="s">
        <v>14</v>
      </c>
      <c r="S21" s="706">
        <f>F21</f>
        <v>100</v>
      </c>
      <c r="T21" s="705" t="s">
        <v>14</v>
      </c>
      <c r="U21" s="706">
        <f>H21</f>
        <v>100</v>
      </c>
      <c r="V21" s="705" t="s">
        <v>14</v>
      </c>
      <c r="W21" s="706">
        <f>J21</f>
        <v>100</v>
      </c>
      <c r="X21" s="1355"/>
      <c r="Y21" s="365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5"/>
      <c r="Q22" s="1352"/>
      <c r="R22" s="705"/>
      <c r="S22" s="706"/>
      <c r="T22" s="705"/>
      <c r="U22" s="706"/>
      <c r="V22" s="705"/>
      <c r="W22" s="706"/>
      <c r="X22" s="1355"/>
      <c r="Y22" s="3655"/>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5"/>
      <c r="Q23" s="1352" t="str">
        <f>B23</f>
        <v>环境质量</v>
      </c>
      <c r="R23" s="705" t="s">
        <v>14</v>
      </c>
      <c r="S23" s="706">
        <f>F23</f>
        <v>100</v>
      </c>
      <c r="T23" s="705" t="s">
        <v>14</v>
      </c>
      <c r="U23" s="706">
        <f>H23</f>
        <v>100</v>
      </c>
      <c r="V23" s="705" t="s">
        <v>14</v>
      </c>
      <c r="W23" s="706">
        <f>J23</f>
        <v>100</v>
      </c>
      <c r="X23" s="1355"/>
      <c r="Y23" s="365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5"/>
      <c r="Q24" s="1352"/>
      <c r="R24" s="705"/>
      <c r="S24" s="706"/>
      <c r="T24" s="705"/>
      <c r="U24" s="706"/>
      <c r="V24" s="705"/>
      <c r="W24" s="706"/>
      <c r="X24" s="1355"/>
      <c r="Y24" s="365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5"/>
      <c r="Q25" s="1352">
        <f>B25</f>
        <v>111</v>
      </c>
      <c r="R25" s="705" t="s">
        <v>14</v>
      </c>
      <c r="S25" s="706">
        <f>F25</f>
        <v>100</v>
      </c>
      <c r="T25" s="705" t="s">
        <v>14</v>
      </c>
      <c r="U25" s="706">
        <f>H25</f>
        <v>100</v>
      </c>
      <c r="V25" s="705" t="s">
        <v>14</v>
      </c>
      <c r="W25" s="706">
        <f>J25</f>
        <v>100</v>
      </c>
      <c r="X25" s="1355"/>
      <c r="Y25" s="365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5"/>
      <c r="Q26" s="1352">
        <f t="shared" ref="Q26:Q40" si="11">B26</f>
        <v>111</v>
      </c>
      <c r="R26" s="705" t="s">
        <v>14</v>
      </c>
      <c r="S26" s="706">
        <f>F26</f>
        <v>100</v>
      </c>
      <c r="T26" s="705" t="s">
        <v>14</v>
      </c>
      <c r="U26" s="706">
        <f>H26</f>
        <v>100</v>
      </c>
      <c r="V26" s="705" t="s">
        <v>14</v>
      </c>
      <c r="W26" s="706">
        <f>J26</f>
        <v>100</v>
      </c>
      <c r="X26" s="1355"/>
      <c r="Y26" s="365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5"/>
      <c r="Q27" s="1343">
        <f t="shared" si="11"/>
        <v>111</v>
      </c>
      <c r="R27" s="701" t="s">
        <v>14</v>
      </c>
      <c r="S27" s="702">
        <f>F27</f>
        <v>100</v>
      </c>
      <c r="T27" s="701" t="s">
        <v>14</v>
      </c>
      <c r="U27" s="702">
        <f>H27</f>
        <v>100</v>
      </c>
      <c r="V27" s="701" t="s">
        <v>14</v>
      </c>
      <c r="W27" s="702">
        <f>J27</f>
        <v>100</v>
      </c>
      <c r="X27" s="703"/>
      <c r="Y27" s="3655"/>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5"/>
      <c r="Q28" s="1352">
        <f t="shared" si="11"/>
        <v>111</v>
      </c>
      <c r="R28" s="705" t="s">
        <v>14</v>
      </c>
      <c r="S28" s="706">
        <f t="shared" ref="S28:S40" si="12">F28</f>
        <v>100</v>
      </c>
      <c r="T28" s="705" t="s">
        <v>14</v>
      </c>
      <c r="U28" s="706">
        <f t="shared" ref="U28:U40" si="13">H28</f>
        <v>100</v>
      </c>
      <c r="V28" s="705" t="s">
        <v>14</v>
      </c>
      <c r="W28" s="706">
        <f t="shared" ref="W28:W40" si="14">J28</f>
        <v>100</v>
      </c>
      <c r="X28" s="1355"/>
      <c r="Y28" s="3655"/>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56" t="s">
        <v>1696</v>
      </c>
      <c r="Q29" s="1352" t="str">
        <f t="shared" si="11"/>
        <v>建筑类型</v>
      </c>
      <c r="R29" s="705" t="s">
        <v>14</v>
      </c>
      <c r="S29" s="706">
        <f t="shared" si="12"/>
        <v>100</v>
      </c>
      <c r="T29" s="705" t="s">
        <v>14</v>
      </c>
      <c r="U29" s="706">
        <f t="shared" si="13"/>
        <v>100</v>
      </c>
      <c r="V29" s="705" t="s">
        <v>14</v>
      </c>
      <c r="W29" s="706">
        <f t="shared" si="14"/>
        <v>100</v>
      </c>
      <c r="X29" s="1355"/>
      <c r="Y29" s="365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7"/>
      <c r="Q30" s="707" t="str">
        <f t="shared" si="11"/>
        <v>项目建筑规模</v>
      </c>
      <c r="R30" s="708" t="s">
        <v>14</v>
      </c>
      <c r="S30" s="709" t="e">
        <f t="shared" si="12"/>
        <v>#N/A</v>
      </c>
      <c r="T30" s="708" t="s">
        <v>14</v>
      </c>
      <c r="U30" s="709" t="e">
        <f t="shared" si="13"/>
        <v>#N/A</v>
      </c>
      <c r="V30" s="708" t="s">
        <v>14</v>
      </c>
      <c r="W30" s="709" t="e">
        <f t="shared" si="14"/>
        <v>#N/A</v>
      </c>
      <c r="X30" s="710"/>
      <c r="Y30" s="365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7"/>
      <c r="Q31" s="1352" t="str">
        <f t="shared" si="11"/>
        <v>建筑结构</v>
      </c>
      <c r="R31" s="705" t="s">
        <v>14</v>
      </c>
      <c r="S31" s="706">
        <f t="shared" si="12"/>
        <v>100</v>
      </c>
      <c r="T31" s="705" t="s">
        <v>14</v>
      </c>
      <c r="U31" s="706">
        <f t="shared" si="13"/>
        <v>100</v>
      </c>
      <c r="V31" s="705" t="s">
        <v>14</v>
      </c>
      <c r="W31" s="706">
        <f t="shared" si="14"/>
        <v>100</v>
      </c>
      <c r="X31" s="1355"/>
      <c r="Y31" s="365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7"/>
      <c r="Q32" s="1352" t="str">
        <f t="shared" si="11"/>
        <v>公共部分装修</v>
      </c>
      <c r="R32" s="705" t="s">
        <v>14</v>
      </c>
      <c r="S32" s="706">
        <f t="shared" si="12"/>
        <v>100</v>
      </c>
      <c r="T32" s="705" t="s">
        <v>14</v>
      </c>
      <c r="U32" s="706">
        <f t="shared" si="13"/>
        <v>100</v>
      </c>
      <c r="V32" s="705" t="s">
        <v>14</v>
      </c>
      <c r="W32" s="706">
        <f t="shared" si="14"/>
        <v>100</v>
      </c>
      <c r="X32" s="1355"/>
      <c r="Y32" s="365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7"/>
      <c r="Q33" s="1352" t="str">
        <f t="shared" si="11"/>
        <v>成新度</v>
      </c>
      <c r="R33" s="705" t="s">
        <v>14</v>
      </c>
      <c r="S33" s="706" t="e">
        <f t="shared" si="12"/>
        <v>#N/A</v>
      </c>
      <c r="T33" s="705" t="s">
        <v>14</v>
      </c>
      <c r="U33" s="706" t="e">
        <f t="shared" si="13"/>
        <v>#N/A</v>
      </c>
      <c r="V33" s="705" t="s">
        <v>14</v>
      </c>
      <c r="W33" s="706" t="e">
        <f t="shared" si="14"/>
        <v>#N/A</v>
      </c>
      <c r="X33" s="1355"/>
      <c r="Y33" s="365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7"/>
      <c r="Q34" s="1343" t="str">
        <f t="shared" si="11"/>
        <v>物业管理</v>
      </c>
      <c r="R34" s="701" t="s">
        <v>14</v>
      </c>
      <c r="S34" s="702">
        <f t="shared" si="12"/>
        <v>100</v>
      </c>
      <c r="T34" s="701" t="s">
        <v>14</v>
      </c>
      <c r="U34" s="702">
        <f t="shared" si="13"/>
        <v>100</v>
      </c>
      <c r="V34" s="701" t="s">
        <v>14</v>
      </c>
      <c r="W34" s="702">
        <f t="shared" si="14"/>
        <v>100</v>
      </c>
      <c r="X34" s="703"/>
      <c r="Y34" s="365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7" t="s">
        <v>1696</v>
      </c>
      <c r="Q35" s="1352" t="str">
        <f t="shared" si="11"/>
        <v>市政基础设施</v>
      </c>
      <c r="R35" s="705" t="s">
        <v>14</v>
      </c>
      <c r="S35" s="706">
        <f t="shared" si="12"/>
        <v>100</v>
      </c>
      <c r="T35" s="705" t="s">
        <v>14</v>
      </c>
      <c r="U35" s="706">
        <f t="shared" si="13"/>
        <v>100</v>
      </c>
      <c r="V35" s="705" t="s">
        <v>14</v>
      </c>
      <c r="W35" s="706">
        <f t="shared" si="14"/>
        <v>100</v>
      </c>
      <c r="X35" s="1355"/>
      <c r="Y35" s="365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7"/>
      <c r="Q36" s="1352" t="str">
        <f t="shared" si="11"/>
        <v>内部装修</v>
      </c>
      <c r="R36" s="705" t="s">
        <v>14</v>
      </c>
      <c r="S36" s="706">
        <f t="shared" si="12"/>
        <v>100</v>
      </c>
      <c r="T36" s="705" t="s">
        <v>14</v>
      </c>
      <c r="U36" s="706">
        <f t="shared" si="13"/>
        <v>100</v>
      </c>
      <c r="V36" s="705" t="s">
        <v>14</v>
      </c>
      <c r="W36" s="706">
        <f t="shared" si="14"/>
        <v>100</v>
      </c>
      <c r="X36" s="1355"/>
      <c r="Y36" s="365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7"/>
      <c r="Q37" s="1352" t="str">
        <f t="shared" si="11"/>
        <v>内部装修状况</v>
      </c>
      <c r="R37" s="705" t="s">
        <v>14</v>
      </c>
      <c r="S37" s="706">
        <f t="shared" si="12"/>
        <v>100</v>
      </c>
      <c r="T37" s="705" t="s">
        <v>14</v>
      </c>
      <c r="U37" s="706">
        <f t="shared" si="13"/>
        <v>100</v>
      </c>
      <c r="V37" s="705" t="s">
        <v>14</v>
      </c>
      <c r="W37" s="706">
        <f t="shared" si="14"/>
        <v>100</v>
      </c>
      <c r="X37" s="1355"/>
      <c r="Y37" s="365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7"/>
      <c r="Q38" s="707">
        <f t="shared" si="11"/>
        <v>111</v>
      </c>
      <c r="R38" s="708" t="s">
        <v>14</v>
      </c>
      <c r="S38" s="709">
        <f t="shared" si="12"/>
        <v>100</v>
      </c>
      <c r="T38" s="708" t="s">
        <v>14</v>
      </c>
      <c r="U38" s="709">
        <f t="shared" si="13"/>
        <v>100</v>
      </c>
      <c r="V38" s="708" t="s">
        <v>14</v>
      </c>
      <c r="W38" s="709">
        <f t="shared" si="14"/>
        <v>100</v>
      </c>
      <c r="X38" s="710"/>
      <c r="Y38" s="365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7"/>
      <c r="Q39" s="1352">
        <f t="shared" si="11"/>
        <v>111</v>
      </c>
      <c r="R39" s="705" t="s">
        <v>14</v>
      </c>
      <c r="S39" s="706">
        <f t="shared" si="12"/>
        <v>100</v>
      </c>
      <c r="T39" s="705" t="s">
        <v>14</v>
      </c>
      <c r="U39" s="706">
        <f t="shared" si="13"/>
        <v>100</v>
      </c>
      <c r="V39" s="705" t="s">
        <v>14</v>
      </c>
      <c r="W39" s="706">
        <f t="shared" si="14"/>
        <v>100</v>
      </c>
      <c r="X39" s="1355"/>
      <c r="Y39" s="3657"/>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3"/>
      <c r="Q40" s="1352">
        <f t="shared" si="11"/>
        <v>111</v>
      </c>
      <c r="R40" s="705" t="s">
        <v>14</v>
      </c>
      <c r="S40" s="706">
        <f t="shared" si="12"/>
        <v>100</v>
      </c>
      <c r="T40" s="705" t="s">
        <v>14</v>
      </c>
      <c r="U40" s="706">
        <f t="shared" si="13"/>
        <v>100</v>
      </c>
      <c r="V40" s="705" t="s">
        <v>14</v>
      </c>
      <c r="W40" s="706">
        <f t="shared" si="14"/>
        <v>100</v>
      </c>
      <c r="X40" s="1355"/>
      <c r="Y40" s="3723"/>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49" t="str">
        <f>A41</f>
        <v>成交单价（元/平方米）</v>
      </c>
      <c r="Q41" s="3649"/>
      <c r="R41" s="3719">
        <f>E41</f>
        <v>0</v>
      </c>
      <c r="S41" s="3719"/>
      <c r="T41" s="3719">
        <f>G41</f>
        <v>0</v>
      </c>
      <c r="U41" s="3719"/>
      <c r="V41" s="3719">
        <f>I41</f>
        <v>0</v>
      </c>
      <c r="W41" s="3719"/>
      <c r="X41" s="690"/>
      <c r="Y41" s="712"/>
      <c r="Z41" s="690"/>
      <c r="AA41" s="690"/>
      <c r="AB41" s="690"/>
      <c r="AC41" s="690"/>
    </row>
    <row r="42" spans="1:29" ht="15" thickBot="1">
      <c r="A42" s="437" t="s">
        <v>1793</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49" t="str">
        <f>A42</f>
        <v>比较价值（元/平方米）</v>
      </c>
      <c r="Q42" s="3649"/>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46" t="str">
        <f>A43</f>
        <v>估价对象XX用房的比较价值（楼面单价，元/平方米）</v>
      </c>
      <c r="Q43" s="3647"/>
      <c r="R43" s="3718" t="e">
        <f>IF(F1="售价",ROUND(IF(D42="简单平均",AVERAGE(R42:V42),R42*F42+T42*H42+V42*J42),0),ROUND(IF(D42="简单平均",AVERAGE(R42:V42),R42*F42+T42*H42+V42*J42),1))</f>
        <v>#DIV/0!</v>
      </c>
      <c r="S43" s="3718"/>
      <c r="T43" s="3718"/>
      <c r="U43" s="3718"/>
      <c r="V43" s="3718"/>
      <c r="W43" s="371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1769</v>
      </c>
      <c r="B4" s="356"/>
      <c r="C4" s="3661" t="s">
        <v>1770</v>
      </c>
      <c r="D4" s="3662"/>
      <c r="E4" s="3663" t="s">
        <v>1771</v>
      </c>
      <c r="F4" s="3664"/>
      <c r="G4" s="3661" t="s">
        <v>1772</v>
      </c>
      <c r="H4" s="3662"/>
      <c r="I4" s="3661" t="s">
        <v>1773</v>
      </c>
      <c r="J4" s="3662"/>
      <c r="K4" s="559" t="s">
        <v>1774</v>
      </c>
      <c r="L4" s="2714"/>
      <c r="M4" s="2715"/>
      <c r="N4" s="2715"/>
      <c r="O4" s="2715"/>
      <c r="P4" s="3665" t="s">
        <v>1775</v>
      </c>
      <c r="Q4" s="3666"/>
      <c r="R4" s="3675" t="s">
        <v>1771</v>
      </c>
      <c r="S4" s="3676"/>
      <c r="T4" s="3675" t="s">
        <v>1772</v>
      </c>
      <c r="U4" s="3676"/>
      <c r="V4" s="3653" t="s">
        <v>1773</v>
      </c>
      <c r="W4" s="3653"/>
      <c r="X4" s="1355"/>
      <c r="Y4" s="3675" t="s">
        <v>1775</v>
      </c>
      <c r="Z4" s="3676"/>
      <c r="AA4" s="3658" t="s">
        <v>1771</v>
      </c>
      <c r="AB4" s="3659" t="s">
        <v>1772</v>
      </c>
      <c r="AC4" s="3658" t="s">
        <v>1773</v>
      </c>
    </row>
    <row r="5" spans="1:29">
      <c r="A5" s="358"/>
      <c r="B5" s="359"/>
      <c r="C5" s="3679" t="s">
        <v>1673</v>
      </c>
      <c r="D5" s="3680"/>
      <c r="E5" s="3671" t="s">
        <v>1674</v>
      </c>
      <c r="F5" s="3672"/>
      <c r="G5" s="3679" t="s">
        <v>1675</v>
      </c>
      <c r="H5" s="3680"/>
      <c r="I5" s="3679" t="s">
        <v>1676</v>
      </c>
      <c r="J5" s="3680"/>
      <c r="K5" s="559"/>
      <c r="L5" s="2714"/>
      <c r="M5" s="2715"/>
      <c r="N5" s="2715"/>
      <c r="O5" s="2715"/>
      <c r="P5" s="3667"/>
      <c r="Q5" s="3668"/>
      <c r="R5" s="3677"/>
      <c r="S5" s="3678"/>
      <c r="T5" s="3677"/>
      <c r="U5" s="3678"/>
      <c r="V5" s="3653"/>
      <c r="W5" s="3653"/>
      <c r="X5" s="1355"/>
      <c r="Y5" s="3677"/>
      <c r="Z5" s="3678"/>
      <c r="AA5" s="3659"/>
      <c r="AB5" s="3659"/>
      <c r="AC5" s="3659"/>
    </row>
    <row r="6" spans="1:29" ht="15" thickBot="1">
      <c r="A6" s="360"/>
      <c r="B6" s="361"/>
      <c r="C6" s="3714" t="s">
        <v>1677</v>
      </c>
      <c r="D6" s="3715"/>
      <c r="E6" s="3716" t="s">
        <v>1677</v>
      </c>
      <c r="F6" s="3717"/>
      <c r="G6" s="3714" t="s">
        <v>1677</v>
      </c>
      <c r="H6" s="3715"/>
      <c r="I6" s="3714" t="s">
        <v>1677</v>
      </c>
      <c r="J6" s="3715"/>
      <c r="K6" s="559" t="s">
        <v>1678</v>
      </c>
      <c r="L6" s="2714"/>
      <c r="M6" s="2715"/>
      <c r="N6" s="2715"/>
      <c r="O6" s="2715"/>
      <c r="P6" s="3669"/>
      <c r="Q6" s="3670"/>
      <c r="R6" s="3677"/>
      <c r="S6" s="3678"/>
      <c r="T6" s="3686"/>
      <c r="U6" s="3687"/>
      <c r="V6" s="3653"/>
      <c r="W6" s="3653"/>
      <c r="X6" s="1355"/>
      <c r="Y6" s="3686"/>
      <c r="Z6" s="3687"/>
      <c r="AA6" s="3660"/>
      <c r="AB6" s="3660"/>
      <c r="AC6" s="3660"/>
    </row>
    <row r="7" spans="1:29" s="108" customFormat="1" ht="15" thickBot="1">
      <c r="A7" s="362" t="s">
        <v>1679</v>
      </c>
      <c r="B7" s="363"/>
      <c r="C7" s="364">
        <f>'数据-取费表'!B2</f>
        <v>45274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51" t="s">
        <v>1680</v>
      </c>
      <c r="Q7" s="3683"/>
      <c r="R7" s="701" t="s">
        <v>14</v>
      </c>
      <c r="S7" s="702">
        <f t="shared" ref="S7:S14" si="0">F7</f>
        <v>0</v>
      </c>
      <c r="T7" s="701" t="s">
        <v>14</v>
      </c>
      <c r="U7" s="702">
        <f t="shared" ref="U7:U14" si="1">H7</f>
        <v>0</v>
      </c>
      <c r="V7" s="701" t="s">
        <v>14</v>
      </c>
      <c r="W7" s="702">
        <f t="shared" ref="W7:W14" si="2">J7</f>
        <v>0</v>
      </c>
      <c r="X7" s="703"/>
      <c r="Y7" s="3651" t="s">
        <v>1680</v>
      </c>
      <c r="Z7" s="3652"/>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51" t="s">
        <v>1683</v>
      </c>
      <c r="Q8" s="3652"/>
      <c r="R8" s="701" t="s">
        <v>14</v>
      </c>
      <c r="S8" s="702">
        <f t="shared" si="0"/>
        <v>100</v>
      </c>
      <c r="T8" s="701" t="s">
        <v>14</v>
      </c>
      <c r="U8" s="702">
        <f t="shared" si="1"/>
        <v>100</v>
      </c>
      <c r="V8" s="701" t="s">
        <v>14</v>
      </c>
      <c r="W8" s="702">
        <f t="shared" si="2"/>
        <v>100</v>
      </c>
      <c r="X8" s="703"/>
      <c r="Y8" s="3651" t="s">
        <v>1683</v>
      </c>
      <c r="Z8" s="3652"/>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49"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4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49"/>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49"/>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49"/>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54" t="s">
        <v>1691</v>
      </c>
      <c r="Q14" s="1352" t="str">
        <f t="shared" si="6"/>
        <v>交通便捷度</v>
      </c>
      <c r="R14" s="705" t="s">
        <v>14</v>
      </c>
      <c r="S14" s="706">
        <f t="shared" si="0"/>
        <v>100</v>
      </c>
      <c r="T14" s="705" t="s">
        <v>14</v>
      </c>
      <c r="U14" s="706">
        <f t="shared" si="1"/>
        <v>100</v>
      </c>
      <c r="V14" s="705" t="s">
        <v>14</v>
      </c>
      <c r="W14" s="706">
        <f t="shared" si="2"/>
        <v>100</v>
      </c>
      <c r="X14" s="1355"/>
      <c r="Y14" s="365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55"/>
      <c r="Q15" s="1352"/>
      <c r="R15" s="705"/>
      <c r="S15" s="706"/>
      <c r="T15" s="705"/>
      <c r="U15" s="706"/>
      <c r="V15" s="705"/>
      <c r="W15" s="706"/>
      <c r="X15" s="1355"/>
      <c r="Y15" s="3655"/>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55"/>
      <c r="Q16" s="1352" t="str">
        <f>B16</f>
        <v>公共配套设施</v>
      </c>
      <c r="R16" s="705" t="s">
        <v>14</v>
      </c>
      <c r="S16" s="706">
        <f>F16</f>
        <v>100</v>
      </c>
      <c r="T16" s="705" t="s">
        <v>14</v>
      </c>
      <c r="U16" s="706">
        <f>H16</f>
        <v>100</v>
      </c>
      <c r="V16" s="705" t="s">
        <v>14</v>
      </c>
      <c r="W16" s="706">
        <f>J16</f>
        <v>100</v>
      </c>
      <c r="X16" s="1355"/>
      <c r="Y16" s="365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55"/>
      <c r="Q17" s="1352"/>
      <c r="R17" s="705"/>
      <c r="S17" s="706"/>
      <c r="T17" s="705"/>
      <c r="U17" s="706"/>
      <c r="V17" s="705"/>
      <c r="W17" s="706"/>
      <c r="X17" s="1355"/>
      <c r="Y17" s="3655"/>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55"/>
      <c r="Q18" s="1352" t="str">
        <f>B18</f>
        <v>基础设施水平</v>
      </c>
      <c r="R18" s="705" t="s">
        <v>14</v>
      </c>
      <c r="S18" s="706">
        <f>F18</f>
        <v>100</v>
      </c>
      <c r="T18" s="705" t="s">
        <v>14</v>
      </c>
      <c r="U18" s="706">
        <f>H18</f>
        <v>100</v>
      </c>
      <c r="V18" s="705" t="s">
        <v>14</v>
      </c>
      <c r="W18" s="706">
        <f>J18</f>
        <v>100</v>
      </c>
      <c r="X18" s="1355"/>
      <c r="Y18" s="365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55"/>
      <c r="Q19" s="1352"/>
      <c r="R19" s="705"/>
      <c r="S19" s="706"/>
      <c r="T19" s="705"/>
      <c r="U19" s="706"/>
      <c r="V19" s="705"/>
      <c r="W19" s="706"/>
      <c r="X19" s="1355"/>
      <c r="Y19" s="3655"/>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55"/>
      <c r="Q20" s="1352" t="str">
        <f>B20</f>
        <v>自然及人文环境</v>
      </c>
      <c r="R20" s="705" t="s">
        <v>14</v>
      </c>
      <c r="S20" s="706">
        <f>F20</f>
        <v>100</v>
      </c>
      <c r="T20" s="705" t="s">
        <v>14</v>
      </c>
      <c r="U20" s="706">
        <f>H20</f>
        <v>100</v>
      </c>
      <c r="V20" s="705" t="s">
        <v>14</v>
      </c>
      <c r="W20" s="706">
        <f>J20</f>
        <v>100</v>
      </c>
      <c r="X20" s="1355"/>
      <c r="Y20" s="365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55"/>
      <c r="Q21" s="1352"/>
      <c r="R21" s="705"/>
      <c r="S21" s="706"/>
      <c r="T21" s="705"/>
      <c r="U21" s="706"/>
      <c r="V21" s="705"/>
      <c r="W21" s="706"/>
      <c r="X21" s="1355"/>
      <c r="Y21" s="365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55"/>
      <c r="Q22" s="1352" t="str">
        <f>B22</f>
        <v>楼层</v>
      </c>
      <c r="R22" s="705" t="s">
        <v>14</v>
      </c>
      <c r="S22" s="706">
        <f>F22</f>
        <v>100</v>
      </c>
      <c r="T22" s="705" t="s">
        <v>14</v>
      </c>
      <c r="U22" s="706">
        <f>H22</f>
        <v>100</v>
      </c>
      <c r="V22" s="705" t="s">
        <v>14</v>
      </c>
      <c r="W22" s="706">
        <f>J22</f>
        <v>100</v>
      </c>
      <c r="X22" s="1355"/>
      <c r="Y22" s="365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55"/>
      <c r="Q23" s="1352">
        <f>B23</f>
        <v>111</v>
      </c>
      <c r="R23" s="705" t="s">
        <v>14</v>
      </c>
      <c r="S23" s="706">
        <f>F23</f>
        <v>100</v>
      </c>
      <c r="T23" s="705" t="s">
        <v>14</v>
      </c>
      <c r="U23" s="706">
        <f>H23</f>
        <v>100</v>
      </c>
      <c r="V23" s="705" t="s">
        <v>14</v>
      </c>
      <c r="W23" s="706">
        <f>J23</f>
        <v>100</v>
      </c>
      <c r="X23" s="1355"/>
      <c r="Y23" s="365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55"/>
      <c r="Q24" s="1352">
        <f t="shared" ref="Q24:Q36" si="11">B24</f>
        <v>111</v>
      </c>
      <c r="R24" s="705" t="s">
        <v>14</v>
      </c>
      <c r="S24" s="706">
        <f>F24</f>
        <v>100</v>
      </c>
      <c r="T24" s="705" t="s">
        <v>14</v>
      </c>
      <c r="U24" s="706">
        <f>H24</f>
        <v>100</v>
      </c>
      <c r="V24" s="705" t="s">
        <v>14</v>
      </c>
      <c r="W24" s="706">
        <f>J24</f>
        <v>100</v>
      </c>
      <c r="X24" s="1355"/>
      <c r="Y24" s="3655"/>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55"/>
      <c r="Q25" s="1343">
        <f t="shared" si="11"/>
        <v>111</v>
      </c>
      <c r="R25" s="701" t="s">
        <v>14</v>
      </c>
      <c r="S25" s="702">
        <f>F25</f>
        <v>100</v>
      </c>
      <c r="T25" s="701" t="s">
        <v>14</v>
      </c>
      <c r="U25" s="702">
        <f>H25</f>
        <v>100</v>
      </c>
      <c r="V25" s="701" t="s">
        <v>14</v>
      </c>
      <c r="W25" s="702">
        <f>J25</f>
        <v>100</v>
      </c>
      <c r="X25" s="703"/>
      <c r="Y25" s="3655"/>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65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57"/>
      <c r="Q27" s="707" t="str">
        <f t="shared" si="11"/>
        <v>项目停车位配比</v>
      </c>
      <c r="R27" s="708" t="s">
        <v>14</v>
      </c>
      <c r="S27" s="709">
        <f t="shared" si="12"/>
        <v>100</v>
      </c>
      <c r="T27" s="708" t="s">
        <v>14</v>
      </c>
      <c r="U27" s="709">
        <f t="shared" si="13"/>
        <v>100</v>
      </c>
      <c r="V27" s="708" t="s">
        <v>14</v>
      </c>
      <c r="W27" s="709">
        <f t="shared" si="14"/>
        <v>100</v>
      </c>
      <c r="X27" s="710"/>
      <c r="Y27" s="365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57"/>
      <c r="Q28" s="1352" t="str">
        <f t="shared" si="11"/>
        <v>公共部分装修</v>
      </c>
      <c r="R28" s="705" t="s">
        <v>14</v>
      </c>
      <c r="S28" s="706">
        <f t="shared" si="12"/>
        <v>100</v>
      </c>
      <c r="T28" s="705" t="s">
        <v>14</v>
      </c>
      <c r="U28" s="706">
        <f t="shared" si="13"/>
        <v>100</v>
      </c>
      <c r="V28" s="705" t="s">
        <v>14</v>
      </c>
      <c r="W28" s="706">
        <f t="shared" si="14"/>
        <v>100</v>
      </c>
      <c r="X28" s="1355"/>
      <c r="Y28" s="365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57"/>
      <c r="Q29" s="1352" t="str">
        <f t="shared" si="11"/>
        <v>成新率</v>
      </c>
      <c r="R29" s="705" t="s">
        <v>14</v>
      </c>
      <c r="S29" s="706" t="e">
        <f t="shared" si="12"/>
        <v>#N/A</v>
      </c>
      <c r="T29" s="705" t="s">
        <v>14</v>
      </c>
      <c r="U29" s="706" t="e">
        <f t="shared" si="13"/>
        <v>#N/A</v>
      </c>
      <c r="V29" s="705" t="s">
        <v>14</v>
      </c>
      <c r="W29" s="706" t="e">
        <f t="shared" si="14"/>
        <v>#N/A</v>
      </c>
      <c r="X29" s="1355"/>
      <c r="Y29" s="365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57"/>
      <c r="Q30" s="1352" t="str">
        <f t="shared" si="11"/>
        <v>物业等级</v>
      </c>
      <c r="R30" s="705" t="s">
        <v>14</v>
      </c>
      <c r="S30" s="706">
        <f t="shared" si="12"/>
        <v>100</v>
      </c>
      <c r="T30" s="705" t="s">
        <v>14</v>
      </c>
      <c r="U30" s="706">
        <f t="shared" si="13"/>
        <v>100</v>
      </c>
      <c r="V30" s="705" t="s">
        <v>14</v>
      </c>
      <c r="W30" s="706">
        <f t="shared" si="14"/>
        <v>100</v>
      </c>
      <c r="X30" s="1355"/>
      <c r="Y30" s="365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57"/>
      <c r="Q31" s="1343" t="str">
        <f t="shared" si="11"/>
        <v>停车位面积</v>
      </c>
      <c r="R31" s="701" t="s">
        <v>14</v>
      </c>
      <c r="S31" s="702" t="e">
        <f t="shared" si="12"/>
        <v>#N/A</v>
      </c>
      <c r="T31" s="701" t="s">
        <v>14</v>
      </c>
      <c r="U31" s="702" t="e">
        <f t="shared" si="13"/>
        <v>#N/A</v>
      </c>
      <c r="V31" s="701" t="s">
        <v>14</v>
      </c>
      <c r="W31" s="702" t="e">
        <f t="shared" si="14"/>
        <v>#N/A</v>
      </c>
      <c r="X31" s="703"/>
      <c r="Y31" s="365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57" t="s">
        <v>1696</v>
      </c>
      <c r="Q32" s="1352" t="str">
        <f t="shared" si="11"/>
        <v>车位类型</v>
      </c>
      <c r="R32" s="705" t="s">
        <v>14</v>
      </c>
      <c r="S32" s="706">
        <f t="shared" si="12"/>
        <v>100</v>
      </c>
      <c r="T32" s="705" t="s">
        <v>14</v>
      </c>
      <c r="U32" s="706">
        <f t="shared" si="13"/>
        <v>100</v>
      </c>
      <c r="V32" s="705" t="s">
        <v>14</v>
      </c>
      <c r="W32" s="706">
        <f t="shared" si="14"/>
        <v>100</v>
      </c>
      <c r="X32" s="1355"/>
      <c r="Y32" s="365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57"/>
      <c r="Q33" s="1352" t="str">
        <f t="shared" si="11"/>
        <v>是否直接入户</v>
      </c>
      <c r="R33" s="705" t="s">
        <v>14</v>
      </c>
      <c r="S33" s="706">
        <f t="shared" si="12"/>
        <v>100</v>
      </c>
      <c r="T33" s="705" t="s">
        <v>14</v>
      </c>
      <c r="U33" s="706">
        <f t="shared" si="13"/>
        <v>100</v>
      </c>
      <c r="V33" s="705" t="s">
        <v>14</v>
      </c>
      <c r="W33" s="706">
        <f t="shared" si="14"/>
        <v>100</v>
      </c>
      <c r="X33" s="1355"/>
      <c r="Y33" s="365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57"/>
      <c r="Q34" s="1352">
        <f t="shared" si="11"/>
        <v>111</v>
      </c>
      <c r="R34" s="705" t="s">
        <v>14</v>
      </c>
      <c r="S34" s="706">
        <f t="shared" si="12"/>
        <v>100</v>
      </c>
      <c r="T34" s="705" t="s">
        <v>14</v>
      </c>
      <c r="U34" s="706">
        <f t="shared" si="13"/>
        <v>100</v>
      </c>
      <c r="V34" s="705" t="s">
        <v>14</v>
      </c>
      <c r="W34" s="706">
        <f t="shared" si="14"/>
        <v>100</v>
      </c>
      <c r="X34" s="1355"/>
      <c r="Y34" s="365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57"/>
      <c r="Q35" s="707">
        <f t="shared" si="11"/>
        <v>111</v>
      </c>
      <c r="R35" s="708" t="s">
        <v>14</v>
      </c>
      <c r="S35" s="709">
        <f t="shared" si="12"/>
        <v>100</v>
      </c>
      <c r="T35" s="708" t="s">
        <v>14</v>
      </c>
      <c r="U35" s="709">
        <f t="shared" si="13"/>
        <v>100</v>
      </c>
      <c r="V35" s="708" t="s">
        <v>14</v>
      </c>
      <c r="W35" s="709">
        <f t="shared" si="14"/>
        <v>100</v>
      </c>
      <c r="X35" s="710"/>
      <c r="Y35" s="3657"/>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57"/>
      <c r="Q36" s="1352">
        <f t="shared" si="11"/>
        <v>111</v>
      </c>
      <c r="R36" s="705" t="s">
        <v>14</v>
      </c>
      <c r="S36" s="706">
        <f t="shared" si="12"/>
        <v>100</v>
      </c>
      <c r="T36" s="705" t="s">
        <v>14</v>
      </c>
      <c r="U36" s="706">
        <f t="shared" si="13"/>
        <v>100</v>
      </c>
      <c r="V36" s="705" t="s">
        <v>14</v>
      </c>
      <c r="W36" s="706">
        <f t="shared" si="14"/>
        <v>100</v>
      </c>
      <c r="X36" s="1355"/>
      <c r="Y36" s="3657"/>
      <c r="Z36" s="1356">
        <f t="shared" si="15"/>
        <v>111</v>
      </c>
      <c r="AA36" s="1353">
        <f t="shared" si="3"/>
        <v>1</v>
      </c>
      <c r="AB36" s="1353">
        <f t="shared" si="4"/>
        <v>1</v>
      </c>
      <c r="AC36" s="1353">
        <f t="shared" si="5"/>
        <v>1</v>
      </c>
    </row>
    <row r="37" spans="1:29" ht="14.4">
      <c r="A37" s="430" t="s">
        <v>1844</v>
      </c>
      <c r="B37" s="1973" t="s">
        <v>3357</v>
      </c>
      <c r="C37" s="1154" t="s">
        <v>0</v>
      </c>
      <c r="D37" s="1155"/>
      <c r="E37" s="1156"/>
      <c r="F37" s="1157"/>
      <c r="G37" s="1158"/>
      <c r="H37" s="1159"/>
      <c r="I37" s="1156"/>
      <c r="J37" s="1159"/>
      <c r="K37" s="568"/>
      <c r="L37" s="2723"/>
      <c r="M37" s="2724"/>
      <c r="N37" s="2715"/>
      <c r="O37" s="2724"/>
      <c r="P37" s="3649" t="str">
        <f>A37</f>
        <v>成交单价</v>
      </c>
      <c r="Q37" s="3649"/>
      <c r="R37" s="3719">
        <f>E37</f>
        <v>0</v>
      </c>
      <c r="S37" s="3719"/>
      <c r="T37" s="3719">
        <f>G37</f>
        <v>0</v>
      </c>
      <c r="U37" s="3719"/>
      <c r="V37" s="3719">
        <f>I37</f>
        <v>0</v>
      </c>
      <c r="W37" s="3719"/>
      <c r="X37" s="690"/>
      <c r="Y37" s="712"/>
      <c r="Z37" s="690"/>
      <c r="AA37" s="690"/>
      <c r="AB37" s="690"/>
      <c r="AC37" s="690"/>
    </row>
    <row r="38" spans="1:29" ht="15" thickBot="1">
      <c r="A38" s="437" t="s">
        <v>1845</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649" t="str">
        <f>A38</f>
        <v>比较价值（元/平方米）</v>
      </c>
      <c r="Q38" s="3649"/>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3"/>
      <c r="M39" s="2724"/>
      <c r="N39" s="2724"/>
      <c r="O39" s="2724"/>
      <c r="P39" s="3646" t="str">
        <f>A39</f>
        <v>估价对象XX用房的比较价值（楼面单价，元/平方米）</v>
      </c>
      <c r="Q39" s="3647"/>
      <c r="R39" s="3741" t="e">
        <f>IF(F1="售价",ROUND(IF(D38="简单平均",AVERAGE(R38:W38),R38*F38+T38*H38+V38*J38),0),ROUND(IF(D38="简单平均",AVERAGE(R38:V38),R38*F38+T38*H38+V38*J38),1))</f>
        <v>#DIV/0!</v>
      </c>
      <c r="S39" s="3741"/>
      <c r="T39" s="3741"/>
      <c r="U39" s="3741"/>
      <c r="V39" s="3741"/>
      <c r="W39" s="3741"/>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3"/>
      <c r="O74" s="2753"/>
      <c r="P74" s="2761"/>
      <c r="Q74" s="2738"/>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3"/>
      <c r="O76" s="2753"/>
      <c r="P76" s="2761"/>
      <c r="Q76" s="2738"/>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3337</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61" t="s">
        <v>1770</v>
      </c>
      <c r="D4" s="3662"/>
      <c r="E4" s="3663" t="s">
        <v>1771</v>
      </c>
      <c r="F4" s="3664"/>
      <c r="G4" s="3661" t="s">
        <v>1772</v>
      </c>
      <c r="H4" s="3662"/>
      <c r="I4" s="3661" t="s">
        <v>1773</v>
      </c>
      <c r="J4" s="3662"/>
      <c r="K4" s="559" t="s">
        <v>1774</v>
      </c>
      <c r="L4" s="2714"/>
      <c r="M4" s="2715"/>
      <c r="N4" s="2715"/>
      <c r="O4" s="2715"/>
      <c r="P4" s="3665" t="s">
        <v>1775</v>
      </c>
      <c r="Q4" s="3666"/>
      <c r="R4" s="3675" t="s">
        <v>1771</v>
      </c>
      <c r="S4" s="3676"/>
      <c r="T4" s="3675" t="s">
        <v>1772</v>
      </c>
      <c r="U4" s="3676"/>
      <c r="V4" s="3653" t="s">
        <v>1773</v>
      </c>
      <c r="W4" s="3653"/>
      <c r="X4" s="1355"/>
      <c r="Y4" s="3675" t="s">
        <v>1775</v>
      </c>
      <c r="Z4" s="3676"/>
      <c r="AA4" s="3658" t="s">
        <v>1771</v>
      </c>
      <c r="AB4" s="3659" t="s">
        <v>1772</v>
      </c>
      <c r="AC4" s="3658" t="s">
        <v>1773</v>
      </c>
    </row>
    <row r="5" spans="1:29">
      <c r="A5" s="358"/>
      <c r="B5" s="359"/>
      <c r="C5" s="3679" t="s">
        <v>1673</v>
      </c>
      <c r="D5" s="3680"/>
      <c r="E5" s="3671" t="s">
        <v>1674</v>
      </c>
      <c r="F5" s="3672"/>
      <c r="G5" s="3679" t="s">
        <v>1675</v>
      </c>
      <c r="H5" s="3680"/>
      <c r="I5" s="3679" t="s">
        <v>1676</v>
      </c>
      <c r="J5" s="3680"/>
      <c r="K5" s="559"/>
      <c r="L5" s="2714"/>
      <c r="M5" s="2715"/>
      <c r="N5" s="2715"/>
      <c r="O5" s="2715"/>
      <c r="P5" s="3667"/>
      <c r="Q5" s="3668"/>
      <c r="R5" s="3677"/>
      <c r="S5" s="3678"/>
      <c r="T5" s="3677"/>
      <c r="U5" s="3678"/>
      <c r="V5" s="3653"/>
      <c r="W5" s="3653"/>
      <c r="X5" s="1355"/>
      <c r="Y5" s="3677"/>
      <c r="Z5" s="3678"/>
      <c r="AA5" s="3659"/>
      <c r="AB5" s="3659"/>
      <c r="AC5" s="3659"/>
    </row>
    <row r="6" spans="1:29" ht="15" thickBot="1">
      <c r="A6" s="360"/>
      <c r="B6" s="361"/>
      <c r="C6" s="3714" t="s">
        <v>1677</v>
      </c>
      <c r="D6" s="3715"/>
      <c r="E6" s="3716" t="s">
        <v>1677</v>
      </c>
      <c r="F6" s="3717"/>
      <c r="G6" s="3714" t="s">
        <v>1677</v>
      </c>
      <c r="H6" s="3715"/>
      <c r="I6" s="3714" t="s">
        <v>1677</v>
      </c>
      <c r="J6" s="3715"/>
      <c r="K6" s="559" t="s">
        <v>1678</v>
      </c>
      <c r="L6" s="2714"/>
      <c r="M6" s="2715"/>
      <c r="N6" s="2715"/>
      <c r="O6" s="2715"/>
      <c r="P6" s="3669"/>
      <c r="Q6" s="3670"/>
      <c r="R6" s="3677"/>
      <c r="S6" s="3678"/>
      <c r="T6" s="3686"/>
      <c r="U6" s="3687"/>
      <c r="V6" s="3653"/>
      <c r="W6" s="3653"/>
      <c r="X6" s="1355"/>
      <c r="Y6" s="3686"/>
      <c r="Z6" s="3687"/>
      <c r="AA6" s="3660"/>
      <c r="AB6" s="3660"/>
      <c r="AC6" s="3660"/>
    </row>
    <row r="7" spans="1:29" s="108" customFormat="1" ht="15" thickBot="1">
      <c r="A7" s="362" t="s">
        <v>1679</v>
      </c>
      <c r="B7" s="363"/>
      <c r="C7" s="364">
        <f>'数据-取费表'!B2</f>
        <v>45274</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51" t="s">
        <v>1680</v>
      </c>
      <c r="Q7" s="3683"/>
      <c r="R7" s="701" t="s">
        <v>14</v>
      </c>
      <c r="S7" s="702">
        <f t="shared" ref="S7:S14" si="0">F7</f>
        <v>0</v>
      </c>
      <c r="T7" s="701" t="s">
        <v>14</v>
      </c>
      <c r="U7" s="702">
        <f t="shared" ref="U7:U14" si="1">H7</f>
        <v>0</v>
      </c>
      <c r="V7" s="701" t="s">
        <v>14</v>
      </c>
      <c r="W7" s="702">
        <f t="shared" ref="W7:W14" si="2">J7</f>
        <v>0</v>
      </c>
      <c r="X7" s="703"/>
      <c r="Y7" s="3651" t="s">
        <v>1680</v>
      </c>
      <c r="Z7" s="3652"/>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51" t="s">
        <v>1683</v>
      </c>
      <c r="Q8" s="3652"/>
      <c r="R8" s="701" t="s">
        <v>14</v>
      </c>
      <c r="S8" s="702">
        <f t="shared" si="0"/>
        <v>100</v>
      </c>
      <c r="T8" s="701" t="s">
        <v>14</v>
      </c>
      <c r="U8" s="702">
        <f t="shared" si="1"/>
        <v>100</v>
      </c>
      <c r="V8" s="701" t="s">
        <v>14</v>
      </c>
      <c r="W8" s="702">
        <f t="shared" si="2"/>
        <v>100</v>
      </c>
      <c r="X8" s="703"/>
      <c r="Y8" s="3651" t="s">
        <v>1683</v>
      </c>
      <c r="Z8" s="3652"/>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49" t="s">
        <v>1686</v>
      </c>
      <c r="Q9" s="1343" t="str">
        <f t="shared" ref="Q9:Q14" si="6">B9</f>
        <v>用途</v>
      </c>
      <c r="R9" s="701" t="s">
        <v>14</v>
      </c>
      <c r="S9" s="702">
        <f t="shared" si="0"/>
        <v>100</v>
      </c>
      <c r="T9" s="701" t="s">
        <v>14</v>
      </c>
      <c r="U9" s="702">
        <f t="shared" si="1"/>
        <v>100</v>
      </c>
      <c r="V9" s="701" t="s">
        <v>14</v>
      </c>
      <c r="W9" s="702">
        <f t="shared" si="2"/>
        <v>100</v>
      </c>
      <c r="X9" s="703"/>
      <c r="Y9" s="3619"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49"/>
      <c r="Q10" s="1343" t="str">
        <f t="shared" si="6"/>
        <v>土地使用年限（年）</v>
      </c>
      <c r="R10" s="701" t="s">
        <v>14</v>
      </c>
      <c r="S10" s="702">
        <f t="shared" si="0"/>
        <v>100</v>
      </c>
      <c r="T10" s="701" t="s">
        <v>14</v>
      </c>
      <c r="U10" s="702">
        <f t="shared" si="1"/>
        <v>100</v>
      </c>
      <c r="V10" s="701" t="s">
        <v>14</v>
      </c>
      <c r="W10" s="702">
        <f t="shared" si="2"/>
        <v>100</v>
      </c>
      <c r="X10" s="703"/>
      <c r="Y10" s="361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49"/>
      <c r="Q11" s="1343">
        <f t="shared" si="6"/>
        <v>111</v>
      </c>
      <c r="R11" s="701" t="s">
        <v>14</v>
      </c>
      <c r="S11" s="702">
        <f t="shared" si="0"/>
        <v>100</v>
      </c>
      <c r="T11" s="701" t="s">
        <v>14</v>
      </c>
      <c r="U11" s="702">
        <f t="shared" si="1"/>
        <v>100</v>
      </c>
      <c r="V11" s="701" t="s">
        <v>14</v>
      </c>
      <c r="W11" s="702">
        <f t="shared" si="2"/>
        <v>100</v>
      </c>
      <c r="X11" s="703"/>
      <c r="Y11" s="361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49"/>
      <c r="Q12" s="1343">
        <f t="shared" si="6"/>
        <v>111</v>
      </c>
      <c r="R12" s="701" t="s">
        <v>14</v>
      </c>
      <c r="S12" s="702">
        <f t="shared" si="0"/>
        <v>100</v>
      </c>
      <c r="T12" s="701" t="s">
        <v>14</v>
      </c>
      <c r="U12" s="702">
        <f t="shared" si="1"/>
        <v>100</v>
      </c>
      <c r="V12" s="701" t="s">
        <v>14</v>
      </c>
      <c r="W12" s="702">
        <f t="shared" si="2"/>
        <v>100</v>
      </c>
      <c r="X12" s="703"/>
      <c r="Y12" s="3619"/>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49"/>
      <c r="Q13" s="1343">
        <f t="shared" si="6"/>
        <v>111</v>
      </c>
      <c r="R13" s="701" t="s">
        <v>14</v>
      </c>
      <c r="S13" s="702">
        <f t="shared" si="0"/>
        <v>100</v>
      </c>
      <c r="T13" s="701" t="s">
        <v>14</v>
      </c>
      <c r="U13" s="702">
        <f t="shared" si="1"/>
        <v>100</v>
      </c>
      <c r="V13" s="701" t="s">
        <v>14</v>
      </c>
      <c r="W13" s="702">
        <f t="shared" si="2"/>
        <v>100</v>
      </c>
      <c r="X13" s="703"/>
      <c r="Y13" s="3619"/>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54" t="s">
        <v>1691</v>
      </c>
      <c r="Q14" s="1352" t="str">
        <f t="shared" si="6"/>
        <v>交通便捷度</v>
      </c>
      <c r="R14" s="705" t="s">
        <v>14</v>
      </c>
      <c r="S14" s="706">
        <f t="shared" si="0"/>
        <v>100</v>
      </c>
      <c r="T14" s="705" t="s">
        <v>14</v>
      </c>
      <c r="U14" s="706">
        <f t="shared" si="1"/>
        <v>100</v>
      </c>
      <c r="V14" s="705" t="s">
        <v>14</v>
      </c>
      <c r="W14" s="706">
        <f t="shared" si="2"/>
        <v>100</v>
      </c>
      <c r="X14" s="1355"/>
      <c r="Y14" s="365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55"/>
      <c r="Q15" s="1352"/>
      <c r="R15" s="705"/>
      <c r="S15" s="706"/>
      <c r="T15" s="705"/>
      <c r="U15" s="706"/>
      <c r="V15" s="705"/>
      <c r="W15" s="706"/>
      <c r="X15" s="1355"/>
      <c r="Y15" s="3655"/>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55"/>
      <c r="Q16" s="1352" t="str">
        <f>B16</f>
        <v>公共配套设施</v>
      </c>
      <c r="R16" s="705" t="s">
        <v>14</v>
      </c>
      <c r="S16" s="706">
        <f>F16</f>
        <v>100</v>
      </c>
      <c r="T16" s="705" t="s">
        <v>14</v>
      </c>
      <c r="U16" s="706">
        <f>H16</f>
        <v>100</v>
      </c>
      <c r="V16" s="705" t="s">
        <v>14</v>
      </c>
      <c r="W16" s="706">
        <f>J16</f>
        <v>100</v>
      </c>
      <c r="X16" s="1355"/>
      <c r="Y16" s="365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55"/>
      <c r="Q17" s="1352"/>
      <c r="R17" s="705"/>
      <c r="S17" s="706"/>
      <c r="T17" s="705"/>
      <c r="U17" s="706"/>
      <c r="V17" s="705"/>
      <c r="W17" s="706"/>
      <c r="X17" s="1355"/>
      <c r="Y17" s="3655"/>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55"/>
      <c r="Q18" s="1352" t="str">
        <f>B18</f>
        <v>基础设施水平</v>
      </c>
      <c r="R18" s="705" t="s">
        <v>14</v>
      </c>
      <c r="S18" s="706">
        <f>F18</f>
        <v>100</v>
      </c>
      <c r="T18" s="705" t="s">
        <v>14</v>
      </c>
      <c r="U18" s="706">
        <f>H18</f>
        <v>100</v>
      </c>
      <c r="V18" s="705" t="s">
        <v>14</v>
      </c>
      <c r="W18" s="706">
        <f>J18</f>
        <v>100</v>
      </c>
      <c r="X18" s="1355"/>
      <c r="Y18" s="365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55"/>
      <c r="Q19" s="1352"/>
      <c r="R19" s="705"/>
      <c r="S19" s="706"/>
      <c r="T19" s="705"/>
      <c r="U19" s="706"/>
      <c r="V19" s="705"/>
      <c r="W19" s="706"/>
      <c r="X19" s="1355"/>
      <c r="Y19" s="3655"/>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55"/>
      <c r="Q20" s="1352" t="str">
        <f>B20</f>
        <v>自然及人文环境</v>
      </c>
      <c r="R20" s="705" t="s">
        <v>14</v>
      </c>
      <c r="S20" s="706">
        <f>F20</f>
        <v>100</v>
      </c>
      <c r="T20" s="705" t="s">
        <v>14</v>
      </c>
      <c r="U20" s="706">
        <f>H20</f>
        <v>100</v>
      </c>
      <c r="V20" s="705" t="s">
        <v>14</v>
      </c>
      <c r="W20" s="706">
        <f>J20</f>
        <v>100</v>
      </c>
      <c r="X20" s="1355"/>
      <c r="Y20" s="365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55"/>
      <c r="Q21" s="1352"/>
      <c r="R21" s="705"/>
      <c r="S21" s="706"/>
      <c r="T21" s="705"/>
      <c r="U21" s="706"/>
      <c r="V21" s="705"/>
      <c r="W21" s="706"/>
      <c r="X21" s="1355"/>
      <c r="Y21" s="365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55"/>
      <c r="Q22" s="1352" t="str">
        <f>B22</f>
        <v>楼层</v>
      </c>
      <c r="R22" s="705" t="s">
        <v>14</v>
      </c>
      <c r="S22" s="706">
        <f>F22</f>
        <v>100</v>
      </c>
      <c r="T22" s="705" t="s">
        <v>14</v>
      </c>
      <c r="U22" s="706">
        <f>H22</f>
        <v>100</v>
      </c>
      <c r="V22" s="705" t="s">
        <v>14</v>
      </c>
      <c r="W22" s="706">
        <f>J22</f>
        <v>100</v>
      </c>
      <c r="X22" s="1355"/>
      <c r="Y22" s="365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55"/>
      <c r="Q23" s="1352">
        <f>B23</f>
        <v>111</v>
      </c>
      <c r="R23" s="705" t="s">
        <v>14</v>
      </c>
      <c r="S23" s="706">
        <f>F23</f>
        <v>100</v>
      </c>
      <c r="T23" s="705" t="s">
        <v>14</v>
      </c>
      <c r="U23" s="706">
        <f>H23</f>
        <v>100</v>
      </c>
      <c r="V23" s="705" t="s">
        <v>14</v>
      </c>
      <c r="W23" s="706">
        <f>J23</f>
        <v>100</v>
      </c>
      <c r="X23" s="1355"/>
      <c r="Y23" s="365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55"/>
      <c r="Q24" s="1352">
        <f t="shared" ref="Q24:Q34" si="11">B24</f>
        <v>111</v>
      </c>
      <c r="R24" s="705" t="s">
        <v>14</v>
      </c>
      <c r="S24" s="706">
        <f>F24</f>
        <v>100</v>
      </c>
      <c r="T24" s="705" t="s">
        <v>14</v>
      </c>
      <c r="U24" s="706">
        <f>H24</f>
        <v>100</v>
      </c>
      <c r="V24" s="705" t="s">
        <v>14</v>
      </c>
      <c r="W24" s="706">
        <f>J24</f>
        <v>100</v>
      </c>
      <c r="X24" s="1355"/>
      <c r="Y24" s="3655"/>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55"/>
      <c r="Q25" s="1343">
        <f t="shared" si="11"/>
        <v>111</v>
      </c>
      <c r="R25" s="701" t="s">
        <v>14</v>
      </c>
      <c r="S25" s="702">
        <f>F25</f>
        <v>100</v>
      </c>
      <c r="T25" s="701" t="s">
        <v>14</v>
      </c>
      <c r="U25" s="702">
        <f>H25</f>
        <v>100</v>
      </c>
      <c r="V25" s="701" t="s">
        <v>14</v>
      </c>
      <c r="W25" s="702">
        <f>J25</f>
        <v>100</v>
      </c>
      <c r="X25" s="703"/>
      <c r="Y25" s="3655"/>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65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57"/>
      <c r="Q27" s="707" t="str">
        <f t="shared" si="11"/>
        <v>成新率</v>
      </c>
      <c r="R27" s="708" t="s">
        <v>14</v>
      </c>
      <c r="S27" s="709" t="e">
        <f t="shared" si="12"/>
        <v>#N/A</v>
      </c>
      <c r="T27" s="708" t="s">
        <v>14</v>
      </c>
      <c r="U27" s="709" t="e">
        <f t="shared" si="13"/>
        <v>#N/A</v>
      </c>
      <c r="V27" s="708" t="s">
        <v>14</v>
      </c>
      <c r="W27" s="709" t="e">
        <f t="shared" si="14"/>
        <v>#N/A</v>
      </c>
      <c r="X27" s="710"/>
      <c r="Y27" s="365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57"/>
      <c r="Q28" s="1352" t="str">
        <f t="shared" si="11"/>
        <v>物业等级</v>
      </c>
      <c r="R28" s="705" t="s">
        <v>14</v>
      </c>
      <c r="S28" s="706">
        <f t="shared" si="12"/>
        <v>100</v>
      </c>
      <c r="T28" s="705" t="s">
        <v>14</v>
      </c>
      <c r="U28" s="706">
        <f t="shared" si="13"/>
        <v>100</v>
      </c>
      <c r="V28" s="705" t="s">
        <v>14</v>
      </c>
      <c r="W28" s="706">
        <f t="shared" si="14"/>
        <v>100</v>
      </c>
      <c r="X28" s="1355"/>
      <c r="Y28" s="365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57"/>
      <c r="Q29" s="1352" t="str">
        <f t="shared" si="11"/>
        <v>有无电梯</v>
      </c>
      <c r="R29" s="705" t="s">
        <v>14</v>
      </c>
      <c r="S29" s="706">
        <f t="shared" si="12"/>
        <v>100</v>
      </c>
      <c r="T29" s="705" t="s">
        <v>14</v>
      </c>
      <c r="U29" s="706">
        <f t="shared" si="13"/>
        <v>100</v>
      </c>
      <c r="V29" s="705" t="s">
        <v>14</v>
      </c>
      <c r="W29" s="706">
        <f t="shared" si="14"/>
        <v>100</v>
      </c>
      <c r="X29" s="1355"/>
      <c r="Y29" s="365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57"/>
      <c r="Q30" s="1352" t="str">
        <f t="shared" si="11"/>
        <v>建筑面积</v>
      </c>
      <c r="R30" s="705" t="s">
        <v>14</v>
      </c>
      <c r="S30" s="706" t="e">
        <f t="shared" si="12"/>
        <v>#N/A</v>
      </c>
      <c r="T30" s="705" t="s">
        <v>14</v>
      </c>
      <c r="U30" s="706" t="e">
        <f t="shared" si="13"/>
        <v>#N/A</v>
      </c>
      <c r="V30" s="705" t="s">
        <v>14</v>
      </c>
      <c r="W30" s="706" t="e">
        <f t="shared" si="14"/>
        <v>#N/A</v>
      </c>
      <c r="X30" s="1355"/>
      <c r="Y30" s="365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57"/>
      <c r="Q31" s="1343" t="str">
        <f t="shared" si="11"/>
        <v>是否封闭</v>
      </c>
      <c r="R31" s="701" t="s">
        <v>14</v>
      </c>
      <c r="S31" s="702">
        <f t="shared" si="12"/>
        <v>100</v>
      </c>
      <c r="T31" s="701" t="s">
        <v>14</v>
      </c>
      <c r="U31" s="702">
        <f t="shared" si="13"/>
        <v>100</v>
      </c>
      <c r="V31" s="701" t="s">
        <v>14</v>
      </c>
      <c r="W31" s="702">
        <f t="shared" si="14"/>
        <v>100</v>
      </c>
      <c r="X31" s="703"/>
      <c r="Y31" s="365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57" t="s">
        <v>1696</v>
      </c>
      <c r="Q32" s="1352">
        <f t="shared" si="11"/>
        <v>111</v>
      </c>
      <c r="R32" s="705" t="s">
        <v>14</v>
      </c>
      <c r="S32" s="706">
        <f t="shared" si="12"/>
        <v>100</v>
      </c>
      <c r="T32" s="705" t="s">
        <v>14</v>
      </c>
      <c r="U32" s="706">
        <f t="shared" si="13"/>
        <v>100</v>
      </c>
      <c r="V32" s="705" t="s">
        <v>14</v>
      </c>
      <c r="W32" s="706">
        <f t="shared" si="14"/>
        <v>100</v>
      </c>
      <c r="X32" s="1355"/>
      <c r="Y32" s="365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57"/>
      <c r="Q33" s="1352">
        <f t="shared" si="11"/>
        <v>111</v>
      </c>
      <c r="R33" s="705" t="s">
        <v>14</v>
      </c>
      <c r="S33" s="706">
        <f t="shared" si="12"/>
        <v>100</v>
      </c>
      <c r="T33" s="705" t="s">
        <v>14</v>
      </c>
      <c r="U33" s="706">
        <f t="shared" si="13"/>
        <v>100</v>
      </c>
      <c r="V33" s="705" t="s">
        <v>14</v>
      </c>
      <c r="W33" s="706">
        <f t="shared" si="14"/>
        <v>100</v>
      </c>
      <c r="X33" s="1355"/>
      <c r="Y33" s="3657"/>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57"/>
      <c r="Q34" s="1352">
        <f t="shared" si="11"/>
        <v>111</v>
      </c>
      <c r="R34" s="705" t="s">
        <v>14</v>
      </c>
      <c r="S34" s="706">
        <f t="shared" si="12"/>
        <v>100</v>
      </c>
      <c r="T34" s="705" t="s">
        <v>14</v>
      </c>
      <c r="U34" s="706">
        <f t="shared" si="13"/>
        <v>100</v>
      </c>
      <c r="V34" s="705" t="s">
        <v>14</v>
      </c>
      <c r="W34" s="706">
        <f t="shared" si="14"/>
        <v>100</v>
      </c>
      <c r="X34" s="1355"/>
      <c r="Y34" s="3657"/>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649" t="str">
        <f>A35</f>
        <v>成交单价（元/平方米）</v>
      </c>
      <c r="Q35" s="3649"/>
      <c r="R35" s="3719">
        <f>E35</f>
        <v>0</v>
      </c>
      <c r="S35" s="3719"/>
      <c r="T35" s="3719">
        <f>G35</f>
        <v>0</v>
      </c>
      <c r="U35" s="3719"/>
      <c r="V35" s="3719">
        <f>I35</f>
        <v>0</v>
      </c>
      <c r="W35" s="3719"/>
      <c r="X35" s="690"/>
      <c r="Y35" s="712"/>
      <c r="Z35" s="690"/>
      <c r="AA35" s="690"/>
      <c r="AB35" s="690"/>
      <c r="AC35" s="690"/>
    </row>
    <row r="36" spans="1:30" ht="15" thickBot="1">
      <c r="A36" s="437" t="s">
        <v>1793</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649" t="str">
        <f>A36</f>
        <v>比较价值（元/平方米）</v>
      </c>
      <c r="Q36" s="3649"/>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646" t="str">
        <f>A37</f>
        <v>估价对象XX用房的比较价值（楼面单价，元/平方米）</v>
      </c>
      <c r="Q37" s="3647"/>
      <c r="R37" s="3741" t="e">
        <f>IF(F1="售价",ROUND(IF(D36="简单平均",AVERAGE(R36:W36),R36*F36+T36*H36+V36*J36),0),ROUND(IF(D36="简单平均",AVERAGE(R36:V36),R36*F36+T36*H36+V36*J36),1))</f>
        <v>#DIV/0!</v>
      </c>
      <c r="S37" s="3741"/>
      <c r="T37" s="3741"/>
      <c r="U37" s="3741"/>
      <c r="V37" s="3741"/>
      <c r="W37" s="3741"/>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3"/>
      <c r="O72" s="2753"/>
      <c r="P72" s="2777"/>
      <c r="Q72" s="2738"/>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3"/>
      <c r="O74" s="2753"/>
      <c r="P74" s="2777"/>
      <c r="Q74" s="2738"/>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661" t="s">
        <v>1770</v>
      </c>
      <c r="D4" s="3662"/>
      <c r="E4" s="3663" t="s">
        <v>1771</v>
      </c>
      <c r="F4" s="3664"/>
      <c r="G4" s="3661" t="s">
        <v>1772</v>
      </c>
      <c r="H4" s="3662"/>
      <c r="I4" s="3661" t="s">
        <v>1773</v>
      </c>
      <c r="J4" s="3662"/>
      <c r="K4" s="559" t="s">
        <v>1774</v>
      </c>
      <c r="L4" s="2714"/>
      <c r="M4" s="2715"/>
      <c r="N4" s="2715"/>
      <c r="O4" s="2715"/>
      <c r="P4" s="3665" t="s">
        <v>1775</v>
      </c>
      <c r="Q4" s="3666"/>
      <c r="R4" s="3675" t="s">
        <v>1771</v>
      </c>
      <c r="S4" s="3676"/>
      <c r="T4" s="3675" t="s">
        <v>1772</v>
      </c>
      <c r="U4" s="3676"/>
      <c r="V4" s="3653" t="s">
        <v>1773</v>
      </c>
      <c r="W4" s="3653"/>
      <c r="X4" s="1355"/>
      <c r="Y4" s="3675" t="s">
        <v>1775</v>
      </c>
      <c r="Z4" s="3676"/>
      <c r="AA4" s="3658" t="s">
        <v>1771</v>
      </c>
      <c r="AB4" s="3659" t="s">
        <v>1772</v>
      </c>
      <c r="AC4" s="3658" t="s">
        <v>1773</v>
      </c>
    </row>
    <row r="5" spans="1:30">
      <c r="A5" s="358"/>
      <c r="B5" s="359"/>
      <c r="C5" s="3679" t="s">
        <v>1673</v>
      </c>
      <c r="D5" s="3680"/>
      <c r="E5" s="3671" t="s">
        <v>1674</v>
      </c>
      <c r="F5" s="3672"/>
      <c r="G5" s="3679" t="s">
        <v>1675</v>
      </c>
      <c r="H5" s="3680"/>
      <c r="I5" s="3679" t="s">
        <v>1676</v>
      </c>
      <c r="J5" s="3680"/>
      <c r="K5" s="559"/>
      <c r="L5" s="2714"/>
      <c r="M5" s="2715"/>
      <c r="N5" s="2715"/>
      <c r="O5" s="2715"/>
      <c r="P5" s="3667"/>
      <c r="Q5" s="3668"/>
      <c r="R5" s="3677"/>
      <c r="S5" s="3678"/>
      <c r="T5" s="3677"/>
      <c r="U5" s="3678"/>
      <c r="V5" s="3653"/>
      <c r="W5" s="3653"/>
      <c r="X5" s="1355"/>
      <c r="Y5" s="3677"/>
      <c r="Z5" s="3678"/>
      <c r="AA5" s="3659"/>
      <c r="AB5" s="3659"/>
      <c r="AC5" s="3659"/>
    </row>
    <row r="6" spans="1:30" ht="15" thickBot="1">
      <c r="A6" s="360"/>
      <c r="B6" s="361"/>
      <c r="C6" s="3714" t="s">
        <v>1677</v>
      </c>
      <c r="D6" s="3715"/>
      <c r="E6" s="3716" t="s">
        <v>1677</v>
      </c>
      <c r="F6" s="3717"/>
      <c r="G6" s="3714" t="s">
        <v>1677</v>
      </c>
      <c r="H6" s="3715"/>
      <c r="I6" s="3714" t="s">
        <v>1677</v>
      </c>
      <c r="J6" s="3715"/>
      <c r="K6" s="559" t="s">
        <v>1678</v>
      </c>
      <c r="L6" s="2714"/>
      <c r="M6" s="2715"/>
      <c r="N6" s="2715"/>
      <c r="O6" s="2715"/>
      <c r="P6" s="3669"/>
      <c r="Q6" s="3670"/>
      <c r="R6" s="3677"/>
      <c r="S6" s="3678"/>
      <c r="T6" s="3686"/>
      <c r="U6" s="3687"/>
      <c r="V6" s="3653"/>
      <c r="W6" s="3653"/>
      <c r="X6" s="1355"/>
      <c r="Y6" s="3686"/>
      <c r="Z6" s="3687"/>
      <c r="AA6" s="3660"/>
      <c r="AB6" s="3660"/>
      <c r="AC6" s="3660"/>
    </row>
    <row r="7" spans="1:30" s="108" customFormat="1" ht="15" thickBot="1">
      <c r="A7" s="362" t="s">
        <v>1679</v>
      </c>
      <c r="B7" s="363"/>
      <c r="C7" s="364">
        <f>'数据-取费表'!B2</f>
        <v>45274</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51" t="s">
        <v>1680</v>
      </c>
      <c r="Q7" s="3683"/>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51" t="s">
        <v>1683</v>
      </c>
      <c r="Q8" s="3652"/>
      <c r="R8" s="701" t="s">
        <v>14</v>
      </c>
      <c r="S8" s="702">
        <f t="shared" si="0"/>
        <v>0</v>
      </c>
      <c r="T8" s="701" t="s">
        <v>14</v>
      </c>
      <c r="U8" s="702">
        <f t="shared" si="1"/>
        <v>0</v>
      </c>
      <c r="V8" s="701" t="s">
        <v>14</v>
      </c>
      <c r="W8" s="702">
        <f t="shared" si="2"/>
        <v>0</v>
      </c>
      <c r="X8" s="703"/>
      <c r="Y8" s="3651" t="s">
        <v>1683</v>
      </c>
      <c r="Z8" s="3652"/>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49" t="s">
        <v>1686</v>
      </c>
      <c r="Q9" s="1343" t="str">
        <f t="shared" ref="Q9:Q15" si="6">B9</f>
        <v>用途</v>
      </c>
      <c r="R9" s="701" t="s">
        <v>14</v>
      </c>
      <c r="S9" s="702">
        <f t="shared" si="0"/>
        <v>100</v>
      </c>
      <c r="T9" s="701" t="s">
        <v>14</v>
      </c>
      <c r="U9" s="702">
        <f t="shared" si="1"/>
        <v>100</v>
      </c>
      <c r="V9" s="701" t="s">
        <v>14</v>
      </c>
      <c r="W9" s="702">
        <f t="shared" si="2"/>
        <v>100</v>
      </c>
      <c r="X9" s="703"/>
      <c r="Y9" s="3619"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101</v>
      </c>
      <c r="G10" s="414"/>
      <c r="H10" s="127">
        <f>ROUND(100/'数据-取费表'!G16,0)</f>
        <v>101</v>
      </c>
      <c r="I10" s="414"/>
      <c r="J10" s="127">
        <f>ROUND(100/'数据-取费表'!G16,0)</f>
        <v>101</v>
      </c>
      <c r="K10" s="620"/>
      <c r="L10" s="2718"/>
      <c r="M10" s="2719"/>
      <c r="N10" s="2719"/>
      <c r="O10" s="2772"/>
      <c r="P10" s="3649"/>
      <c r="Q10" s="1343" t="str">
        <f t="shared" si="6"/>
        <v>土地使用年限（年）</v>
      </c>
      <c r="R10" s="701" t="s">
        <v>14</v>
      </c>
      <c r="S10" s="702">
        <f t="shared" si="0"/>
        <v>101</v>
      </c>
      <c r="T10" s="701" t="s">
        <v>14</v>
      </c>
      <c r="U10" s="702">
        <f t="shared" si="1"/>
        <v>101</v>
      </c>
      <c r="V10" s="701" t="s">
        <v>14</v>
      </c>
      <c r="W10" s="702">
        <f t="shared" si="2"/>
        <v>101</v>
      </c>
      <c r="X10" s="703"/>
      <c r="Y10" s="3619"/>
      <c r="Z10" s="52" t="str">
        <f t="shared" si="7"/>
        <v>土地使用年限（年）</v>
      </c>
      <c r="AA10" s="704">
        <f t="shared" si="3"/>
        <v>0.99009900990099009</v>
      </c>
      <c r="AB10" s="704">
        <f t="shared" si="4"/>
        <v>0.99009900990099009</v>
      </c>
      <c r="AC10" s="704">
        <f t="shared" si="5"/>
        <v>0.99009900990099009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49"/>
      <c r="Q11" s="1343" t="str">
        <f t="shared" si="6"/>
        <v>容积率</v>
      </c>
      <c r="R11" s="701" t="s">
        <v>14</v>
      </c>
      <c r="S11" s="702" t="e">
        <f t="shared" si="0"/>
        <v>#N/A</v>
      </c>
      <c r="T11" s="701" t="s">
        <v>14</v>
      </c>
      <c r="U11" s="702" t="e">
        <f t="shared" si="1"/>
        <v>#N/A</v>
      </c>
      <c r="V11" s="701" t="s">
        <v>14</v>
      </c>
      <c r="W11" s="702" t="e">
        <f t="shared" si="2"/>
        <v>#N/A</v>
      </c>
      <c r="X11" s="703"/>
      <c r="Y11" s="361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49"/>
      <c r="Q12" s="1343" t="str">
        <f t="shared" si="6"/>
        <v>配建</v>
      </c>
      <c r="R12" s="701" t="s">
        <v>14</v>
      </c>
      <c r="S12" s="702">
        <f t="shared" si="0"/>
        <v>100</v>
      </c>
      <c r="T12" s="701" t="s">
        <v>14</v>
      </c>
      <c r="U12" s="702">
        <f t="shared" si="1"/>
        <v>100</v>
      </c>
      <c r="V12" s="701" t="s">
        <v>14</v>
      </c>
      <c r="W12" s="702">
        <f t="shared" si="2"/>
        <v>100</v>
      </c>
      <c r="X12" s="703"/>
      <c r="Y12" s="361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49"/>
      <c r="Q13" s="1343">
        <f t="shared" si="6"/>
        <v>111</v>
      </c>
      <c r="R13" s="701" t="s">
        <v>14</v>
      </c>
      <c r="S13" s="702">
        <f t="shared" si="0"/>
        <v>100</v>
      </c>
      <c r="T13" s="701" t="s">
        <v>14</v>
      </c>
      <c r="U13" s="702">
        <f t="shared" si="1"/>
        <v>100</v>
      </c>
      <c r="V13" s="701" t="s">
        <v>14</v>
      </c>
      <c r="W13" s="702">
        <f t="shared" si="2"/>
        <v>100</v>
      </c>
      <c r="X13" s="703"/>
      <c r="Y13" s="3619"/>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49"/>
      <c r="Q14" s="1343">
        <f t="shared" si="6"/>
        <v>111</v>
      </c>
      <c r="R14" s="701" t="s">
        <v>14</v>
      </c>
      <c r="S14" s="702">
        <f t="shared" si="0"/>
        <v>100</v>
      </c>
      <c r="T14" s="701" t="s">
        <v>14</v>
      </c>
      <c r="U14" s="702">
        <f t="shared" si="1"/>
        <v>100</v>
      </c>
      <c r="V14" s="701" t="s">
        <v>14</v>
      </c>
      <c r="W14" s="702">
        <f t="shared" si="2"/>
        <v>100</v>
      </c>
      <c r="X14" s="703"/>
      <c r="Y14" s="3619"/>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54" t="s">
        <v>1691</v>
      </c>
      <c r="Q15" s="1352" t="str">
        <f t="shared" si="6"/>
        <v>居住社区成熟度</v>
      </c>
      <c r="R15" s="705" t="s">
        <v>14</v>
      </c>
      <c r="S15" s="706">
        <f t="shared" si="0"/>
        <v>100</v>
      </c>
      <c r="T15" s="705" t="s">
        <v>14</v>
      </c>
      <c r="U15" s="706">
        <f t="shared" si="1"/>
        <v>100</v>
      </c>
      <c r="V15" s="705" t="s">
        <v>14</v>
      </c>
      <c r="W15" s="706">
        <f t="shared" si="2"/>
        <v>100</v>
      </c>
      <c r="X15" s="1355"/>
      <c r="Y15" s="365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55"/>
      <c r="Q16" s="1352"/>
      <c r="R16" s="705"/>
      <c r="S16" s="706"/>
      <c r="T16" s="705"/>
      <c r="U16" s="706"/>
      <c r="V16" s="705"/>
      <c r="W16" s="706"/>
      <c r="X16" s="1355"/>
      <c r="Y16" s="3655"/>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55"/>
      <c r="Q17" s="1352" t="str">
        <f>B17</f>
        <v>商业繁华度</v>
      </c>
      <c r="R17" s="705" t="s">
        <v>14</v>
      </c>
      <c r="S17" s="706">
        <f>F17</f>
        <v>100</v>
      </c>
      <c r="T17" s="705" t="s">
        <v>14</v>
      </c>
      <c r="U17" s="706">
        <f>H17</f>
        <v>100</v>
      </c>
      <c r="V17" s="705" t="s">
        <v>14</v>
      </c>
      <c r="W17" s="706">
        <f>J17</f>
        <v>100</v>
      </c>
      <c r="X17" s="1355"/>
      <c r="Y17" s="365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55"/>
      <c r="Q18" s="1352"/>
      <c r="R18" s="705"/>
      <c r="S18" s="706"/>
      <c r="T18" s="705"/>
      <c r="U18" s="706"/>
      <c r="V18" s="705"/>
      <c r="W18" s="706"/>
      <c r="X18" s="1355"/>
      <c r="Y18" s="3655"/>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55"/>
      <c r="Q19" s="1352" t="str">
        <f>B19</f>
        <v>办公集聚程度</v>
      </c>
      <c r="R19" s="705" t="s">
        <v>14</v>
      </c>
      <c r="S19" s="706">
        <f>F19</f>
        <v>100</v>
      </c>
      <c r="T19" s="705" t="s">
        <v>14</v>
      </c>
      <c r="U19" s="706">
        <f>H19</f>
        <v>100</v>
      </c>
      <c r="V19" s="705" t="s">
        <v>14</v>
      </c>
      <c r="W19" s="706">
        <f>J19</f>
        <v>100</v>
      </c>
      <c r="X19" s="1355"/>
      <c r="Y19" s="365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55"/>
      <c r="Q20" s="1352"/>
      <c r="R20" s="705"/>
      <c r="S20" s="706"/>
      <c r="T20" s="705"/>
      <c r="U20" s="706"/>
      <c r="V20" s="705"/>
      <c r="W20" s="706"/>
      <c r="X20" s="1355"/>
      <c r="Y20" s="3655"/>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55"/>
      <c r="Q21" s="1352" t="str">
        <f>B21</f>
        <v>交通便捷度</v>
      </c>
      <c r="R21" s="705" t="s">
        <v>14</v>
      </c>
      <c r="S21" s="706">
        <f>F21</f>
        <v>100</v>
      </c>
      <c r="T21" s="705" t="s">
        <v>14</v>
      </c>
      <c r="U21" s="706">
        <f>H21</f>
        <v>100</v>
      </c>
      <c r="V21" s="705" t="s">
        <v>14</v>
      </c>
      <c r="W21" s="706">
        <f>J21</f>
        <v>100</v>
      </c>
      <c r="X21" s="1355"/>
      <c r="Y21" s="365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55"/>
      <c r="Q22" s="1352"/>
      <c r="R22" s="705"/>
      <c r="S22" s="706"/>
      <c r="T22" s="705"/>
      <c r="U22" s="706"/>
      <c r="V22" s="705"/>
      <c r="W22" s="706"/>
      <c r="X22" s="1355"/>
      <c r="Y22" s="3655"/>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55"/>
      <c r="Q23" s="1352" t="str">
        <f t="shared" ref="Q23:Q37" si="8">B23</f>
        <v>区域土地利用方向</v>
      </c>
      <c r="R23" s="705" t="s">
        <v>14</v>
      </c>
      <c r="S23" s="706">
        <f>F23</f>
        <v>100</v>
      </c>
      <c r="T23" s="705" t="s">
        <v>14</v>
      </c>
      <c r="U23" s="706">
        <f>H23</f>
        <v>100</v>
      </c>
      <c r="V23" s="705" t="s">
        <v>14</v>
      </c>
      <c r="W23" s="706">
        <f>J23</f>
        <v>100</v>
      </c>
      <c r="X23" s="1355"/>
      <c r="Y23" s="365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55"/>
      <c r="Q24" s="1352"/>
      <c r="R24" s="705"/>
      <c r="S24" s="706"/>
      <c r="T24" s="705"/>
      <c r="U24" s="706"/>
      <c r="V24" s="705"/>
      <c r="W24" s="706"/>
      <c r="X24" s="1355"/>
      <c r="Y24" s="3655"/>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55"/>
      <c r="Q25" s="1352" t="str">
        <f t="shared" si="8"/>
        <v>自然及人文环境状况</v>
      </c>
      <c r="R25" s="705" t="s">
        <v>14</v>
      </c>
      <c r="S25" s="706">
        <f>F25</f>
        <v>100</v>
      </c>
      <c r="T25" s="705" t="s">
        <v>14</v>
      </c>
      <c r="U25" s="706">
        <f>H25</f>
        <v>100</v>
      </c>
      <c r="V25" s="705" t="s">
        <v>14</v>
      </c>
      <c r="W25" s="706">
        <f>J25</f>
        <v>100</v>
      </c>
      <c r="X25" s="1355"/>
      <c r="Y25" s="365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55"/>
      <c r="Q26" s="1352"/>
      <c r="R26" s="705"/>
      <c r="S26" s="706"/>
      <c r="T26" s="705"/>
      <c r="U26" s="706"/>
      <c r="V26" s="705"/>
      <c r="W26" s="706"/>
      <c r="X26" s="1355"/>
      <c r="Y26" s="3655"/>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55"/>
      <c r="Q27" s="1343" t="str">
        <f t="shared" si="8"/>
        <v>公共配套设施</v>
      </c>
      <c r="R27" s="701" t="s">
        <v>14</v>
      </c>
      <c r="S27" s="702">
        <f>F27</f>
        <v>100</v>
      </c>
      <c r="T27" s="701" t="s">
        <v>14</v>
      </c>
      <c r="U27" s="702">
        <f>H27</f>
        <v>100</v>
      </c>
      <c r="V27" s="701" t="s">
        <v>14</v>
      </c>
      <c r="W27" s="702">
        <f>J27</f>
        <v>100</v>
      </c>
      <c r="X27" s="703"/>
      <c r="Y27" s="365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55"/>
      <c r="Q28" s="1343"/>
      <c r="R28" s="701"/>
      <c r="S28" s="702"/>
      <c r="T28" s="701"/>
      <c r="U28" s="702"/>
      <c r="V28" s="701"/>
      <c r="W28" s="702"/>
      <c r="X28" s="703"/>
      <c r="Y28" s="3655"/>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55"/>
      <c r="Q29" s="1343" t="str">
        <f t="shared" ref="Q29" si="9">B29</f>
        <v>基础设施水平</v>
      </c>
      <c r="R29" s="701" t="s">
        <v>14</v>
      </c>
      <c r="S29" s="702">
        <f>F29</f>
        <v>100</v>
      </c>
      <c r="T29" s="701" t="s">
        <v>14</v>
      </c>
      <c r="U29" s="702">
        <f>H29</f>
        <v>100</v>
      </c>
      <c r="V29" s="701" t="s">
        <v>14</v>
      </c>
      <c r="W29" s="702">
        <f>J29</f>
        <v>100</v>
      </c>
      <c r="X29" s="703"/>
      <c r="Y29" s="365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55"/>
      <c r="Q30" s="1343"/>
      <c r="R30" s="701"/>
      <c r="S30" s="702"/>
      <c r="T30" s="701"/>
      <c r="U30" s="702"/>
      <c r="V30" s="701"/>
      <c r="W30" s="702"/>
      <c r="X30" s="703"/>
      <c r="Y30" s="365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5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5"/>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55"/>
      <c r="Q32" s="1352" t="str">
        <f t="shared" si="8"/>
        <v>毗邻道路的类型与等级</v>
      </c>
      <c r="R32" s="705" t="s">
        <v>14</v>
      </c>
      <c r="S32" s="706">
        <f t="shared" si="10"/>
        <v>100</v>
      </c>
      <c r="T32" s="705" t="s">
        <v>14</v>
      </c>
      <c r="U32" s="706">
        <f t="shared" si="11"/>
        <v>100</v>
      </c>
      <c r="V32" s="705" t="s">
        <v>14</v>
      </c>
      <c r="W32" s="706">
        <f t="shared" si="12"/>
        <v>100</v>
      </c>
      <c r="X32" s="1355"/>
      <c r="Y32" s="365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55"/>
      <c r="Q33" s="1352"/>
      <c r="R33" s="705"/>
      <c r="S33" s="706"/>
      <c r="T33" s="705"/>
      <c r="U33" s="706"/>
      <c r="V33" s="705"/>
      <c r="W33" s="706"/>
      <c r="X33" s="1355"/>
      <c r="Y33" s="365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55"/>
      <c r="Q34" s="1352" t="str">
        <f t="shared" si="8"/>
        <v>土地级别</v>
      </c>
      <c r="R34" s="705" t="s">
        <v>14</v>
      </c>
      <c r="S34" s="706">
        <f t="shared" si="10"/>
        <v>100</v>
      </c>
      <c r="T34" s="705" t="s">
        <v>14</v>
      </c>
      <c r="U34" s="706">
        <f t="shared" si="11"/>
        <v>100</v>
      </c>
      <c r="V34" s="705" t="s">
        <v>14</v>
      </c>
      <c r="W34" s="706">
        <f t="shared" si="12"/>
        <v>100</v>
      </c>
      <c r="X34" s="1355"/>
      <c r="Y34" s="365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55"/>
      <c r="Q35" s="1352">
        <f t="shared" si="8"/>
        <v>111</v>
      </c>
      <c r="R35" s="705" t="s">
        <v>14</v>
      </c>
      <c r="S35" s="706">
        <f t="shared" si="10"/>
        <v>100</v>
      </c>
      <c r="T35" s="705" t="s">
        <v>14</v>
      </c>
      <c r="U35" s="706">
        <f t="shared" si="11"/>
        <v>100</v>
      </c>
      <c r="V35" s="705" t="s">
        <v>14</v>
      </c>
      <c r="W35" s="706">
        <f t="shared" si="12"/>
        <v>100</v>
      </c>
      <c r="X35" s="1355"/>
      <c r="Y35" s="365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656" t="s">
        <v>1696</v>
      </c>
      <c r="Q36" s="1352">
        <f t="shared" si="8"/>
        <v>111</v>
      </c>
      <c r="R36" s="705" t="s">
        <v>14</v>
      </c>
      <c r="S36" s="706">
        <f t="shared" si="10"/>
        <v>100</v>
      </c>
      <c r="T36" s="705" t="s">
        <v>14</v>
      </c>
      <c r="U36" s="706">
        <f t="shared" si="11"/>
        <v>100</v>
      </c>
      <c r="V36" s="705" t="s">
        <v>14</v>
      </c>
      <c r="W36" s="706">
        <f t="shared" si="12"/>
        <v>100</v>
      </c>
      <c r="X36" s="1355"/>
      <c r="Y36" s="3657"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57"/>
      <c r="Q37" s="1352">
        <f t="shared" si="8"/>
        <v>111</v>
      </c>
      <c r="R37" s="708" t="s">
        <v>14</v>
      </c>
      <c r="S37" s="709">
        <f t="shared" si="10"/>
        <v>100</v>
      </c>
      <c r="T37" s="708" t="s">
        <v>14</v>
      </c>
      <c r="U37" s="709">
        <f t="shared" si="11"/>
        <v>100</v>
      </c>
      <c r="V37" s="708" t="s">
        <v>14</v>
      </c>
      <c r="W37" s="709">
        <f t="shared" si="12"/>
        <v>100</v>
      </c>
      <c r="X37" s="710"/>
      <c r="Y37" s="3657"/>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57"/>
      <c r="Q38" s="1352" t="str">
        <f>B38</f>
        <v>宗地面积</v>
      </c>
      <c r="R38" s="705" t="s">
        <v>14</v>
      </c>
      <c r="S38" s="706" t="e">
        <f t="shared" si="10"/>
        <v>#N/A</v>
      </c>
      <c r="T38" s="705" t="s">
        <v>14</v>
      </c>
      <c r="U38" s="706" t="e">
        <f t="shared" si="11"/>
        <v>#N/A</v>
      </c>
      <c r="V38" s="705" t="s">
        <v>14</v>
      </c>
      <c r="W38" s="706" t="e">
        <f t="shared" si="12"/>
        <v>#N/A</v>
      </c>
      <c r="X38" s="1355"/>
      <c r="Y38" s="365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57"/>
      <c r="Q39" s="1352" t="str">
        <f t="shared" ref="Q39:Q45" si="14">B39</f>
        <v>宗地形状</v>
      </c>
      <c r="R39" s="705" t="s">
        <v>14</v>
      </c>
      <c r="S39" s="706">
        <f t="shared" si="10"/>
        <v>100</v>
      </c>
      <c r="T39" s="705" t="s">
        <v>14</v>
      </c>
      <c r="U39" s="706">
        <f t="shared" si="11"/>
        <v>100</v>
      </c>
      <c r="V39" s="705" t="s">
        <v>14</v>
      </c>
      <c r="W39" s="706">
        <f t="shared" si="12"/>
        <v>100</v>
      </c>
      <c r="X39" s="1355"/>
      <c r="Y39" s="365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57"/>
      <c r="Q40" s="1352" t="str">
        <f t="shared" si="14"/>
        <v>临街宽度及深度</v>
      </c>
      <c r="R40" s="705" t="s">
        <v>14</v>
      </c>
      <c r="S40" s="706">
        <f t="shared" si="10"/>
        <v>100</v>
      </c>
      <c r="T40" s="705" t="s">
        <v>14</v>
      </c>
      <c r="U40" s="706">
        <f t="shared" si="11"/>
        <v>100</v>
      </c>
      <c r="V40" s="705" t="s">
        <v>14</v>
      </c>
      <c r="W40" s="706">
        <f t="shared" si="12"/>
        <v>100</v>
      </c>
      <c r="X40" s="1355"/>
      <c r="Y40" s="365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57"/>
      <c r="Q41" s="1352" t="str">
        <f t="shared" si="14"/>
        <v>宗地开发程度</v>
      </c>
      <c r="R41" s="701" t="s">
        <v>14</v>
      </c>
      <c r="S41" s="702">
        <f t="shared" si="10"/>
        <v>100</v>
      </c>
      <c r="T41" s="701" t="s">
        <v>14</v>
      </c>
      <c r="U41" s="702">
        <f t="shared" si="11"/>
        <v>100</v>
      </c>
      <c r="V41" s="701" t="s">
        <v>14</v>
      </c>
      <c r="W41" s="702">
        <f t="shared" si="12"/>
        <v>100</v>
      </c>
      <c r="X41" s="703"/>
      <c r="Y41" s="365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57" t="s">
        <v>1696</v>
      </c>
      <c r="Q42" s="1352" t="str">
        <f t="shared" si="14"/>
        <v>工程地质条件</v>
      </c>
      <c r="R42" s="705" t="s">
        <v>14</v>
      </c>
      <c r="S42" s="706">
        <f t="shared" si="10"/>
        <v>100</v>
      </c>
      <c r="T42" s="705" t="s">
        <v>14</v>
      </c>
      <c r="U42" s="706">
        <f t="shared" si="11"/>
        <v>100</v>
      </c>
      <c r="V42" s="705" t="s">
        <v>14</v>
      </c>
      <c r="W42" s="706">
        <f t="shared" si="12"/>
        <v>100</v>
      </c>
      <c r="X42" s="1355"/>
      <c r="Y42" s="365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57"/>
      <c r="Q43" s="1352">
        <f t="shared" si="14"/>
        <v>111</v>
      </c>
      <c r="R43" s="705" t="s">
        <v>14</v>
      </c>
      <c r="S43" s="706">
        <f t="shared" si="10"/>
        <v>100</v>
      </c>
      <c r="T43" s="705" t="s">
        <v>14</v>
      </c>
      <c r="U43" s="706">
        <f t="shared" si="11"/>
        <v>100</v>
      </c>
      <c r="V43" s="705" t="s">
        <v>14</v>
      </c>
      <c r="W43" s="706">
        <f t="shared" si="12"/>
        <v>100</v>
      </c>
      <c r="X43" s="1355"/>
      <c r="Y43" s="365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57"/>
      <c r="Q44" s="1352">
        <f t="shared" si="14"/>
        <v>111</v>
      </c>
      <c r="R44" s="705" t="s">
        <v>14</v>
      </c>
      <c r="S44" s="706">
        <f t="shared" si="10"/>
        <v>100</v>
      </c>
      <c r="T44" s="705" t="s">
        <v>14</v>
      </c>
      <c r="U44" s="706">
        <f t="shared" si="11"/>
        <v>100</v>
      </c>
      <c r="V44" s="705" t="s">
        <v>14</v>
      </c>
      <c r="W44" s="706">
        <f t="shared" si="12"/>
        <v>100</v>
      </c>
      <c r="X44" s="1355"/>
      <c r="Y44" s="3657"/>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57"/>
      <c r="Q45" s="1352">
        <f t="shared" si="14"/>
        <v>111</v>
      </c>
      <c r="R45" s="708" t="s">
        <v>14</v>
      </c>
      <c r="S45" s="709">
        <f t="shared" si="10"/>
        <v>100</v>
      </c>
      <c r="T45" s="708" t="s">
        <v>14</v>
      </c>
      <c r="U45" s="709">
        <f t="shared" si="11"/>
        <v>100</v>
      </c>
      <c r="V45" s="708" t="s">
        <v>14</v>
      </c>
      <c r="W45" s="709">
        <f t="shared" si="12"/>
        <v>100</v>
      </c>
      <c r="X45" s="710"/>
      <c r="Y45" s="3657"/>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3"/>
      <c r="M46" s="2724"/>
      <c r="N46" s="2715"/>
      <c r="O46" s="2724"/>
      <c r="P46" s="3649" t="str">
        <f>A46</f>
        <v>成交单价</v>
      </c>
      <c r="Q46" s="3649"/>
      <c r="R46" s="3653">
        <f>E46</f>
        <v>0</v>
      </c>
      <c r="S46" s="3653"/>
      <c r="T46" s="3653">
        <f>G46</f>
        <v>0</v>
      </c>
      <c r="U46" s="3653"/>
      <c r="V46" s="3653">
        <f>I46</f>
        <v>0</v>
      </c>
      <c r="W46" s="3653"/>
      <c r="X46" s="690"/>
      <c r="Y46" s="712"/>
      <c r="Z46" s="690"/>
      <c r="AA46" s="690"/>
      <c r="AB46" s="690"/>
      <c r="AC46" s="690"/>
    </row>
    <row r="47" spans="1:29" ht="15" thickBot="1">
      <c r="A47" s="437" t="s">
        <v>1793</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649" t="str">
        <f>A47</f>
        <v>比较价值（元/平方米）</v>
      </c>
      <c r="Q47" s="3649"/>
      <c r="R47" s="3650" t="e">
        <f>ROUND(PRODUCT(R46,AA7:AA45),0)</f>
        <v>#DIV/0!</v>
      </c>
      <c r="S47" s="3650"/>
      <c r="T47" s="3650" t="e">
        <f>ROUND(PRODUCT(T46,AB7:AB45),0)</f>
        <v>#DIV/0!</v>
      </c>
      <c r="U47" s="3650"/>
      <c r="V47" s="3650" t="e">
        <f>ROUND(PRODUCT(V46,AC7:AC45),0)</f>
        <v>#DIV/0!</v>
      </c>
      <c r="W47" s="365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646" t="str">
        <f>A48</f>
        <v>估价对象XX用房的比较价值（楼面单价，元/平方米）</v>
      </c>
      <c r="Q48" s="3647"/>
      <c r="R48" s="3648" t="e">
        <f>ROUND(IF(D47="简单平均",AVERAGE(R47:W47),R47*F47+T47*H47+V47*J47),0)</f>
        <v>#DIV/0!</v>
      </c>
      <c r="S48" s="3648"/>
      <c r="T48" s="3648"/>
      <c r="U48" s="3648"/>
      <c r="V48" s="3648"/>
      <c r="W48" s="3648"/>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61" t="s">
        <v>1887</v>
      </c>
      <c r="H55" s="3673"/>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253546.02500000002</v>
      </c>
      <c r="F56" s="886" t="e">
        <f t="shared" ref="F56:F64" si="15">ROUND(B56*E56/10000,0)</f>
        <v>#DIV/0!</v>
      </c>
      <c r="G56" s="3674"/>
      <c r="H56" s="364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253546.02500000002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4" priority="18" stopIfTrue="1" operator="containsText" text="超过">
      <formula>NOT(ISERROR(SEARCH("超过",F51)))</formula>
    </cfRule>
  </conditionalFormatting>
  <conditionalFormatting sqref="J53">
    <cfRule type="containsText" dxfId="23" priority="17" stopIfTrue="1" operator="containsText" text="超过">
      <formula>NOT(ISERROR(SEARCH("超过",J53)))</formula>
    </cfRule>
  </conditionalFormatting>
  <conditionalFormatting sqref="H53">
    <cfRule type="containsText" dxfId="22" priority="16" stopIfTrue="1" operator="containsText" text="超过">
      <formula>NOT(ISERROR(SEARCH("超过",H53)))</formula>
    </cfRule>
  </conditionalFormatting>
  <conditionalFormatting sqref="F53">
    <cfRule type="containsText" dxfId="21" priority="15" stopIfTrue="1" operator="containsText" text="超过">
      <formula>NOT(ISERROR(SEARCH("超过",F53)))</formula>
    </cfRule>
  </conditionalFormatting>
  <conditionalFormatting sqref="F52 H52 J52">
    <cfRule type="containsText" dxfId="20" priority="14" stopIfTrue="1" operator="containsText" text="超过">
      <formula>NOT(ISERROR(SEARCH("超过",F52)))</formula>
    </cfRule>
  </conditionalFormatting>
  <conditionalFormatting sqref="E51">
    <cfRule type="expression" dxfId="19" priority="13" stopIfTrue="1">
      <formula>$F$51="超过30%"</formula>
    </cfRule>
  </conditionalFormatting>
  <conditionalFormatting sqref="G53">
    <cfRule type="expression" dxfId="18" priority="12" stopIfTrue="1">
      <formula>$H$53="超过30%"</formula>
    </cfRule>
  </conditionalFormatting>
  <conditionalFormatting sqref="E52">
    <cfRule type="expression" dxfId="17" priority="11" stopIfTrue="1">
      <formula>$F$52="超过20%"</formula>
    </cfRule>
  </conditionalFormatting>
  <conditionalFormatting sqref="E53">
    <cfRule type="expression" dxfId="16" priority="10" stopIfTrue="1">
      <formula>$F$53="超过30%"</formula>
    </cfRule>
  </conditionalFormatting>
  <conditionalFormatting sqref="G51">
    <cfRule type="expression" dxfId="15" priority="9" stopIfTrue="1">
      <formula>$H$53+$H$51="超过30%"</formula>
    </cfRule>
  </conditionalFormatting>
  <conditionalFormatting sqref="G52">
    <cfRule type="expression" dxfId="14" priority="8" stopIfTrue="1">
      <formula>$H$52="超过20%"</formula>
    </cfRule>
  </conditionalFormatting>
  <conditionalFormatting sqref="I51">
    <cfRule type="expression" dxfId="13" priority="7" stopIfTrue="1">
      <formula>$J$51="超过30%"</formula>
    </cfRule>
  </conditionalFormatting>
  <conditionalFormatting sqref="I52">
    <cfRule type="expression" dxfId="12" priority="6" stopIfTrue="1">
      <formula>$J$52="超过20%"</formula>
    </cfRule>
  </conditionalFormatting>
  <conditionalFormatting sqref="I53">
    <cfRule type="expression" dxfId="11" priority="5" stopIfTrue="1">
      <formula>$J$53="超过30%"</formula>
    </cfRule>
  </conditionalFormatting>
  <conditionalFormatting sqref="F47">
    <cfRule type="expression" dxfId="10" priority="4">
      <formula>$D$47="简单平均"</formula>
    </cfRule>
  </conditionalFormatting>
  <conditionalFormatting sqref="H47">
    <cfRule type="expression" dxfId="9" priority="3">
      <formula>$D$47="简单平均"</formula>
    </cfRule>
  </conditionalFormatting>
  <conditionalFormatting sqref="J47">
    <cfRule type="expression" dxfId="8" priority="2">
      <formula>$D$47="简单平均"</formula>
    </cfRule>
  </conditionalFormatting>
  <conditionalFormatting sqref="F7:F45 H7:H45 J7:J45">
    <cfRule type="cellIs" dxfId="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5" t="s">
        <v>2083</v>
      </c>
      <c r="D1" s="3746"/>
      <c r="E1" s="3746"/>
      <c r="F1" s="3746"/>
      <c r="G1" s="3746"/>
      <c r="H1" s="3746"/>
      <c r="I1" s="3746"/>
      <c r="J1" s="3746"/>
      <c r="K1" s="3746"/>
      <c r="L1" s="3746"/>
      <c r="M1" s="3746"/>
      <c r="N1" s="3746"/>
      <c r="O1" s="3746"/>
      <c r="P1" s="3746"/>
      <c r="Q1" s="3746"/>
      <c r="R1" s="3746"/>
      <c r="S1" s="3747"/>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42" t="s">
        <v>27</v>
      </c>
      <c r="D22" s="3743"/>
      <c r="E22" s="3743"/>
      <c r="F22" s="3743"/>
      <c r="G22" s="3743"/>
      <c r="H22" s="3743"/>
      <c r="I22" s="3743"/>
      <c r="J22" s="3743"/>
      <c r="K22" s="3743"/>
      <c r="L22" s="3743"/>
      <c r="M22" s="3743"/>
      <c r="N22" s="3743"/>
      <c r="O22" s="3743"/>
      <c r="P22" s="3743"/>
      <c r="Q22" s="3744"/>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2"/>
      <c r="G1" s="2792"/>
      <c r="H1" s="2792"/>
      <c r="I1" s="2792"/>
      <c r="J1" s="2792"/>
      <c r="K1" s="2792"/>
      <c r="L1" s="2792"/>
      <c r="M1" s="2792"/>
      <c r="N1" s="2792"/>
      <c r="O1" s="2792"/>
      <c r="P1" s="2792"/>
    </row>
    <row r="2" spans="1:16" ht="15.6">
      <c r="A2" s="2145" t="s">
        <v>2072</v>
      </c>
      <c r="B2" s="2602" t="e">
        <f ca="1">SUMIF(B6:B13,"&lt;&gt;#ref!",B6:B13)</f>
        <v>#DIV/0!</v>
      </c>
      <c r="C2" s="2145" t="s">
        <v>2073</v>
      </c>
      <c r="D2" s="2145" t="s">
        <v>2074</v>
      </c>
      <c r="E2" s="2612">
        <f ca="1">SUMIF(E6:E13,"&lt;&gt;#ref!",E6:E13)</f>
        <v>0</v>
      </c>
      <c r="F2" s="2792"/>
      <c r="G2" s="2792"/>
      <c r="H2" s="2792"/>
      <c r="I2" s="2792"/>
      <c r="J2" s="2792"/>
      <c r="K2" s="2792"/>
      <c r="L2" s="2792"/>
      <c r="M2" s="2792"/>
      <c r="N2" s="2792"/>
      <c r="O2" s="2792"/>
      <c r="P2" s="2792"/>
    </row>
    <row r="3" spans="1:16" ht="15.6">
      <c r="A3" s="2145" t="s">
        <v>2075</v>
      </c>
      <c r="B3" s="2602" t="e">
        <f ca="1">ROUND(B2*10000/E2,0)</f>
        <v>#DIV/0!</v>
      </c>
      <c r="C3" s="2145" t="s">
        <v>2081</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8" t="s">
        <v>2076</v>
      </c>
      <c r="B5" s="2610" t="s">
        <v>2077</v>
      </c>
      <c r="C5" s="2146"/>
      <c r="D5" s="2792"/>
      <c r="E5" s="2611" t="s">
        <v>2078</v>
      </c>
      <c r="F5" s="2792"/>
      <c r="G5" s="2792"/>
      <c r="H5" s="2792"/>
      <c r="I5" s="2792"/>
      <c r="J5" s="2792"/>
      <c r="K5" s="2792"/>
      <c r="L5" s="2792"/>
      <c r="M5" s="2792"/>
      <c r="N5" s="2792"/>
      <c r="O5" s="2792"/>
      <c r="P5" s="2792"/>
    </row>
    <row r="6" spans="1:16" ht="15.6">
      <c r="A6" s="2609" t="s">
        <v>2079</v>
      </c>
      <c r="B6" s="2602" t="e">
        <f ca="1">SUMIF(INDIRECT("'"&amp;A6&amp;"'"&amp;"!A:A"),"总价",INDIRECT("'"&amp;A6&amp;"'"&amp;"!B:B"))</f>
        <v>#DIV/0!</v>
      </c>
      <c r="C6" s="2145" t="s">
        <v>2073</v>
      </c>
      <c r="D6" s="2792"/>
      <c r="E6" s="2612">
        <f ca="1">SUMIF(INDIRECT("'"&amp;A6&amp;"'"&amp;"!C:C"),"建筑面积",INDIRECT("'"&amp;A6&amp;"'"&amp;"!D:D"))</f>
        <v>0</v>
      </c>
      <c r="F6" s="2792"/>
      <c r="G6" s="2792"/>
      <c r="H6" s="2792"/>
      <c r="I6" s="2792"/>
      <c r="J6" s="2792"/>
      <c r="K6" s="2792"/>
      <c r="L6" s="2792"/>
      <c r="M6" s="2792"/>
      <c r="N6" s="2792"/>
      <c r="O6" s="2792"/>
      <c r="P6" s="2792"/>
    </row>
    <row r="7" spans="1:16" ht="15.6">
      <c r="A7" s="2609"/>
      <c r="B7" s="2602" t="e">
        <f ca="1">SUMIF(INDIRECT("'"&amp;A7&amp;"'"&amp;"!A:A"),"总价",INDIRECT("'"&amp;A7&amp;"'"&amp;"!B:B"))</f>
        <v>#REF!</v>
      </c>
      <c r="C7" s="2145" t="s">
        <v>2073</v>
      </c>
      <c r="D7" s="2792"/>
      <c r="E7" s="2612" t="e">
        <f t="shared" ref="E7:E13" ca="1" si="0">SUMIF(INDIRECT("'"&amp;A7&amp;"'"&amp;"!C:C"),"建筑面积",INDIRECT("'"&amp;A7&amp;"'"&amp;"!D:D"))</f>
        <v>#REF!</v>
      </c>
      <c r="F7" s="2792"/>
      <c r="G7" s="2792"/>
      <c r="H7" s="2792"/>
      <c r="I7" s="2792"/>
      <c r="J7" s="2792"/>
      <c r="K7" s="2792"/>
      <c r="L7" s="2792"/>
      <c r="M7" s="2792"/>
      <c r="N7" s="2792"/>
      <c r="O7" s="2792"/>
      <c r="P7" s="2792"/>
    </row>
    <row r="8" spans="1:16" ht="15.6">
      <c r="A8" s="2609"/>
      <c r="B8" s="2602" t="e">
        <f t="shared" ref="B8:B13" ca="1" si="1">SUMIF(INDIRECT("'"&amp;A8&amp;"'"&amp;"!A:A"),"总价",INDIRECT("'"&amp;A8&amp;"'"&amp;"!B:B"))</f>
        <v>#REF!</v>
      </c>
      <c r="C8" s="2145" t="s">
        <v>2073</v>
      </c>
      <c r="D8" s="2792"/>
      <c r="E8" s="2612" t="e">
        <f t="shared" ca="1" si="0"/>
        <v>#REF!</v>
      </c>
      <c r="F8" s="2792"/>
      <c r="G8" s="2792"/>
      <c r="H8" s="2792"/>
      <c r="I8" s="2792"/>
      <c r="J8" s="2792"/>
      <c r="K8" s="2792"/>
      <c r="L8" s="2792"/>
      <c r="M8" s="2792"/>
      <c r="N8" s="2792"/>
      <c r="O8" s="2792"/>
      <c r="P8" s="2792"/>
    </row>
    <row r="9" spans="1:16" ht="15.6">
      <c r="A9" s="2609"/>
      <c r="B9" s="2602" t="e">
        <f t="shared" ca="1" si="1"/>
        <v>#REF!</v>
      </c>
      <c r="C9" s="2145" t="s">
        <v>2073</v>
      </c>
      <c r="D9" s="2792"/>
      <c r="E9" s="2612" t="e">
        <f t="shared" ca="1" si="0"/>
        <v>#REF!</v>
      </c>
      <c r="F9" s="2792"/>
      <c r="G9" s="2792"/>
      <c r="H9" s="2792"/>
      <c r="I9" s="2792"/>
      <c r="J9" s="2792"/>
      <c r="K9" s="2792"/>
      <c r="L9" s="2792"/>
      <c r="M9" s="2792"/>
      <c r="N9" s="2792"/>
      <c r="O9" s="2792"/>
      <c r="P9" s="2792"/>
    </row>
    <row r="10" spans="1:16" ht="15.6">
      <c r="A10" s="2609"/>
      <c r="B10" s="2602" t="e">
        <f t="shared" ca="1" si="1"/>
        <v>#REF!</v>
      </c>
      <c r="C10" s="2145" t="s">
        <v>2073</v>
      </c>
      <c r="D10" s="2792"/>
      <c r="E10" s="2612" t="e">
        <f t="shared" ca="1" si="0"/>
        <v>#REF!</v>
      </c>
      <c r="F10" s="2792"/>
      <c r="G10" s="2792"/>
      <c r="H10" s="2792"/>
      <c r="I10" s="2792"/>
      <c r="J10" s="2792"/>
      <c r="K10" s="2792"/>
      <c r="L10" s="2792"/>
      <c r="M10" s="2792"/>
      <c r="N10" s="2792"/>
      <c r="O10" s="2792"/>
      <c r="P10" s="2792"/>
    </row>
    <row r="11" spans="1:16" ht="15.6">
      <c r="A11" s="2609"/>
      <c r="B11" s="2602" t="e">
        <f t="shared" ca="1" si="1"/>
        <v>#REF!</v>
      </c>
      <c r="C11" s="2145" t="s">
        <v>2073</v>
      </c>
      <c r="D11" s="2792"/>
      <c r="E11" s="2612" t="e">
        <f t="shared" ca="1" si="0"/>
        <v>#REF!</v>
      </c>
      <c r="F11" s="2792"/>
      <c r="G11" s="2792"/>
      <c r="H11" s="2792"/>
      <c r="I11" s="2792"/>
      <c r="J11" s="2792"/>
      <c r="K11" s="2792"/>
      <c r="L11" s="2792"/>
      <c r="M11" s="2792"/>
      <c r="N11" s="2792"/>
      <c r="O11" s="2792"/>
      <c r="P11" s="2792"/>
    </row>
    <row r="12" spans="1:16" ht="15.6">
      <c r="A12" s="2609"/>
      <c r="B12" s="2602" t="e">
        <f t="shared" ca="1" si="1"/>
        <v>#REF!</v>
      </c>
      <c r="C12" s="2145" t="s">
        <v>2073</v>
      </c>
      <c r="D12" s="2792"/>
      <c r="E12" s="2612" t="e">
        <f t="shared" ca="1" si="0"/>
        <v>#REF!</v>
      </c>
      <c r="F12" s="2792"/>
      <c r="G12" s="2792"/>
      <c r="H12" s="2792"/>
      <c r="I12" s="2792"/>
      <c r="J12" s="2792"/>
      <c r="K12" s="2792"/>
      <c r="L12" s="2792"/>
      <c r="M12" s="2792"/>
      <c r="N12" s="2792"/>
      <c r="O12" s="2792"/>
      <c r="P12" s="2792"/>
    </row>
    <row r="13" spans="1:16" ht="15.6">
      <c r="A13" s="2609"/>
      <c r="B13" s="2602" t="e">
        <f t="shared" ca="1" si="1"/>
        <v>#REF!</v>
      </c>
      <c r="C13" s="2145" t="s">
        <v>2073</v>
      </c>
      <c r="D13" s="2792"/>
      <c r="E13" s="2612"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t="e">
        <f>C30</f>
        <v>#DIV/0!</v>
      </c>
      <c r="C2" s="1999" t="s">
        <v>1934</v>
      </c>
      <c r="D2" s="2000" t="s">
        <v>1935</v>
      </c>
      <c r="E2" s="3421"/>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0</v>
      </c>
      <c r="T2" s="3360" t="e">
        <f t="shared" ref="T2:T16" si="0">ROUND($C$5*$C$22*$C$23*$C$24*S2*$C$28,0)</f>
        <v>#DIV/0!</v>
      </c>
      <c r="U2" s="1213"/>
      <c r="V2" s="3360" t="e">
        <f>ROUND(T2*U2/10000,0)</f>
        <v>#DIV/0!</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19"/>
      <c r="F3" s="2004"/>
      <c r="G3" s="752">
        <f>IF(F3="宗地容积率",'数据-汇总表'!I4,IF(F3="估价对象容积率",'数据-汇总表'!I6,'数据-汇总表'!I7))</f>
        <v>0</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0</v>
      </c>
      <c r="T3" s="3360" t="e">
        <f t="shared" si="0"/>
        <v>#DIV/0!</v>
      </c>
      <c r="U3" s="1213"/>
      <c r="V3" s="3360" t="e">
        <f t="shared" ref="V3:V16" si="1">ROUND(T3*U3/10000,0)</f>
        <v>#DIV/0!</v>
      </c>
      <c r="W3" s="1216"/>
      <c r="X3" s="1216"/>
      <c r="Y3" s="1216"/>
      <c r="Z3" s="1216"/>
      <c r="AA3" s="1216"/>
      <c r="AB3" s="1216"/>
      <c r="AC3" s="1217"/>
      <c r="AD3" s="1218"/>
      <c r="AE3" s="1218"/>
      <c r="AF3" s="1218"/>
      <c r="AG3" s="1218"/>
      <c r="AH3" s="1218"/>
      <c r="AI3" s="1218"/>
      <c r="AJ3" s="1219"/>
    </row>
    <row r="4" spans="1:36" ht="15.6">
      <c r="A4" s="3755"/>
      <c r="B4" s="3756"/>
      <c r="C4" s="3756"/>
      <c r="D4" s="3757"/>
      <c r="E4" s="3757"/>
      <c r="F4" s="3757"/>
      <c r="G4" s="3757"/>
      <c r="H4" s="3757"/>
      <c r="I4" s="3757"/>
      <c r="J4" s="3758"/>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v>
      </c>
      <c r="T4" s="3360" t="e">
        <f t="shared" si="0"/>
        <v>#DIV/0!</v>
      </c>
      <c r="U4" s="1213"/>
      <c r="V4" s="3360"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v>
      </c>
      <c r="T5" s="3360" t="e">
        <f t="shared" si="0"/>
        <v>#DIV/0!</v>
      </c>
      <c r="U5" s="1213"/>
      <c r="V5" s="3360" t="e">
        <f t="shared" si="1"/>
        <v>#DIV/0!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v>
      </c>
      <c r="T6" s="3360" t="e">
        <f t="shared" si="0"/>
        <v>#DIV/0!</v>
      </c>
      <c r="U6" s="1213"/>
      <c r="V6" s="3360" t="e">
        <f t="shared" si="1"/>
        <v>#DIV/0!</v>
      </c>
      <c r="W6" s="1216"/>
      <c r="X6" s="1216"/>
      <c r="Y6" s="1216"/>
      <c r="Z6" s="1216"/>
      <c r="AA6" s="1216"/>
      <c r="AB6" s="1216"/>
      <c r="AC6" s="2011"/>
      <c r="AD6" s="2012"/>
      <c r="AE6" s="2012"/>
      <c r="AF6" s="2012"/>
      <c r="AG6" s="2012"/>
      <c r="AH6" s="2012"/>
      <c r="AI6" s="2012"/>
      <c r="AJ6" s="2013"/>
    </row>
    <row r="7" spans="1:36" ht="24.6" thickBot="1">
      <c r="A7" s="3303" t="s">
        <v>3240</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8"/>
      <c r="T7" s="3360" t="e">
        <f t="shared" si="0"/>
        <v>#DIV/0!</v>
      </c>
      <c r="U7" s="1213"/>
      <c r="V7" s="3360" t="e">
        <f t="shared" si="1"/>
        <v>#DIV/0!</v>
      </c>
      <c r="W7" s="1358" t="s">
        <v>1954</v>
      </c>
      <c r="X7" s="1214">
        <f>G2</f>
        <v>0</v>
      </c>
      <c r="Y7" s="1214" t="s">
        <v>1955</v>
      </c>
      <c r="Z7" s="1215">
        <f>G3</f>
        <v>0</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t="e">
        <f t="shared" si="0"/>
        <v>#DIV/0!</v>
      </c>
      <c r="U8" s="1213"/>
      <c r="V8" s="3360" t="e">
        <f t="shared" si="1"/>
        <v>#DIV/0!</v>
      </c>
      <c r="W8" s="3752" t="s">
        <v>1959</v>
      </c>
      <c r="X8" s="3753"/>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t="e">
        <f t="shared" si="0"/>
        <v>#DIV/0!</v>
      </c>
      <c r="U9" s="1213"/>
      <c r="V9" s="3360" t="e">
        <f t="shared" si="1"/>
        <v>#DIV/0!</v>
      </c>
      <c r="W9" s="3754"/>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t="e">
        <f t="shared" si="0"/>
        <v>#DIV/0!</v>
      </c>
      <c r="U10" s="1213"/>
      <c r="V10" s="3360" t="e">
        <f t="shared" si="1"/>
        <v>#DIV/0!</v>
      </c>
      <c r="W10" s="3754"/>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t="e">
        <f t="shared" si="0"/>
        <v>#DIV/0!</v>
      </c>
      <c r="U11" s="1213"/>
      <c r="V11" s="3360" t="e">
        <f t="shared" si="1"/>
        <v>#DIV/0!</v>
      </c>
      <c r="W11" s="1216"/>
      <c r="X11" s="1216"/>
      <c r="Y11" s="1216"/>
      <c r="Z11" s="1216"/>
      <c r="AA11" s="1216"/>
      <c r="AB11" s="1216"/>
      <c r="AC11" s="1217"/>
      <c r="AD11" s="2788"/>
      <c r="AE11" s="2788"/>
      <c r="AF11" s="2788"/>
      <c r="AG11" s="2788"/>
      <c r="AH11" s="2788"/>
      <c r="AI11" s="2788"/>
      <c r="AJ11" s="2789"/>
    </row>
    <row r="12" spans="1:36" ht="25.8" thickBot="1">
      <c r="A12" s="3303" t="s">
        <v>3241</v>
      </c>
      <c r="B12" s="3304" t="s">
        <v>3242</v>
      </c>
      <c r="C12" s="3305"/>
      <c r="D12" s="3306" t="s">
        <v>3243</v>
      </c>
      <c r="E12" s="3307" t="s">
        <v>3244</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t="e">
        <f t="shared" si="0"/>
        <v>#DIV/0!</v>
      </c>
      <c r="U12" s="1213"/>
      <c r="V12" s="3360" t="e">
        <f t="shared" si="1"/>
        <v>#DIV/0!</v>
      </c>
      <c r="W12" s="1216"/>
      <c r="X12" s="1216"/>
      <c r="Y12" s="1216"/>
      <c r="Z12" s="1216"/>
      <c r="AA12" s="1216"/>
      <c r="AB12" s="1216"/>
      <c r="AC12" s="1217"/>
      <c r="AD12" s="2788"/>
      <c r="AE12" s="2788"/>
      <c r="AF12" s="2788"/>
      <c r="AG12" s="2788"/>
      <c r="AH12" s="2788"/>
      <c r="AI12" s="2788"/>
      <c r="AJ12" s="2789"/>
    </row>
    <row r="13" spans="1:36" ht="24.6" thickBot="1">
      <c r="A13" s="3303" t="s">
        <v>3245</v>
      </c>
      <c r="B13" s="2034" t="s">
        <v>1981</v>
      </c>
      <c r="C13" s="755">
        <f>ROUND(C16*D16*E16*F16*G16*H16*I16*J16,4)</f>
        <v>0</v>
      </c>
      <c r="D13" s="2035" t="s">
        <v>1982</v>
      </c>
      <c r="E13" s="2036"/>
      <c r="F13" s="2036"/>
      <c r="G13" s="2037"/>
      <c r="H13" s="2037"/>
      <c r="I13" s="2037"/>
      <c r="J13" s="2038"/>
      <c r="K13" s="1119"/>
      <c r="L13" s="3299"/>
      <c r="M13" s="3300"/>
      <c r="N13" s="3301"/>
      <c r="O13" s="1119"/>
      <c r="P13" s="1119"/>
      <c r="Q13" s="1119"/>
      <c r="R13" s="1212">
        <v>12</v>
      </c>
      <c r="S13" s="1213"/>
      <c r="T13" s="3360" t="e">
        <f t="shared" si="0"/>
        <v>#DIV/0!</v>
      </c>
      <c r="U13" s="1213"/>
      <c r="V13" s="3360" t="e">
        <f t="shared" si="1"/>
        <v>#DIV/0!</v>
      </c>
      <c r="W13" s="1216"/>
      <c r="X13" s="1216"/>
      <c r="Y13" s="1216"/>
      <c r="Z13" s="1216"/>
      <c r="AA13" s="1216"/>
      <c r="AB13" s="1216"/>
      <c r="AC13" s="1217"/>
      <c r="AD13" s="2788"/>
      <c r="AE13" s="2788"/>
      <c r="AF13" s="2788"/>
      <c r="AG13" s="2788"/>
      <c r="AH13" s="2788"/>
      <c r="AI13" s="2788"/>
      <c r="AJ13" s="2789"/>
    </row>
    <row r="14" spans="1:36" ht="24">
      <c r="A14" s="3297"/>
      <c r="B14" s="2040" t="s">
        <v>1984</v>
      </c>
      <c r="C14" s="2041" t="s">
        <v>1985</v>
      </c>
      <c r="D14" s="1350" t="s">
        <v>1986</v>
      </c>
      <c r="E14" s="27" t="s">
        <v>1987</v>
      </c>
      <c r="F14" s="3311" t="s">
        <v>3246</v>
      </c>
      <c r="G14" s="3311" t="s">
        <v>3246</v>
      </c>
      <c r="H14" s="3311" t="s">
        <v>3246</v>
      </c>
      <c r="I14" s="3311" t="s">
        <v>3246</v>
      </c>
      <c r="J14" s="3311" t="s">
        <v>3246</v>
      </c>
      <c r="K14" s="1119"/>
      <c r="L14" s="1119"/>
      <c r="M14" s="1119"/>
      <c r="N14" s="1119"/>
      <c r="O14" s="1119"/>
      <c r="P14" s="1119"/>
      <c r="Q14" s="1119"/>
      <c r="R14" s="1212">
        <v>13</v>
      </c>
      <c r="S14" s="1213"/>
      <c r="T14" s="3360" t="e">
        <f t="shared" si="0"/>
        <v>#DIV/0!</v>
      </c>
      <c r="U14" s="1213"/>
      <c r="V14" s="3360" t="e">
        <f t="shared" si="1"/>
        <v>#DIV/0!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3247</v>
      </c>
      <c r="G15" s="3313"/>
      <c r="H15" s="3314"/>
      <c r="I15" s="3315"/>
      <c r="J15" s="3316"/>
      <c r="K15" s="1119"/>
      <c r="L15" s="1119"/>
      <c r="M15" s="1119"/>
      <c r="N15" s="1119"/>
      <c r="O15" s="1119"/>
      <c r="P15" s="1119"/>
      <c r="Q15" s="1119"/>
      <c r="R15" s="1212">
        <v>14</v>
      </c>
      <c r="S15" s="1213"/>
      <c r="T15" s="3360" t="e">
        <f t="shared" si="0"/>
        <v>#DIV/0!</v>
      </c>
      <c r="U15" s="1213"/>
      <c r="V15" s="3360" t="e">
        <f t="shared" si="1"/>
        <v>#DIV/0!</v>
      </c>
      <c r="W15" s="1216"/>
      <c r="X15" s="1216"/>
      <c r="Y15" s="1216"/>
      <c r="Z15" s="1216"/>
      <c r="AA15" s="1216"/>
      <c r="AB15" s="1216"/>
      <c r="AC15" s="1217"/>
      <c r="AD15" s="2788"/>
      <c r="AE15" s="2788"/>
      <c r="AF15" s="2788"/>
      <c r="AG15" s="2788"/>
      <c r="AH15" s="2788"/>
      <c r="AI15" s="2788"/>
      <c r="AJ15" s="2789"/>
    </row>
    <row r="16" spans="1:36" ht="15.6" thickBot="1">
      <c r="A16" s="3297"/>
      <c r="B16" s="3319" t="s">
        <v>1988</v>
      </c>
      <c r="C16" s="3317"/>
      <c r="D16" s="3317"/>
      <c r="E16" s="3317"/>
      <c r="F16" s="3317">
        <v>1</v>
      </c>
      <c r="G16" s="3317">
        <v>1</v>
      </c>
      <c r="H16" s="3317">
        <v>1</v>
      </c>
      <c r="I16" s="3317">
        <v>1</v>
      </c>
      <c r="J16" s="3318">
        <v>1</v>
      </c>
      <c r="K16" s="1119"/>
      <c r="L16" s="1997"/>
      <c r="M16" s="1997"/>
      <c r="N16" s="1997"/>
      <c r="O16" s="1997"/>
      <c r="P16" s="1997"/>
      <c r="Q16" s="1119"/>
      <c r="R16" s="1212">
        <v>15</v>
      </c>
      <c r="S16" s="1213"/>
      <c r="T16" s="3360" t="e">
        <f t="shared" si="0"/>
        <v>#DIV/0!</v>
      </c>
      <c r="U16" s="1213"/>
      <c r="V16" s="3360" t="e">
        <f t="shared" si="1"/>
        <v>#DIV/0!</v>
      </c>
      <c r="W16" s="1216"/>
      <c r="X16" s="1216"/>
      <c r="Y16" s="1216"/>
      <c r="Z16" s="1216"/>
      <c r="AA16" s="1216"/>
      <c r="AB16" s="1216"/>
      <c r="AC16" s="1217"/>
      <c r="AD16" s="2788"/>
      <c r="AE16" s="2788"/>
      <c r="AF16" s="2788"/>
      <c r="AG16" s="2788"/>
      <c r="AH16" s="2788"/>
      <c r="AI16" s="2788"/>
      <c r="AJ16" s="2789"/>
    </row>
    <row r="17" spans="1:37" ht="24">
      <c r="A17" s="3329" t="s">
        <v>3248</v>
      </c>
      <c r="B17" s="3320" t="s">
        <v>3249</v>
      </c>
      <c r="C17" s="3330">
        <f>ROUND(IF(OR(E2="工业",E2="公共服务"),1,IF(AND(E18=0,E19=0),1,IF(AND(E18=J24,E19=G19),0.8,IF(E19=0,1+E17*(-0.2),1+E17*G17*(-0.2))))),4)</f>
        <v>1</v>
      </c>
      <c r="D17" s="3321" t="s">
        <v>3250</v>
      </c>
      <c r="E17" s="3330" t="e">
        <f>ROUND(G18/I18,2)</f>
        <v>#DIV/0!</v>
      </c>
      <c r="F17" s="3321" t="s">
        <v>3253</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3251</v>
      </c>
      <c r="E18" s="3328"/>
      <c r="F18" s="3323" t="s">
        <v>3254</v>
      </c>
      <c r="G18" s="3327">
        <f>ROUND(1-(1/(POWER(1+G24,E18))),4)</f>
        <v>0</v>
      </c>
      <c r="H18" s="3323" t="s">
        <v>3256</v>
      </c>
      <c r="I18" s="3327">
        <f>ROUND(1-(1/(POWER(1+G24,J24))),4)</f>
        <v>0</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3252</v>
      </c>
      <c r="E19" s="3337"/>
      <c r="F19" s="3338" t="s">
        <v>3255</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59" t="s">
        <v>3257</v>
      </c>
      <c r="B20" s="167" t="s">
        <v>1993</v>
      </c>
      <c r="C20" s="3324" t="e">
        <f>ROUND(IF(F21="与级别开发程度一致",0,(G21-E21)/C21),0)</f>
        <v>#DIV/0!</v>
      </c>
      <c r="D20" s="3340" t="s">
        <v>1997</v>
      </c>
      <c r="E20" s="3341"/>
      <c r="F20" s="3765" t="s">
        <v>1994</v>
      </c>
      <c r="G20" s="3766"/>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4.4" thickBot="1">
      <c r="A21" s="3760"/>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1999</v>
      </c>
      <c r="C22" s="2160">
        <f>SUMIF(修正!C20:C51,E3,修正!E20:E51)</f>
        <v>0</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2001</v>
      </c>
      <c r="E23" s="761">
        <v>44197</v>
      </c>
      <c r="F23" s="2054" t="s">
        <v>2002</v>
      </c>
      <c r="G23" s="762">
        <f>'数据-取费表'!B2</f>
        <v>45274</v>
      </c>
      <c r="H23" s="3342" t="s">
        <v>3259</v>
      </c>
      <c r="I23" s="3343" t="str">
        <f>IF(H23="季度增幅（自定义）",SUMIF(N25:N28,E2,O25:O28),"")</f>
        <v/>
      </c>
      <c r="J23" s="3445" t="s">
        <v>3258</v>
      </c>
      <c r="K23" s="1125"/>
      <c r="L23" s="2055" t="s">
        <v>2003</v>
      </c>
      <c r="M23" s="1328">
        <f>ROUND(SUMIF(地价!B2:G2,E2,地价!B16:G16),0)</f>
        <v>0</v>
      </c>
      <c r="N23" s="2056" t="s">
        <v>2004</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t="e">
        <f>ROUND(POWER(1+G24,J24-I24)*(POWER(1+G24,I24)-1)/(POWER(1+G24,J24)-1),4)</f>
        <v>#DIV/0!</v>
      </c>
      <c r="D24" s="2060" t="s">
        <v>2006</v>
      </c>
      <c r="E24" s="1335">
        <f>存贷款利率!E24/100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3338</v>
      </c>
      <c r="C25" s="771">
        <f>IF(B25="容积率修正",IF(G3&lt;10,D26,J26),C27)</f>
        <v>0</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4"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0</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t="e">
        <f>IF(B25="容积率修正",E33+SUM(E37:E42),SUM(V2:V16)+SUM(E37:E42))</f>
        <v>#DIV/0!</v>
      </c>
      <c r="D30" s="2083"/>
      <c r="E30" s="2046"/>
      <c r="F30" s="2084"/>
      <c r="G30" s="2046"/>
      <c r="H30" s="2046"/>
      <c r="I30" s="2046"/>
      <c r="J30" s="2085"/>
      <c r="K30" s="1119"/>
      <c r="L30" s="3350" t="s">
        <v>1935</v>
      </c>
      <c r="M30" s="3351" t="s">
        <v>1989</v>
      </c>
      <c r="N30" s="3351" t="s">
        <v>1990</v>
      </c>
      <c r="O30" s="3351" t="s">
        <v>1991</v>
      </c>
      <c r="P30" s="3351" t="s">
        <v>1992</v>
      </c>
      <c r="Q30" s="3354"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t="e">
        <f>E34+SUM(I37:I42)</f>
        <v>#DIV/0!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3" t="s">
        <v>1998</v>
      </c>
      <c r="M32" s="2570">
        <f>ROUND($E$24*(1+M31),3)</f>
        <v>5.3999999999999999E-2</v>
      </c>
      <c r="N32" s="2570">
        <f>ROUND($E$24*(1+N31),3)</f>
        <v>5.1999999999999998E-2</v>
      </c>
      <c r="O32" s="2570">
        <f>ROUND($E$24*(1+O31),3)</f>
        <v>0.05</v>
      </c>
      <c r="P32" s="2570">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t="e">
        <f>ROUND(C5*C22*C23*C24*C25*C28,0)</f>
        <v>#DIV/0!</v>
      </c>
      <c r="D33" s="2098"/>
      <c r="E33" s="773" t="e">
        <f>ROUND(C33*D33/10000,0)</f>
        <v>#DIV/0!</v>
      </c>
      <c r="F33" s="3345" t="s">
        <v>3263</v>
      </c>
      <c r="G33" s="2099"/>
      <c r="H33" s="2099"/>
      <c r="I33" s="2099"/>
      <c r="J33" s="2100"/>
      <c r="K33" s="1119"/>
      <c r="L33" s="3348" t="s">
        <v>3266</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8" t="s">
        <v>3267</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3264</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63"/>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4"/>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64"/>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9" t="s">
        <v>3270</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8" t="s">
        <v>3272</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3272</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3272</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2059</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2056</v>
      </c>
      <c r="B78" s="2136" t="s">
        <v>2057</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2067</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1721</v>
      </c>
      <c r="K82" s="552" t="s">
        <v>1722</v>
      </c>
      <c r="L82" s="552" t="s">
        <v>1723</v>
      </c>
      <c r="M82" s="552" t="s">
        <v>1724</v>
      </c>
      <c r="N82" s="552" t="s">
        <v>1725</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3273</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2066</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2058</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2059</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2056</v>
      </c>
      <c r="B89" s="2136" t="s">
        <v>2070</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2615</v>
      </c>
      <c r="B91" s="3377">
        <f>1+E93</f>
        <v>1</v>
      </c>
      <c r="C91" s="3370"/>
      <c r="D91" s="3371"/>
      <c r="E91" s="1814"/>
      <c r="F91" s="1814"/>
      <c r="G91" s="3372"/>
      <c r="H91" s="3373"/>
      <c r="I91" s="3374"/>
      <c r="J91" s="3375"/>
      <c r="K91" s="3375"/>
      <c r="L91" s="3375"/>
      <c r="M91" s="3375"/>
      <c r="N91" s="3375"/>
    </row>
    <row r="92" spans="1:37" ht="25.2">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3276</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3272</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3277</v>
      </c>
      <c r="B96" s="3384" t="s">
        <v>3288</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3279</v>
      </c>
      <c r="B98" s="3385" t="s">
        <v>3289</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3280</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3281</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3282</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1" t="s">
        <v>3297</v>
      </c>
      <c r="B103" s="3761"/>
      <c r="C103" s="3761"/>
      <c r="D103" s="3761"/>
      <c r="E103" s="3761"/>
      <c r="F103" s="3761"/>
      <c r="G103" s="3761"/>
      <c r="H103" s="3761"/>
      <c r="I103" s="3761"/>
      <c r="J103" s="3761"/>
      <c r="K103" s="3389"/>
      <c r="L103" s="3389"/>
      <c r="M103" s="3389"/>
      <c r="N103" s="3389"/>
    </row>
    <row r="104" spans="1:14">
      <c r="A104" s="3762" t="s">
        <v>3298</v>
      </c>
      <c r="B104" s="3762" t="s">
        <v>3299</v>
      </c>
      <c r="C104" s="3390" t="s">
        <v>3300</v>
      </c>
      <c r="D104" s="3391"/>
      <c r="E104" s="3391"/>
      <c r="F104" s="3391"/>
      <c r="G104" s="3391"/>
      <c r="H104" s="3391"/>
      <c r="I104" s="3391"/>
      <c r="J104" s="3392"/>
      <c r="K104" s="3393"/>
      <c r="L104" s="3393"/>
      <c r="M104" s="3393"/>
      <c r="N104" s="3393"/>
    </row>
    <row r="105" spans="1:14">
      <c r="A105" s="3762"/>
      <c r="B105" s="3762"/>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48"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9"/>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9"/>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9"/>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9"/>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9"/>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0"/>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1" t="s">
        <v>3314</v>
      </c>
      <c r="B113" s="3751"/>
      <c r="C113" s="3751"/>
      <c r="D113" s="3751"/>
      <c r="E113" s="3751"/>
      <c r="F113" s="3751"/>
      <c r="G113" s="3751"/>
      <c r="H113" s="3751"/>
      <c r="I113" s="3751"/>
      <c r="J113" s="3751"/>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3315</v>
      </c>
      <c r="B116" s="3415">
        <f>G3</f>
        <v>0</v>
      </c>
      <c r="C116" s="3399" t="s">
        <v>3316</v>
      </c>
      <c r="D116" s="3400">
        <f>SUMPRODUCT((A118:A122=F116)*(B117:M117=H116)*B118:M122)</f>
        <v>0</v>
      </c>
      <c r="E116" s="2000" t="s">
        <v>3317</v>
      </c>
      <c r="F116" s="3401">
        <f>E2</f>
        <v>0</v>
      </c>
      <c r="G116" s="2000" t="s">
        <v>3318</v>
      </c>
      <c r="H116" s="3401">
        <f>G2</f>
        <v>0</v>
      </c>
      <c r="I116" s="2000"/>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3332</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3333</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3334</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4" t="s">
        <v>2610</v>
      </c>
      <c r="B20" s="3767" t="s">
        <v>2631</v>
      </c>
      <c r="C20" s="3102" t="s">
        <v>2442</v>
      </c>
      <c r="D20" s="3103"/>
      <c r="E20" s="3104">
        <v>1</v>
      </c>
      <c r="F20" s="3105" t="s">
        <v>2443</v>
      </c>
      <c r="G20" s="3105"/>
    </row>
    <row r="21" spans="1:13" ht="19.5" customHeight="1">
      <c r="A21" s="3775"/>
      <c r="B21" s="3768"/>
      <c r="C21" s="3106" t="s">
        <v>2444</v>
      </c>
      <c r="D21" s="3107"/>
      <c r="E21" s="3108">
        <v>1</v>
      </c>
      <c r="F21" s="3105" t="s">
        <v>2445</v>
      </c>
      <c r="G21" s="3105"/>
    </row>
    <row r="22" spans="1:13" ht="19.5" customHeight="1">
      <c r="A22" s="3775"/>
      <c r="B22" s="3768"/>
      <c r="C22" s="3106" t="s">
        <v>2446</v>
      </c>
      <c r="D22" s="3107"/>
      <c r="E22" s="3108">
        <v>0.9</v>
      </c>
      <c r="F22" s="3105" t="s">
        <v>2447</v>
      </c>
      <c r="G22" s="3105"/>
    </row>
    <row r="23" spans="1:13" ht="19.5" customHeight="1">
      <c r="A23" s="3775"/>
      <c r="B23" s="3768"/>
      <c r="C23" s="3106" t="s">
        <v>2448</v>
      </c>
      <c r="D23" s="3107"/>
      <c r="E23" s="3108">
        <v>0.9</v>
      </c>
      <c r="F23" s="3105" t="s">
        <v>2449</v>
      </c>
      <c r="G23" s="3105"/>
    </row>
    <row r="24" spans="1:13" ht="19.5" customHeight="1">
      <c r="A24" s="3775"/>
      <c r="B24" s="3768"/>
      <c r="C24" s="3106" t="s">
        <v>2450</v>
      </c>
      <c r="D24" s="3107"/>
      <c r="E24" s="3108">
        <v>0.8</v>
      </c>
      <c r="F24" s="3105" t="s">
        <v>2451</v>
      </c>
      <c r="G24" s="3105"/>
    </row>
    <row r="25" spans="1:13" ht="19.5" customHeight="1" thickBot="1">
      <c r="A25" s="3776"/>
      <c r="B25" s="3769"/>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0" t="s">
        <v>2634</v>
      </c>
      <c r="B27" s="3767" t="s">
        <v>2615</v>
      </c>
      <c r="C27" s="3102" t="s">
        <v>2455</v>
      </c>
      <c r="D27" s="3103"/>
      <c r="E27" s="3104">
        <v>1</v>
      </c>
      <c r="F27" s="3105" t="s">
        <v>2456</v>
      </c>
      <c r="G27" s="3105"/>
    </row>
    <row r="28" spans="1:13" ht="19.5" customHeight="1">
      <c r="A28" s="3771"/>
      <c r="B28" s="3768"/>
      <c r="C28" s="3106" t="s">
        <v>2457</v>
      </c>
      <c r="D28" s="3107"/>
      <c r="E28" s="3108">
        <v>1</v>
      </c>
      <c r="F28" s="3105" t="s">
        <v>2458</v>
      </c>
      <c r="G28" s="3105"/>
    </row>
    <row r="29" spans="1:13" ht="19.5" customHeight="1">
      <c r="A29" s="3771"/>
      <c r="B29" s="3768"/>
      <c r="C29" s="3106" t="s">
        <v>2459</v>
      </c>
      <c r="D29" s="3107"/>
      <c r="E29" s="3108">
        <v>0.8</v>
      </c>
      <c r="F29" s="3105" t="s">
        <v>2460</v>
      </c>
      <c r="G29" s="3105"/>
    </row>
    <row r="30" spans="1:13" ht="19.5" customHeight="1">
      <c r="A30" s="3771"/>
      <c r="B30" s="3768"/>
      <c r="C30" s="3106" t="s">
        <v>2461</v>
      </c>
      <c r="D30" s="3107"/>
      <c r="E30" s="3108">
        <v>0.8</v>
      </c>
      <c r="F30" s="3105" t="s">
        <v>2462</v>
      </c>
      <c r="G30" s="3105"/>
    </row>
    <row r="31" spans="1:13" ht="19.5" customHeight="1">
      <c r="A31" s="3771"/>
      <c r="B31" s="3768"/>
      <c r="C31" s="3106" t="s">
        <v>2463</v>
      </c>
      <c r="D31" s="3107"/>
      <c r="E31" s="3108">
        <v>0.8</v>
      </c>
      <c r="F31" s="3105" t="s">
        <v>2464</v>
      </c>
      <c r="G31" s="3105"/>
    </row>
    <row r="32" spans="1:13" ht="19.5" customHeight="1">
      <c r="A32" s="3771"/>
      <c r="B32" s="3768"/>
      <c r="C32" s="3106" t="s">
        <v>2465</v>
      </c>
      <c r="D32" s="3107"/>
      <c r="E32" s="3108">
        <v>0.7</v>
      </c>
      <c r="F32" s="3105" t="s">
        <v>2466</v>
      </c>
      <c r="G32" s="3105"/>
    </row>
    <row r="33" spans="1:7" ht="19.5" customHeight="1">
      <c r="A33" s="3771"/>
      <c r="B33" s="3768"/>
      <c r="C33" s="3106" t="s">
        <v>2467</v>
      </c>
      <c r="D33" s="3107"/>
      <c r="E33" s="3108">
        <v>0.8</v>
      </c>
      <c r="F33" s="3105" t="s">
        <v>2468</v>
      </c>
      <c r="G33" s="3105"/>
    </row>
    <row r="34" spans="1:7" ht="19.5" customHeight="1">
      <c r="A34" s="3771"/>
      <c r="B34" s="3768"/>
      <c r="C34" s="3106" t="s">
        <v>2469</v>
      </c>
      <c r="D34" s="3107"/>
      <c r="E34" s="3108">
        <v>0.6</v>
      </c>
      <c r="F34" s="3105" t="s">
        <v>2470</v>
      </c>
      <c r="G34" s="3105"/>
    </row>
    <row r="35" spans="1:7" ht="19.5" customHeight="1">
      <c r="A35" s="3771"/>
      <c r="B35" s="3768"/>
      <c r="C35" s="3106" t="s">
        <v>2471</v>
      </c>
      <c r="D35" s="3107"/>
      <c r="E35" s="3108">
        <v>0.2</v>
      </c>
      <c r="F35" s="3105" t="s">
        <v>2472</v>
      </c>
      <c r="G35" s="3105"/>
    </row>
    <row r="36" spans="1:7" ht="19.5" customHeight="1">
      <c r="A36" s="3771"/>
      <c r="B36" s="3768"/>
      <c r="C36" s="3106" t="s">
        <v>2473</v>
      </c>
      <c r="D36" s="3107"/>
      <c r="E36" s="3108">
        <v>0.2</v>
      </c>
      <c r="F36" s="3105" t="s">
        <v>2474</v>
      </c>
      <c r="G36" s="3105"/>
    </row>
    <row r="37" spans="1:7" ht="19.5" customHeight="1">
      <c r="A37" s="3771"/>
      <c r="B37" s="3773" t="s">
        <v>2635</v>
      </c>
      <c r="C37" s="3106" t="s">
        <v>2475</v>
      </c>
      <c r="D37" s="3107"/>
      <c r="E37" s="3108">
        <v>0.6</v>
      </c>
      <c r="F37" s="3105" t="s">
        <v>2476</v>
      </c>
      <c r="G37" s="3105"/>
    </row>
    <row r="38" spans="1:7" ht="19.5" customHeight="1">
      <c r="A38" s="3771"/>
      <c r="B38" s="3768"/>
      <c r="C38" s="3106" t="s">
        <v>2477</v>
      </c>
      <c r="D38" s="3107"/>
      <c r="E38" s="3108">
        <v>0.6</v>
      </c>
      <c r="F38" s="3105" t="s">
        <v>2478</v>
      </c>
      <c r="G38" s="3105"/>
    </row>
    <row r="39" spans="1:7" ht="19.5" customHeight="1" thickBot="1">
      <c r="A39" s="3772"/>
      <c r="B39" s="3769"/>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4" t="s">
        <v>2613</v>
      </c>
      <c r="B41" s="3767" t="s">
        <v>2637</v>
      </c>
      <c r="C41" s="3102" t="s">
        <v>2482</v>
      </c>
      <c r="D41" s="3103"/>
      <c r="E41" s="3104">
        <v>1</v>
      </c>
      <c r="F41" s="3105" t="s">
        <v>2483</v>
      </c>
      <c r="G41" s="3105"/>
    </row>
    <row r="42" spans="1:7" ht="19.5" customHeight="1">
      <c r="A42" s="3775"/>
      <c r="B42" s="3768"/>
      <c r="C42" s="3106" t="s">
        <v>2484</v>
      </c>
      <c r="D42" s="3107"/>
      <c r="E42" s="3108">
        <v>1</v>
      </c>
      <c r="F42" s="3105" t="s">
        <v>2485</v>
      </c>
      <c r="G42" s="3105"/>
    </row>
    <row r="43" spans="1:7" ht="19.5" customHeight="1">
      <c r="A43" s="3775"/>
      <c r="B43" s="3777"/>
      <c r="C43" s="3106" t="s">
        <v>2486</v>
      </c>
      <c r="D43" s="3107"/>
      <c r="E43" s="3108">
        <v>1.5</v>
      </c>
      <c r="F43" s="3105" t="s">
        <v>2487</v>
      </c>
      <c r="G43" s="3105"/>
    </row>
    <row r="44" spans="1:7" ht="19.5" customHeight="1">
      <c r="A44" s="3775"/>
      <c r="B44" s="3117" t="s">
        <v>2638</v>
      </c>
      <c r="C44" s="3106" t="s">
        <v>2639</v>
      </c>
      <c r="D44" s="3107"/>
      <c r="E44" s="3108">
        <v>2</v>
      </c>
      <c r="F44" s="3105" t="s">
        <v>2488</v>
      </c>
      <c r="G44" s="3105"/>
    </row>
    <row r="45" spans="1:7" ht="19.5" customHeight="1">
      <c r="A45" s="3775"/>
      <c r="B45" s="3773" t="s">
        <v>2640</v>
      </c>
      <c r="C45" s="3106" t="s">
        <v>2489</v>
      </c>
      <c r="D45" s="3107"/>
      <c r="E45" s="3108">
        <v>1</v>
      </c>
      <c r="F45" s="3105" t="s">
        <v>2490</v>
      </c>
      <c r="G45" s="3105"/>
    </row>
    <row r="46" spans="1:7" ht="19.5" customHeight="1">
      <c r="A46" s="3775"/>
      <c r="B46" s="3768"/>
      <c r="C46" s="3106" t="s">
        <v>2491</v>
      </c>
      <c r="D46" s="3107"/>
      <c r="E46" s="3108">
        <v>1</v>
      </c>
      <c r="F46" s="3105" t="s">
        <v>2492</v>
      </c>
      <c r="G46" s="3105"/>
    </row>
    <row r="47" spans="1:7" ht="19.5" customHeight="1">
      <c r="A47" s="3775"/>
      <c r="B47" s="3768"/>
      <c r="C47" s="3106" t="s">
        <v>2493</v>
      </c>
      <c r="D47" s="3107"/>
      <c r="E47" s="3108">
        <v>1</v>
      </c>
      <c r="F47" s="3105" t="s">
        <v>2494</v>
      </c>
      <c r="G47" s="3105"/>
    </row>
    <row r="48" spans="1:7" ht="19.5" customHeight="1">
      <c r="A48" s="3775"/>
      <c r="B48" s="3768"/>
      <c r="C48" s="3106" t="s">
        <v>2495</v>
      </c>
      <c r="D48" s="3107"/>
      <c r="E48" s="3108">
        <v>1</v>
      </c>
      <c r="F48" s="3105" t="s">
        <v>2496</v>
      </c>
      <c r="G48" s="3105"/>
    </row>
    <row r="49" spans="1:7" ht="19.5" customHeight="1">
      <c r="A49" s="3775"/>
      <c r="B49" s="3768"/>
      <c r="C49" s="3106" t="s">
        <v>2497</v>
      </c>
      <c r="D49" s="3107"/>
      <c r="E49" s="3108">
        <v>1</v>
      </c>
      <c r="F49" s="3105" t="s">
        <v>2498</v>
      </c>
      <c r="G49" s="3105"/>
    </row>
    <row r="50" spans="1:7" ht="19.5" customHeight="1">
      <c r="A50" s="3775"/>
      <c r="B50" s="3768"/>
      <c r="C50" s="3106" t="s">
        <v>2499</v>
      </c>
      <c r="D50" s="3107"/>
      <c r="E50" s="3108">
        <v>1</v>
      </c>
      <c r="F50" s="3105" t="s">
        <v>2500</v>
      </c>
      <c r="G50" s="3105"/>
    </row>
    <row r="51" spans="1:7" ht="19.5" customHeight="1" thickBot="1">
      <c r="A51" s="3776"/>
      <c r="B51" s="3769"/>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4.4">
      <c r="A72" s="3117"/>
      <c r="B72" s="3117"/>
      <c r="C72" s="3117" t="s">
        <v>2653</v>
      </c>
      <c r="D72" s="3117"/>
      <c r="E72" s="3117" t="s">
        <v>2624</v>
      </c>
      <c r="F72" s="3117" t="s">
        <v>2624</v>
      </c>
    </row>
    <row r="73" spans="1:7" ht="14.4">
      <c r="A73" s="3117">
        <v>1</v>
      </c>
      <c r="B73" s="3773" t="s">
        <v>2654</v>
      </c>
      <c r="C73" s="3091" t="s">
        <v>2655</v>
      </c>
      <c r="D73" s="3091" t="s">
        <v>2656</v>
      </c>
      <c r="E73" s="3117">
        <v>0.2</v>
      </c>
      <c r="F73" s="3117">
        <v>25</v>
      </c>
    </row>
    <row r="74" spans="1:7" ht="24">
      <c r="A74" s="3117">
        <v>2</v>
      </c>
      <c r="B74" s="3768"/>
      <c r="C74" s="3091" t="s">
        <v>2657</v>
      </c>
      <c r="D74" s="3091" t="s">
        <v>2658</v>
      </c>
      <c r="E74" s="3117">
        <v>0.2</v>
      </c>
      <c r="F74" s="3117">
        <v>25</v>
      </c>
    </row>
    <row r="75" spans="1:7" ht="24">
      <c r="A75" s="3117">
        <v>3</v>
      </c>
      <c r="B75" s="3768"/>
      <c r="C75" s="3091" t="s">
        <v>2659</v>
      </c>
      <c r="D75" s="3091" t="s">
        <v>2660</v>
      </c>
      <c r="E75" s="3117">
        <v>0.2</v>
      </c>
      <c r="F75" s="3117">
        <v>25</v>
      </c>
    </row>
    <row r="76" spans="1:7" ht="14.4">
      <c r="A76" s="3117">
        <v>4</v>
      </c>
      <c r="B76" s="3768"/>
      <c r="C76" s="3091" t="s">
        <v>2661</v>
      </c>
      <c r="D76" s="3091" t="s">
        <v>2662</v>
      </c>
      <c r="E76" s="3117">
        <v>0.15</v>
      </c>
      <c r="F76" s="3117">
        <v>20</v>
      </c>
    </row>
    <row r="77" spans="1:7" ht="24">
      <c r="A77" s="3117">
        <v>5</v>
      </c>
      <c r="B77" s="3768"/>
      <c r="C77" s="3091" t="s">
        <v>2663</v>
      </c>
      <c r="D77" s="3091" t="s">
        <v>2664</v>
      </c>
      <c r="E77" s="3117">
        <v>0.15</v>
      </c>
      <c r="F77" s="3117">
        <v>20</v>
      </c>
    </row>
    <row r="78" spans="1:7" ht="24">
      <c r="A78" s="3117">
        <v>6</v>
      </c>
      <c r="B78" s="3768"/>
      <c r="C78" s="3091" t="s">
        <v>2665</v>
      </c>
      <c r="D78" s="3091" t="s">
        <v>2666</v>
      </c>
      <c r="E78" s="3117">
        <v>0.15</v>
      </c>
      <c r="F78" s="3117">
        <v>20</v>
      </c>
    </row>
    <row r="79" spans="1:7" ht="24">
      <c r="A79" s="3117">
        <v>7</v>
      </c>
      <c r="B79" s="3768"/>
      <c r="C79" s="3091" t="s">
        <v>2667</v>
      </c>
      <c r="D79" s="3091" t="s">
        <v>2668</v>
      </c>
      <c r="E79" s="3117">
        <v>0.15</v>
      </c>
      <c r="F79" s="3117">
        <v>20</v>
      </c>
    </row>
    <row r="80" spans="1:7" ht="24">
      <c r="A80" s="3117">
        <v>8</v>
      </c>
      <c r="B80" s="3768"/>
      <c r="C80" s="3091" t="s">
        <v>2669</v>
      </c>
      <c r="D80" s="3091" t="s">
        <v>2670</v>
      </c>
      <c r="E80" s="3117">
        <v>0.1</v>
      </c>
      <c r="F80" s="3117">
        <v>15</v>
      </c>
    </row>
    <row r="81" spans="1:6" ht="24">
      <c r="A81" s="3117">
        <v>9</v>
      </c>
      <c r="B81" s="3768"/>
      <c r="C81" s="3091" t="s">
        <v>2671</v>
      </c>
      <c r="D81" s="3091" t="s">
        <v>2672</v>
      </c>
      <c r="E81" s="3117">
        <v>0.1</v>
      </c>
      <c r="F81" s="3117">
        <v>15</v>
      </c>
    </row>
    <row r="82" spans="1:6" ht="24">
      <c r="A82" s="3117">
        <v>10</v>
      </c>
      <c r="B82" s="3768"/>
      <c r="C82" s="3091" t="s">
        <v>2673</v>
      </c>
      <c r="D82" s="3091" t="s">
        <v>2674</v>
      </c>
      <c r="E82" s="3117">
        <v>0.1</v>
      </c>
      <c r="F82" s="3117">
        <v>15</v>
      </c>
    </row>
    <row r="83" spans="1:6" ht="24">
      <c r="A83" s="3117">
        <v>11</v>
      </c>
      <c r="B83" s="3768"/>
      <c r="C83" s="3091" t="s">
        <v>2675</v>
      </c>
      <c r="D83" s="3091" t="s">
        <v>2676</v>
      </c>
      <c r="E83" s="3117">
        <v>0.1</v>
      </c>
      <c r="F83" s="3117">
        <v>15</v>
      </c>
    </row>
    <row r="84" spans="1:6" ht="24">
      <c r="A84" s="3117">
        <v>12</v>
      </c>
      <c r="B84" s="3768"/>
      <c r="C84" s="3091" t="s">
        <v>2677</v>
      </c>
      <c r="D84" s="3091" t="s">
        <v>2678</v>
      </c>
      <c r="E84" s="3117">
        <v>0.1</v>
      </c>
      <c r="F84" s="3117">
        <v>15</v>
      </c>
    </row>
    <row r="85" spans="1:6" ht="24">
      <c r="A85" s="3117">
        <v>13</v>
      </c>
      <c r="B85" s="3768"/>
      <c r="C85" s="3091" t="s">
        <v>2679</v>
      </c>
      <c r="D85" s="3091" t="s">
        <v>2680</v>
      </c>
      <c r="E85" s="3117">
        <v>0.1</v>
      </c>
      <c r="F85" s="3117">
        <v>15</v>
      </c>
    </row>
    <row r="86" spans="1:6" ht="24">
      <c r="A86" s="3117">
        <v>14</v>
      </c>
      <c r="B86" s="3768"/>
      <c r="C86" s="3091" t="s">
        <v>2681</v>
      </c>
      <c r="D86" s="3091" t="s">
        <v>2682</v>
      </c>
      <c r="E86" s="3117">
        <v>0.1</v>
      </c>
      <c r="F86" s="3117">
        <v>15</v>
      </c>
    </row>
    <row r="87" spans="1:6" ht="24">
      <c r="A87" s="3117">
        <v>15</v>
      </c>
      <c r="B87" s="3768"/>
      <c r="C87" s="3091" t="s">
        <v>2683</v>
      </c>
      <c r="D87" s="3091" t="s">
        <v>2684</v>
      </c>
      <c r="E87" s="3117">
        <v>0.1</v>
      </c>
      <c r="F87" s="3117">
        <v>15</v>
      </c>
    </row>
    <row r="88" spans="1:6" ht="24">
      <c r="A88" s="3117">
        <v>16</v>
      </c>
      <c r="B88" s="3768"/>
      <c r="C88" s="3091" t="s">
        <v>2685</v>
      </c>
      <c r="D88" s="3091" t="s">
        <v>2686</v>
      </c>
      <c r="E88" s="3117">
        <v>0.1</v>
      </c>
      <c r="F88" s="3117">
        <v>15</v>
      </c>
    </row>
    <row r="89" spans="1:6" ht="24">
      <c r="A89" s="3117">
        <v>17</v>
      </c>
      <c r="B89" s="3777"/>
      <c r="C89" s="3091" t="s">
        <v>2687</v>
      </c>
      <c r="D89" s="3091" t="s">
        <v>2688</v>
      </c>
      <c r="E89" s="3117">
        <v>0.1</v>
      </c>
      <c r="F89" s="3117">
        <v>15</v>
      </c>
    </row>
    <row r="90" spans="1:6" ht="14.4">
      <c r="A90" s="3117">
        <v>18</v>
      </c>
      <c r="B90" s="3773" t="s">
        <v>2689</v>
      </c>
      <c r="C90" s="3091" t="s">
        <v>2690</v>
      </c>
      <c r="D90" s="3091" t="s">
        <v>2691</v>
      </c>
      <c r="E90" s="3117">
        <v>0.2</v>
      </c>
      <c r="F90" s="3117">
        <v>25</v>
      </c>
    </row>
    <row r="91" spans="1:6" ht="24">
      <c r="A91" s="3117">
        <v>19</v>
      </c>
      <c r="B91" s="3768"/>
      <c r="C91" s="3091" t="s">
        <v>2692</v>
      </c>
      <c r="D91" s="3091" t="s">
        <v>2693</v>
      </c>
      <c r="E91" s="3117">
        <v>0.2</v>
      </c>
      <c r="F91" s="3117">
        <v>25</v>
      </c>
    </row>
    <row r="92" spans="1:6" ht="14.4">
      <c r="A92" s="3117">
        <v>20</v>
      </c>
      <c r="B92" s="3768"/>
      <c r="C92" s="3091" t="s">
        <v>2694</v>
      </c>
      <c r="D92" s="3091" t="s">
        <v>2695</v>
      </c>
      <c r="E92" s="3117">
        <v>0.15</v>
      </c>
      <c r="F92" s="3117">
        <v>20</v>
      </c>
    </row>
    <row r="93" spans="1:6" ht="24">
      <c r="A93" s="3117">
        <v>21</v>
      </c>
      <c r="B93" s="3768"/>
      <c r="C93" s="3091" t="s">
        <v>2696</v>
      </c>
      <c r="D93" s="3091" t="s">
        <v>2697</v>
      </c>
      <c r="E93" s="3117">
        <v>0.15</v>
      </c>
      <c r="F93" s="3117">
        <v>20</v>
      </c>
    </row>
    <row r="94" spans="1:6" ht="24">
      <c r="A94" s="3117">
        <v>22</v>
      </c>
      <c r="B94" s="3768"/>
      <c r="C94" s="3091" t="s">
        <v>2698</v>
      </c>
      <c r="D94" s="3091" t="s">
        <v>2699</v>
      </c>
      <c r="E94" s="3117">
        <v>0.15</v>
      </c>
      <c r="F94" s="3117">
        <v>20</v>
      </c>
    </row>
    <row r="95" spans="1:6" ht="36">
      <c r="A95" s="3117">
        <v>23</v>
      </c>
      <c r="B95" s="3768"/>
      <c r="C95" s="3091" t="s">
        <v>2700</v>
      </c>
      <c r="D95" s="3091" t="s">
        <v>2701</v>
      </c>
      <c r="E95" s="3117">
        <v>0.15</v>
      </c>
      <c r="F95" s="3117">
        <v>20</v>
      </c>
    </row>
    <row r="96" spans="1:6" ht="24">
      <c r="A96" s="3117">
        <v>24</v>
      </c>
      <c r="B96" s="3768"/>
      <c r="C96" s="3091" t="s">
        <v>2702</v>
      </c>
      <c r="D96" s="3091" t="s">
        <v>2703</v>
      </c>
      <c r="E96" s="3117">
        <v>0.1</v>
      </c>
      <c r="F96" s="3117">
        <v>15</v>
      </c>
    </row>
    <row r="97" spans="1:6" ht="24">
      <c r="A97" s="3117">
        <v>25</v>
      </c>
      <c r="B97" s="3768"/>
      <c r="C97" s="3091" t="s">
        <v>2704</v>
      </c>
      <c r="D97" s="3091" t="s">
        <v>2705</v>
      </c>
      <c r="E97" s="3117">
        <v>0.1</v>
      </c>
      <c r="F97" s="3117">
        <v>15</v>
      </c>
    </row>
    <row r="98" spans="1:6" ht="24">
      <c r="A98" s="3117">
        <v>26</v>
      </c>
      <c r="B98" s="3768"/>
      <c r="C98" s="3091" t="s">
        <v>2706</v>
      </c>
      <c r="D98" s="3091" t="s">
        <v>2707</v>
      </c>
      <c r="E98" s="3117">
        <v>0.1</v>
      </c>
      <c r="F98" s="3117">
        <v>15</v>
      </c>
    </row>
    <row r="99" spans="1:6" ht="24">
      <c r="A99" s="3117">
        <v>27</v>
      </c>
      <c r="B99" s="3768"/>
      <c r="C99" s="3091" t="s">
        <v>2708</v>
      </c>
      <c r="D99" s="3091" t="s">
        <v>2709</v>
      </c>
      <c r="E99" s="3117">
        <v>0.1</v>
      </c>
      <c r="F99" s="3117">
        <v>15</v>
      </c>
    </row>
    <row r="100" spans="1:6" ht="24">
      <c r="A100" s="3117">
        <v>28</v>
      </c>
      <c r="B100" s="3768"/>
      <c r="C100" s="3091" t="s">
        <v>2710</v>
      </c>
      <c r="D100" s="3091" t="s">
        <v>2711</v>
      </c>
      <c r="E100" s="3117">
        <v>0.1</v>
      </c>
      <c r="F100" s="3117">
        <v>15</v>
      </c>
    </row>
    <row r="101" spans="1:6" ht="24">
      <c r="A101" s="3117">
        <v>29</v>
      </c>
      <c r="B101" s="3768"/>
      <c r="C101" s="3091" t="s">
        <v>2712</v>
      </c>
      <c r="D101" s="3091" t="s">
        <v>2713</v>
      </c>
      <c r="E101" s="3117">
        <v>0.1</v>
      </c>
      <c r="F101" s="3117">
        <v>15</v>
      </c>
    </row>
    <row r="102" spans="1:6" ht="24">
      <c r="A102" s="3117">
        <v>30</v>
      </c>
      <c r="B102" s="3768"/>
      <c r="C102" s="3091" t="s">
        <v>2714</v>
      </c>
      <c r="D102" s="3091" t="s">
        <v>2715</v>
      </c>
      <c r="E102" s="3117">
        <v>0.1</v>
      </c>
      <c r="F102" s="3117">
        <v>15</v>
      </c>
    </row>
    <row r="103" spans="1:6" ht="24">
      <c r="A103" s="3117">
        <v>31</v>
      </c>
      <c r="B103" s="3768"/>
      <c r="C103" s="3091" t="s">
        <v>2716</v>
      </c>
      <c r="D103" s="3091" t="s">
        <v>2717</v>
      </c>
      <c r="E103" s="3117">
        <v>0.1</v>
      </c>
      <c r="F103" s="3117">
        <v>15</v>
      </c>
    </row>
    <row r="104" spans="1:6" ht="24">
      <c r="A104" s="3117">
        <v>32</v>
      </c>
      <c r="B104" s="3768"/>
      <c r="C104" s="3091" t="s">
        <v>2718</v>
      </c>
      <c r="D104" s="3091" t="s">
        <v>2719</v>
      </c>
      <c r="E104" s="3117">
        <v>0.1</v>
      </c>
      <c r="F104" s="3117">
        <v>15</v>
      </c>
    </row>
    <row r="105" spans="1:6" ht="24">
      <c r="A105" s="3117">
        <v>33</v>
      </c>
      <c r="B105" s="3768"/>
      <c r="C105" s="3091" t="s">
        <v>2720</v>
      </c>
      <c r="D105" s="3091" t="s">
        <v>2721</v>
      </c>
      <c r="E105" s="3117">
        <v>0.1</v>
      </c>
      <c r="F105" s="3117">
        <v>15</v>
      </c>
    </row>
    <row r="106" spans="1:6" ht="24">
      <c r="A106" s="3117">
        <v>34</v>
      </c>
      <c r="B106" s="3777"/>
      <c r="C106" s="3091" t="s">
        <v>2722</v>
      </c>
      <c r="D106" s="3091" t="s">
        <v>2723</v>
      </c>
      <c r="E106" s="3117">
        <v>0.1</v>
      </c>
      <c r="F106" s="3117">
        <v>15</v>
      </c>
    </row>
    <row r="107" spans="1:6" ht="36">
      <c r="A107" s="3117">
        <v>35</v>
      </c>
      <c r="B107" s="3773" t="s">
        <v>2724</v>
      </c>
      <c r="C107" s="3117" t="s">
        <v>2725</v>
      </c>
      <c r="D107" s="3091" t="s">
        <v>2726</v>
      </c>
      <c r="E107" s="3117">
        <v>0.15</v>
      </c>
      <c r="F107" s="3117">
        <v>20</v>
      </c>
    </row>
    <row r="108" spans="1:6" ht="24">
      <c r="A108" s="3117">
        <v>36</v>
      </c>
      <c r="B108" s="3768"/>
      <c r="C108" s="3117" t="s">
        <v>2727</v>
      </c>
      <c r="D108" s="3091" t="s">
        <v>2728</v>
      </c>
      <c r="E108" s="3117">
        <v>0.15</v>
      </c>
      <c r="F108" s="3117">
        <v>20</v>
      </c>
    </row>
    <row r="109" spans="1:6" ht="24">
      <c r="A109" s="3117">
        <v>37</v>
      </c>
      <c r="B109" s="3768"/>
      <c r="C109" s="3117" t="s">
        <v>2729</v>
      </c>
      <c r="D109" s="3091" t="s">
        <v>2730</v>
      </c>
      <c r="E109" s="3117">
        <v>0.15</v>
      </c>
      <c r="F109" s="3117">
        <v>20</v>
      </c>
    </row>
    <row r="110" spans="1:6" ht="24">
      <c r="A110" s="3117">
        <v>38</v>
      </c>
      <c r="B110" s="3768"/>
      <c r="C110" s="3117" t="s">
        <v>2731</v>
      </c>
      <c r="D110" s="3091" t="s">
        <v>2732</v>
      </c>
      <c r="E110" s="3117">
        <v>0.1</v>
      </c>
      <c r="F110" s="3117">
        <v>15</v>
      </c>
    </row>
    <row r="111" spans="1:6" ht="24">
      <c r="A111" s="3117">
        <v>39</v>
      </c>
      <c r="B111" s="3768"/>
      <c r="C111" s="3117" t="s">
        <v>2733</v>
      </c>
      <c r="D111" s="3091" t="s">
        <v>2734</v>
      </c>
      <c r="E111" s="3117">
        <v>0.1</v>
      </c>
      <c r="F111" s="3117">
        <v>15</v>
      </c>
    </row>
    <row r="112" spans="1:6" ht="24">
      <c r="A112" s="3117">
        <v>40</v>
      </c>
      <c r="B112" s="3777"/>
      <c r="C112" s="3117" t="s">
        <v>2735</v>
      </c>
      <c r="D112" s="3091" t="s">
        <v>2736</v>
      </c>
      <c r="E112" s="3117">
        <v>0.1</v>
      </c>
      <c r="F112" s="3117">
        <v>15</v>
      </c>
    </row>
    <row r="113" spans="1:6" ht="24">
      <c r="A113" s="3117">
        <v>41</v>
      </c>
      <c r="B113" s="3778" t="s">
        <v>2737</v>
      </c>
      <c r="C113" s="3117" t="s">
        <v>2738</v>
      </c>
      <c r="D113" s="3091" t="s">
        <v>2739</v>
      </c>
      <c r="E113" s="3117">
        <v>0.1</v>
      </c>
      <c r="F113" s="3117">
        <v>15</v>
      </c>
    </row>
    <row r="114" spans="1:6" ht="24">
      <c r="A114" s="3117">
        <v>42</v>
      </c>
      <c r="B114" s="3778"/>
      <c r="C114" s="3117" t="s">
        <v>2740</v>
      </c>
      <c r="D114" s="3091" t="s">
        <v>2741</v>
      </c>
      <c r="E114" s="3117">
        <v>0.1</v>
      </c>
      <c r="F114" s="3117">
        <v>15</v>
      </c>
    </row>
    <row r="115" spans="1:6" ht="24">
      <c r="A115" s="3117">
        <v>43</v>
      </c>
      <c r="B115" s="3778"/>
      <c r="C115" s="3117" t="s">
        <v>2742</v>
      </c>
      <c r="D115" s="3091" t="s">
        <v>2743</v>
      </c>
      <c r="E115" s="3117">
        <v>0.1</v>
      </c>
      <c r="F115" s="3117">
        <v>15</v>
      </c>
    </row>
    <row r="116" spans="1:6" ht="24">
      <c r="A116" s="3117">
        <v>44</v>
      </c>
      <c r="B116" s="3773" t="s">
        <v>2744</v>
      </c>
      <c r="C116" s="3117" t="s">
        <v>2745</v>
      </c>
      <c r="D116" s="3091" t="s">
        <v>2746</v>
      </c>
      <c r="E116" s="3117">
        <v>0.1</v>
      </c>
      <c r="F116" s="3117">
        <v>15</v>
      </c>
    </row>
    <row r="117" spans="1:6" ht="24">
      <c r="A117" s="3117">
        <v>45</v>
      </c>
      <c r="B117" s="3777"/>
      <c r="C117" s="3091" t="s">
        <v>2747</v>
      </c>
      <c r="D117" s="3091" t="s">
        <v>2748</v>
      </c>
      <c r="E117" s="3117">
        <v>0.1</v>
      </c>
      <c r="F117" s="3117">
        <v>15</v>
      </c>
    </row>
    <row r="118" spans="1:6" ht="24">
      <c r="A118" s="3117">
        <v>46</v>
      </c>
      <c r="B118" s="3773" t="s">
        <v>2749</v>
      </c>
      <c r="C118" s="3117" t="s">
        <v>2750</v>
      </c>
      <c r="D118" s="3091" t="s">
        <v>2751</v>
      </c>
      <c r="E118" s="3117">
        <v>0.1</v>
      </c>
      <c r="F118" s="3117">
        <v>15</v>
      </c>
    </row>
    <row r="119" spans="1:6" ht="24">
      <c r="A119" s="3117">
        <v>47</v>
      </c>
      <c r="B119" s="3777"/>
      <c r="C119" s="3117" t="s">
        <v>2752</v>
      </c>
      <c r="D119" s="3091" t="s">
        <v>2753</v>
      </c>
      <c r="E119" s="3117">
        <v>0.1</v>
      </c>
      <c r="F119" s="3117">
        <v>15</v>
      </c>
    </row>
    <row r="120" spans="1:6" ht="24">
      <c r="A120" s="3117">
        <v>48</v>
      </c>
      <c r="B120" s="3773" t="s">
        <v>2754</v>
      </c>
      <c r="C120" s="3117" t="s">
        <v>2755</v>
      </c>
      <c r="D120" s="3091" t="s">
        <v>2756</v>
      </c>
      <c r="E120" s="3117">
        <v>0.1</v>
      </c>
      <c r="F120" s="3117">
        <v>15</v>
      </c>
    </row>
    <row r="121" spans="1:6" ht="24">
      <c r="A121" s="3117">
        <v>49</v>
      </c>
      <c r="B121" s="3777"/>
      <c r="C121" s="3117" t="s">
        <v>2757</v>
      </c>
      <c r="D121" s="3091" t="s">
        <v>2758</v>
      </c>
      <c r="E121" s="3117">
        <v>0.1</v>
      </c>
      <c r="F121" s="3117">
        <v>15</v>
      </c>
    </row>
    <row r="122" spans="1:6" ht="24">
      <c r="A122" s="3117">
        <v>50</v>
      </c>
      <c r="B122" s="3778" t="s">
        <v>2759</v>
      </c>
      <c r="C122" s="3117" t="s">
        <v>2760</v>
      </c>
      <c r="D122" s="3091" t="s">
        <v>2761</v>
      </c>
      <c r="E122" s="3117">
        <v>0.1</v>
      </c>
      <c r="F122" s="3117">
        <v>15</v>
      </c>
    </row>
    <row r="123" spans="1:6" ht="24">
      <c r="A123" s="3117">
        <v>51</v>
      </c>
      <c r="B123" s="3778"/>
      <c r="C123" s="3117" t="s">
        <v>2762</v>
      </c>
      <c r="D123" s="3091" t="s">
        <v>2763</v>
      </c>
      <c r="E123" s="3117">
        <v>0.1</v>
      </c>
      <c r="F123" s="3117">
        <v>15</v>
      </c>
    </row>
    <row r="124" spans="1:6" ht="24">
      <c r="A124" s="3117">
        <v>52</v>
      </c>
      <c r="B124" s="3778" t="s">
        <v>2764</v>
      </c>
      <c r="C124" s="3117" t="s">
        <v>2765</v>
      </c>
      <c r="D124" s="3091" t="s">
        <v>2766</v>
      </c>
      <c r="E124" s="3117">
        <v>0.1</v>
      </c>
      <c r="F124" s="3117">
        <v>15</v>
      </c>
    </row>
    <row r="125" spans="1:6" ht="24">
      <c r="A125" s="3117">
        <v>53</v>
      </c>
      <c r="B125" s="3778"/>
      <c r="C125" s="3117" t="s">
        <v>2767</v>
      </c>
      <c r="D125" s="3091" t="s">
        <v>2768</v>
      </c>
      <c r="E125" s="3117">
        <v>0.1</v>
      </c>
      <c r="F125" s="3117">
        <v>15</v>
      </c>
    </row>
    <row r="126" spans="1:6" ht="24">
      <c r="A126" s="3117">
        <v>54</v>
      </c>
      <c r="B126" s="3117" t="s">
        <v>2769</v>
      </c>
      <c r="C126" s="3117" t="s">
        <v>2770</v>
      </c>
      <c r="D126" s="3091" t="s">
        <v>2771</v>
      </c>
      <c r="E126" s="3117">
        <v>0.1</v>
      </c>
      <c r="F126" s="3117">
        <v>15</v>
      </c>
    </row>
    <row r="127" spans="1:6" ht="24">
      <c r="A127" s="3117">
        <v>55</v>
      </c>
      <c r="B127" s="3778" t="s">
        <v>2772</v>
      </c>
      <c r="C127" s="3117" t="s">
        <v>2773</v>
      </c>
      <c r="D127" s="3091" t="s">
        <v>2774</v>
      </c>
      <c r="E127" s="3117">
        <v>0.1</v>
      </c>
      <c r="F127" s="3117">
        <v>15</v>
      </c>
    </row>
    <row r="128" spans="1:6" ht="24">
      <c r="A128" s="3117">
        <v>56</v>
      </c>
      <c r="B128" s="3778"/>
      <c r="C128" s="3117" t="s">
        <v>2775</v>
      </c>
      <c r="D128" s="3091" t="s">
        <v>2776</v>
      </c>
      <c r="E128" s="3117">
        <v>0.1</v>
      </c>
      <c r="F128" s="3117">
        <v>15</v>
      </c>
    </row>
    <row r="129" spans="1:6" ht="24">
      <c r="A129" s="3117">
        <v>57</v>
      </c>
      <c r="B129" s="3778"/>
      <c r="C129" s="3117" t="s">
        <v>2777</v>
      </c>
      <c r="D129" s="3091" t="s">
        <v>2778</v>
      </c>
      <c r="E129" s="3117">
        <v>0.1</v>
      </c>
      <c r="F129" s="3117">
        <v>15</v>
      </c>
    </row>
    <row r="130" spans="1:6" ht="24">
      <c r="A130" s="3117">
        <v>58</v>
      </c>
      <c r="B130" s="3778" t="s">
        <v>2779</v>
      </c>
      <c r="C130" s="3117" t="s">
        <v>2780</v>
      </c>
      <c r="D130" s="3091" t="s">
        <v>2781</v>
      </c>
      <c r="E130" s="3117">
        <v>0.1</v>
      </c>
      <c r="F130" s="3117">
        <v>15</v>
      </c>
    </row>
    <row r="131" spans="1:6" ht="24">
      <c r="A131" s="3117">
        <v>59</v>
      </c>
      <c r="B131" s="3778"/>
      <c r="C131" s="3117" t="s">
        <v>2782</v>
      </c>
      <c r="D131" s="3091" t="s">
        <v>2783</v>
      </c>
      <c r="E131" s="3117">
        <v>0.1</v>
      </c>
      <c r="F131" s="3117">
        <v>15</v>
      </c>
    </row>
    <row r="132" spans="1:6" ht="24">
      <c r="A132" s="3117">
        <v>60</v>
      </c>
      <c r="B132" s="3773" t="s">
        <v>2784</v>
      </c>
      <c r="C132" s="3117" t="s">
        <v>2785</v>
      </c>
      <c r="D132" s="3091" t="s">
        <v>2786</v>
      </c>
      <c r="E132" s="3117">
        <v>0.1</v>
      </c>
      <c r="F132" s="3117">
        <v>15</v>
      </c>
    </row>
    <row r="133" spans="1:6" ht="24">
      <c r="A133" s="3117">
        <v>61</v>
      </c>
      <c r="B133" s="3777"/>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24">
      <c r="A135" s="3117">
        <v>63</v>
      </c>
      <c r="B135" s="3778" t="s">
        <v>2792</v>
      </c>
      <c r="C135" s="3117" t="s">
        <v>2793</v>
      </c>
      <c r="D135" s="3091" t="s">
        <v>2794</v>
      </c>
      <c r="E135" s="3117">
        <v>0.1</v>
      </c>
      <c r="F135" s="3117">
        <v>15</v>
      </c>
    </row>
    <row r="136" spans="1:6" ht="24">
      <c r="A136" s="3117">
        <v>64</v>
      </c>
      <c r="B136" s="3778"/>
      <c r="C136" s="3117" t="s">
        <v>2795</v>
      </c>
      <c r="D136" s="3091" t="s">
        <v>2796</v>
      </c>
      <c r="E136" s="3117">
        <v>0.1</v>
      </c>
      <c r="F136" s="3117">
        <v>15</v>
      </c>
    </row>
    <row r="137" spans="1:6" ht="24">
      <c r="A137" s="3117">
        <v>65</v>
      </c>
      <c r="B137" s="3117" t="s">
        <v>2797</v>
      </c>
      <c r="C137" s="3117" t="s">
        <v>2798</v>
      </c>
      <c r="D137" s="3091" t="s">
        <v>2799</v>
      </c>
      <c r="E137" s="3117">
        <v>0.1</v>
      </c>
      <c r="F137" s="3117">
        <v>15</v>
      </c>
    </row>
    <row r="138" spans="1:6" ht="14.4">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106678</v>
      </c>
      <c r="C2" s="2" t="s">
        <v>106</v>
      </c>
      <c r="D2" s="199"/>
      <c r="E2" s="199"/>
      <c r="F2" s="199"/>
      <c r="G2" s="199"/>
    </row>
    <row r="3" spans="1:7" s="200" customFormat="1" ht="18" customHeight="1" thickBot="1">
      <c r="A3" s="203" t="s">
        <v>58</v>
      </c>
      <c r="B3" s="204">
        <f ca="1">ROUND(B2*10000/'数据-汇总表'!E3,0)</f>
        <v>4204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253739.7</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3806</v>
      </c>
      <c r="D19" s="849">
        <f>'数据-汇总表'!E3</f>
        <v>253739.7</v>
      </c>
      <c r="E19" s="211">
        <f>'数据-取费表'!B31</f>
        <v>150</v>
      </c>
      <c r="F19" s="231"/>
      <c r="G19" s="1" t="s">
        <v>436</v>
      </c>
    </row>
    <row r="20" spans="1:7" s="214" customFormat="1" ht="13.5" customHeight="1">
      <c r="A20" s="777" t="s">
        <v>419</v>
      </c>
      <c r="B20" s="210" t="s">
        <v>77</v>
      </c>
      <c r="C20" s="232">
        <f>ROUND((C5+C19)*F20,0)</f>
        <v>488</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1587</v>
      </c>
      <c r="D22" s="235">
        <f ca="1">C26</f>
        <v>5.9999999999999995E-4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1327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245</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6.4">
      <c r="A27" s="777" t="s">
        <v>342</v>
      </c>
      <c r="B27" s="244" t="s">
        <v>85</v>
      </c>
      <c r="C27" s="245">
        <f>C28</f>
        <v>1146</v>
      </c>
      <c r="D27" s="235">
        <f>C29</f>
        <v>8.9999999999999998E-4</v>
      </c>
      <c r="E27" s="236" t="s">
        <v>99</v>
      </c>
      <c r="F27" s="246">
        <f>'数据-取费表'!Q16</f>
        <v>0.05</v>
      </c>
      <c r="G27" s="247" t="s">
        <v>431</v>
      </c>
    </row>
    <row r="28" spans="1:7" s="214" customFormat="1" ht="13.5" customHeight="1">
      <c r="A28" s="780" t="s">
        <v>349</v>
      </c>
      <c r="B28" s="248" t="s">
        <v>424</v>
      </c>
      <c r="C28" s="249">
        <f>ROUND((C5+C19+C20)*F27*'数据-取费表'!B21/'数据-取费表'!B20,0)</f>
        <v>1146</v>
      </c>
      <c r="D28" s="235"/>
      <c r="E28" s="236"/>
      <c r="F28" s="246"/>
      <c r="G28" s="247"/>
    </row>
    <row r="29" spans="1:7" s="214" customFormat="1" ht="13.5" customHeight="1">
      <c r="A29" s="780" t="s">
        <v>347</v>
      </c>
      <c r="B29" s="248" t="s">
        <v>425</v>
      </c>
      <c r="C29" s="238">
        <f>ROUND(C21*F27*'数据-取费表'!B21/'数据-取费表'!B20,4)</f>
        <v>8.9999999999999998E-4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29842</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64488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58360</v>
      </c>
      <c r="D34" s="217"/>
      <c r="E34" s="220"/>
      <c r="F34" s="257">
        <f>IF('数据-取费表'!B24=0,1,'数据-取费表'!N16)</f>
        <v>0.92</v>
      </c>
      <c r="G34" s="219" t="s">
        <v>89</v>
      </c>
    </row>
    <row r="35" spans="1:7" ht="13.5" customHeight="1">
      <c r="A35" s="780" t="s">
        <v>351</v>
      </c>
      <c r="B35" s="215" t="s">
        <v>33</v>
      </c>
      <c r="C35" s="220">
        <f>ROUND(C34*F35,0)</f>
        <v>1751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3502</v>
      </c>
      <c r="D37" s="217">
        <f>'数据-汇总表'!E3</f>
        <v>253739.7</v>
      </c>
      <c r="E37" s="249">
        <f>'数据-取费表'!B35</f>
        <v>150</v>
      </c>
      <c r="F37" s="259"/>
      <c r="G37" s="261" t="s">
        <v>92</v>
      </c>
    </row>
    <row r="38" spans="1:7" ht="13.5" customHeight="1">
      <c r="A38" s="780" t="s">
        <v>354</v>
      </c>
      <c r="B38" s="215" t="s">
        <v>36</v>
      </c>
      <c r="C38" s="220">
        <f>ROUND(C34*F38,0)</f>
        <v>875</v>
      </c>
      <c r="D38" s="220"/>
      <c r="E38" s="220"/>
      <c r="F38" s="259">
        <f>'数据-取费表'!B36</f>
        <v>1.4999999999999999E-2</v>
      </c>
      <c r="G38" s="219" t="s">
        <v>90</v>
      </c>
    </row>
    <row r="39" spans="1:7" s="214" customFormat="1" ht="13.5" customHeight="1">
      <c r="A39" s="777" t="s">
        <v>338</v>
      </c>
      <c r="B39" s="210" t="s">
        <v>77</v>
      </c>
      <c r="C39" s="232">
        <f>ROUND(C33*F20,0)</f>
        <v>1290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2085</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2044</v>
      </c>
      <c r="D42" s="238"/>
      <c r="E42" s="238"/>
      <c r="F42" s="239"/>
      <c r="G42" s="3643" t="s">
        <v>94</v>
      </c>
    </row>
    <row r="43" spans="1:7" ht="13.5" customHeight="1">
      <c r="A43" s="780" t="s">
        <v>347</v>
      </c>
      <c r="B43" s="215" t="s">
        <v>426</v>
      </c>
      <c r="C43" s="238">
        <f ca="1">ROUND(IF('数据-取费表'!B22&lt;=1,C39*F22*'数据-取费表'!B21/2,C39*(POWER((1+F22),'数据-取费表'!B21/2)-1)),0)</f>
        <v>41</v>
      </c>
      <c r="D43" s="238"/>
      <c r="E43" s="238"/>
      <c r="F43" s="239"/>
      <c r="G43" s="3644"/>
    </row>
    <row r="44" spans="1:7" ht="13.5" customHeight="1">
      <c r="A44" s="780" t="s">
        <v>348</v>
      </c>
      <c r="B44" s="215" t="s">
        <v>428</v>
      </c>
      <c r="C44" s="238">
        <f ca="1">ROUND(IF('数据-取费表'!B22&lt;=1,C40*F22*'数据-取费表'!B21/2,C40*(POWER((1+F22),'数据-取费表'!B21/2)-1)),4)</f>
        <v>5.9999999999999995E-4</v>
      </c>
      <c r="D44" s="238"/>
      <c r="E44" s="238"/>
      <c r="F44" s="239"/>
      <c r="G44" s="3645"/>
    </row>
    <row r="45" spans="1:7" s="214" customFormat="1" ht="13.5" customHeight="1">
      <c r="A45" s="777" t="s">
        <v>341</v>
      </c>
      <c r="B45" s="244" t="s">
        <v>85</v>
      </c>
      <c r="C45" s="245">
        <f>C46</f>
        <v>3289</v>
      </c>
      <c r="D45" s="235">
        <f>C47</f>
        <v>1E-3</v>
      </c>
      <c r="E45" s="236" t="s">
        <v>102</v>
      </c>
      <c r="F45" s="246"/>
      <c r="G45" s="247" t="s">
        <v>434</v>
      </c>
    </row>
    <row r="46" spans="1:7" s="214" customFormat="1" ht="13.5" customHeight="1">
      <c r="A46" s="780" t="s">
        <v>349</v>
      </c>
      <c r="B46" s="248" t="s">
        <v>427</v>
      </c>
      <c r="C46" s="249">
        <f>ROUND((C33+C39)*F27,0)</f>
        <v>3289</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76836</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76836</v>
      </c>
      <c r="D51" s="232"/>
      <c r="E51" s="232"/>
      <c r="F51" s="264"/>
      <c r="G51" s="234" t="s">
        <v>37</v>
      </c>
    </row>
    <row r="52" spans="1:7" s="208" customFormat="1" ht="16.8" thickBot="1">
      <c r="A52" s="265" t="s">
        <v>38</v>
      </c>
      <c r="B52" s="266"/>
      <c r="C52" s="267">
        <f ca="1">C31+C51</f>
        <v>106678</v>
      </c>
      <c r="D52" s="266"/>
      <c r="E52" s="266"/>
      <c r="F52" s="266"/>
      <c r="G52" s="268"/>
    </row>
    <row r="55" spans="1:7" ht="15">
      <c r="B55" s="270" t="s">
        <v>39</v>
      </c>
      <c r="C55" s="271"/>
    </row>
    <row r="56" spans="1:7">
      <c r="B56" s="273" t="s">
        <v>40</v>
      </c>
      <c r="C56" s="274">
        <f ca="1">ROUND(C51/C52,3)</f>
        <v>0.72</v>
      </c>
    </row>
    <row r="57" spans="1:7">
      <c r="B57" s="273" t="s">
        <v>41</v>
      </c>
      <c r="C57" s="275">
        <f ca="1">1-C56</f>
        <v>0.28000000000000003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5"/>
      <c r="C2" s="3465"/>
      <c r="D2" s="3465"/>
      <c r="E2" s="3465"/>
    </row>
    <row r="3" spans="1:5" ht="17.399999999999999">
      <c r="A3" s="3466" t="str">
        <f>IF(项目基本情况!B9="房地产市场价值","估价结果一览表（市场价值不需“结果表-1”）","估价结果一览表")</f>
        <v>估价结果一览表（市场价值不需“结果表-1”）</v>
      </c>
      <c r="B3" s="3466"/>
      <c r="C3" s="3466"/>
      <c r="D3" s="3466"/>
      <c r="E3" s="3466"/>
    </row>
    <row r="4" spans="1:5" ht="18" thickBot="1">
      <c r="A4" s="1493"/>
      <c r="B4" s="3464" t="s">
        <v>917</v>
      </c>
      <c r="C4" s="3464"/>
      <c r="D4" s="3464"/>
      <c r="E4" s="1493"/>
    </row>
    <row r="5" spans="1:5" ht="16.2" thickTop="1">
      <c r="A5" s="1491"/>
      <c r="B5" s="3462" t="s">
        <v>909</v>
      </c>
      <c r="C5" s="1494" t="s">
        <v>910</v>
      </c>
      <c r="D5" s="850">
        <f ca="1">结果表!H101</f>
        <v>59875</v>
      </c>
      <c r="E5" s="1491"/>
    </row>
    <row r="6" spans="1:5" ht="15.6">
      <c r="A6" s="1491"/>
      <c r="B6" s="3462"/>
      <c r="C6" s="1494" t="s">
        <v>911</v>
      </c>
      <c r="D6" s="850" t="str">
        <f ca="1">NUMBERSTRING(INT(D5*10000),2)&amp;"元整"</f>
        <v>伍亿玖仟捌佰柒拾伍万元整</v>
      </c>
      <c r="E6" s="1491"/>
    </row>
    <row r="7" spans="1:5" ht="15.6">
      <c r="A7" s="1491"/>
      <c r="B7" s="3467"/>
      <c r="C7" s="1495" t="s">
        <v>912</v>
      </c>
      <c r="D7" s="851">
        <f ca="1">结果表!H102</f>
        <v>2360</v>
      </c>
      <c r="E7" s="1491"/>
    </row>
    <row r="8" spans="1:5" ht="15.6">
      <c r="A8" s="1491"/>
      <c r="B8" s="3468" t="str">
        <f>结果表!E103</f>
        <v>2.估价师知悉的法定优先受偿款</v>
      </c>
      <c r="C8" s="1496" t="s">
        <v>913</v>
      </c>
      <c r="D8" s="851">
        <f>结果表!H103</f>
        <v>0</v>
      </c>
      <c r="E8" s="1491"/>
    </row>
    <row r="9" spans="1:5" ht="15.6">
      <c r="A9" s="1491"/>
      <c r="B9" s="3470"/>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61" t="str">
        <f>结果表!E107</f>
        <v>3.房地产抵押价值</v>
      </c>
      <c r="C13" s="1499" t="s">
        <v>910</v>
      </c>
      <c r="D13" s="853">
        <f ca="1">结果表!H107</f>
        <v>59875</v>
      </c>
      <c r="E13" s="1491"/>
    </row>
    <row r="14" spans="1:5" ht="15.6">
      <c r="A14" s="1491"/>
      <c r="B14" s="3462"/>
      <c r="C14" s="1494" t="s">
        <v>911</v>
      </c>
      <c r="D14" s="850" t="str">
        <f ca="1">NUMBERSTRING(INT(D13*10000),2)&amp;"元整"</f>
        <v>伍亿玖仟捌佰柒拾伍万元整</v>
      </c>
      <c r="E14" s="1491"/>
    </row>
    <row r="15" spans="1:5" ht="15.6">
      <c r="A15" s="1491"/>
      <c r="B15" s="3467"/>
      <c r="C15" s="1495" t="s">
        <v>921</v>
      </c>
      <c r="D15" s="859">
        <f ca="1">结果表!H108</f>
        <v>2360</v>
      </c>
      <c r="E15" s="1491"/>
    </row>
    <row r="16" spans="1:5" ht="15.6">
      <c r="A16" s="1491"/>
      <c r="B16" s="3468" t="str">
        <f>结果表!E109</f>
        <v>——</v>
      </c>
      <c r="C16" s="1499" t="s">
        <v>922</v>
      </c>
      <c r="D16" s="1500" t="str">
        <f>结果表!H109</f>
        <v>——</v>
      </c>
      <c r="E16" s="1491"/>
    </row>
    <row r="17" spans="1:5" ht="15.6">
      <c r="A17" s="1491"/>
      <c r="B17" s="3469"/>
      <c r="C17" s="1494" t="s">
        <v>923</v>
      </c>
      <c r="D17" s="850" t="e">
        <f>NUMBERSTRING(INT(D16*10000),2)&amp;"元整"</f>
        <v>#VALUE!</v>
      </c>
      <c r="E17" s="1491"/>
    </row>
    <row r="18" spans="1:5" ht="15.6">
      <c r="A18" s="1491"/>
      <c r="B18" s="3470"/>
      <c r="C18" s="1495" t="s">
        <v>912</v>
      </c>
      <c r="D18" s="859" t="str">
        <f>结果表!H110</f>
        <v>——</v>
      </c>
      <c r="E18" s="1491"/>
    </row>
    <row r="19" spans="1:5" ht="15.6">
      <c r="A19" s="1491"/>
      <c r="B19" s="3461" t="str">
        <f>结果表!E111</f>
        <v>——</v>
      </c>
      <c r="C19" s="1499" t="s">
        <v>910</v>
      </c>
      <c r="D19" s="851" t="str">
        <f>结果表!H111</f>
        <v>——</v>
      </c>
      <c r="E19" s="1491"/>
    </row>
    <row r="20" spans="1:5" ht="15.6">
      <c r="A20" s="1491"/>
      <c r="B20" s="3462"/>
      <c r="C20" s="1494" t="s">
        <v>923</v>
      </c>
      <c r="D20" s="850" t="e">
        <f>NUMBERSTRING(INT(D19*10000),2)&amp;"元整"</f>
        <v>#VALUE!</v>
      </c>
      <c r="E20" s="1491"/>
    </row>
    <row r="21" spans="1:5" ht="16.2" thickBot="1">
      <c r="A21" s="1491"/>
      <c r="B21" s="3463"/>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81" t="s">
        <v>2842</v>
      </c>
      <c r="B1" s="3781"/>
      <c r="C1" s="3781"/>
      <c r="D1" s="3781"/>
      <c r="E1" s="3781"/>
      <c r="F1" s="3781"/>
      <c r="G1" s="3782"/>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1.4"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79"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1.4" thickBot="1">
      <c r="A4" s="3780"/>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1.4"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1.4"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1.4"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1.4"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783" t="s">
        <v>3184</v>
      </c>
      <c r="B1" s="3783"/>
    </row>
    <row r="2" spans="1:7" ht="15" thickBot="1">
      <c r="A2" s="3254"/>
      <c r="B2" s="3254"/>
    </row>
    <row r="3" spans="1:7" ht="15" thickBot="1">
      <c r="A3" s="3254"/>
      <c r="B3" s="3254"/>
      <c r="C3" s="3255" t="s">
        <v>2814</v>
      </c>
      <c r="D3" s="3255" t="s">
        <v>2870</v>
      </c>
      <c r="E3" s="3255" t="s">
        <v>2816</v>
      </c>
      <c r="F3" s="3255" t="s">
        <v>2871</v>
      </c>
      <c r="G3" s="3255" t="s">
        <v>2634</v>
      </c>
    </row>
    <row r="4" spans="1:7" ht="1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784" t="s">
        <v>3235</v>
      </c>
      <c r="B1" s="3784"/>
      <c r="C1" s="3784"/>
      <c r="D1" s="3784"/>
      <c r="E1" s="3784"/>
      <c r="F1" s="3785"/>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4.4"/>
  <cols>
    <col min="1" max="1" width="13.88671875" customWidth="1"/>
    <col min="11" max="17" width="0" hidden="1" customWidth="1"/>
    <col min="25" max="30" width="0" hidden="1" customWidth="1"/>
  </cols>
  <sheetData>
    <row r="1" spans="1:30">
      <c r="A1" s="3220">
        <f>基准地价修正!G23</f>
        <v>45274</v>
      </c>
      <c r="B1" s="3209" t="s">
        <v>3375</v>
      </c>
      <c r="C1" s="3210"/>
      <c r="D1" s="3210"/>
      <c r="E1" s="3210"/>
      <c r="F1" s="3210"/>
      <c r="G1" s="3210"/>
      <c r="H1" s="3210"/>
      <c r="I1" s="3210"/>
      <c r="J1" s="3164"/>
      <c r="K1" s="3210" t="s">
        <v>454</v>
      </c>
      <c r="L1" s="3210"/>
      <c r="M1" s="3210"/>
      <c r="N1" s="3210"/>
      <c r="O1" s="3210"/>
      <c r="P1" s="3210"/>
      <c r="Q1" s="3164"/>
      <c r="R1" s="3786" t="s">
        <v>456</v>
      </c>
      <c r="S1" s="3787"/>
      <c r="T1" s="3787"/>
      <c r="U1" s="3787"/>
      <c r="V1" s="3787"/>
      <c r="W1" s="3787"/>
      <c r="X1" s="3164"/>
      <c r="Y1" s="3786" t="s">
        <v>457</v>
      </c>
      <c r="Z1" s="3787"/>
      <c r="AA1" s="3787"/>
      <c r="AB1" s="3787"/>
      <c r="AC1" s="3787"/>
      <c r="AD1" s="3787"/>
    </row>
    <row r="2" spans="1:30" s="3142" customFormat="1" ht="1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3.2">
      <c r="A3" s="3148" t="s">
        <v>2822</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3379</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3.2">
      <c r="A6" s="2205" t="s">
        <v>3380</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3.2">
      <c r="A7" s="2205" t="s">
        <v>3381</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3.2">
      <c r="A8" s="3185" t="s">
        <v>3373</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3.2">
      <c r="A9" s="3175" t="s">
        <v>3374</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3.2">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3.2">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3.2">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3.2">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3.2">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3.2">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3.2">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3.2">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ht="13.8"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5" thickTop="1"/>
    <row r="20" spans="1:30" s="3008" customFormat="1">
      <c r="A20" s="3447" t="s">
        <v>3369</v>
      </c>
    </row>
    <row r="21" spans="1:30" s="3008" customFormat="1">
      <c r="I21" s="3207" t="s">
        <v>2828</v>
      </c>
    </row>
    <row r="22" spans="1:30" s="3008" customFormat="1"/>
    <row r="23" spans="1:30" s="3208" customFormat="1" ht="13.2">
      <c r="B23" s="3209" t="s">
        <v>3376</v>
      </c>
      <c r="C23" s="3210"/>
      <c r="D23" s="3210"/>
      <c r="E23" s="3210"/>
      <c r="F23" s="3210"/>
      <c r="G23" s="3210"/>
      <c r="H23" s="3210"/>
      <c r="I23" s="3210"/>
      <c r="J23" s="3164"/>
      <c r="K23" s="3210" t="s">
        <v>2829</v>
      </c>
      <c r="L23" s="3210"/>
      <c r="M23" s="3210"/>
      <c r="N23" s="3210"/>
      <c r="O23" s="3210"/>
      <c r="P23" s="3210"/>
      <c r="Q23" s="3164"/>
      <c r="R23" s="3786" t="s">
        <v>2830</v>
      </c>
      <c r="S23" s="3787"/>
      <c r="T23" s="3787"/>
      <c r="U23" s="3787"/>
      <c r="V23" s="3787"/>
      <c r="W23" s="3787"/>
      <c r="X23" s="3164"/>
      <c r="Y23" s="3786" t="s">
        <v>2831</v>
      </c>
      <c r="Z23" s="3787"/>
      <c r="AA23" s="3787"/>
      <c r="AB23" s="3787"/>
      <c r="AC23" s="3787"/>
      <c r="AD23" s="3787"/>
    </row>
    <row r="24" spans="1:30" s="3142" customFormat="1" ht="1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3.2">
      <c r="A25" s="3148" t="s">
        <v>2837</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3.2">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3.2">
      <c r="A27" s="2205" t="s">
        <v>3379</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3.2">
      <c r="A28" s="2205" t="s">
        <v>3380</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3.2">
      <c r="A29" s="2205" t="s">
        <v>3381</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3.2">
      <c r="A30" s="3185" t="s">
        <v>3377</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3.2">
      <c r="A31" s="3175" t="s">
        <v>3378</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3.2">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3.2">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3.2">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3.2">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3.2">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3.2">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3.2">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3.2">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ht="13.8"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5" thickTop="1"/>
    <row r="42" spans="1:30">
      <c r="A42" s="3447" t="s">
        <v>3370</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93" t="s">
        <v>452</v>
      </c>
      <c r="C1" s="3793"/>
      <c r="D1" s="3793"/>
      <c r="E1" s="3793"/>
      <c r="F1" s="3793"/>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9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9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9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1">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92">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1">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92">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45274</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5" t="s">
        <v>2312</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Q36" sqref="Q36"/>
    </sheetView>
  </sheetViews>
  <sheetFormatPr defaultRowHeight="14.4"/>
  <cols>
    <col min="2" max="2" width="12" customWidth="1"/>
  </cols>
  <sheetData>
    <row r="1" spans="1:6">
      <c r="A1" s="3448" t="s">
        <v>3383</v>
      </c>
    </row>
    <row r="2" spans="1:6">
      <c r="A2" s="3448" t="s">
        <v>3384</v>
      </c>
      <c r="B2" s="3448" t="s">
        <v>3385</v>
      </c>
    </row>
    <row r="3" spans="1:6">
      <c r="A3" s="3448" t="s">
        <v>3386</v>
      </c>
      <c r="B3">
        <v>175204.87</v>
      </c>
    </row>
    <row r="4" spans="1:6">
      <c r="A4" s="3448" t="s">
        <v>3387</v>
      </c>
      <c r="B4" s="3449">
        <v>44571</v>
      </c>
    </row>
    <row r="5" spans="1:6">
      <c r="A5" s="3448" t="s">
        <v>3388</v>
      </c>
      <c r="B5" s="3448" t="s">
        <v>3389</v>
      </c>
      <c r="D5" s="3448" t="s">
        <v>3390</v>
      </c>
      <c r="E5" s="3448" t="s">
        <v>3391</v>
      </c>
      <c r="F5" s="3448" t="s">
        <v>3392</v>
      </c>
    </row>
    <row r="6" spans="1:6">
      <c r="A6" s="3448" t="s">
        <v>3403</v>
      </c>
      <c r="B6" s="3448" t="s">
        <v>3402</v>
      </c>
      <c r="D6" s="3448"/>
      <c r="E6" s="3448"/>
      <c r="F6" s="3448"/>
    </row>
    <row r="7" spans="1:6">
      <c r="A7" s="3448" t="s">
        <v>3393</v>
      </c>
      <c r="B7">
        <v>50</v>
      </c>
    </row>
    <row r="8" spans="1:6">
      <c r="A8" s="3448" t="s">
        <v>3394</v>
      </c>
      <c r="B8">
        <v>2522.9760000000001</v>
      </c>
    </row>
    <row r="9" spans="1:6">
      <c r="A9" s="3448" t="s">
        <v>3396</v>
      </c>
      <c r="B9">
        <v>144</v>
      </c>
      <c r="C9" s="3448" t="s">
        <v>3395</v>
      </c>
    </row>
    <row r="10" spans="1:6">
      <c r="A10" s="3448" t="s">
        <v>3397</v>
      </c>
      <c r="B10">
        <v>24</v>
      </c>
      <c r="C10">
        <v>12</v>
      </c>
    </row>
    <row r="11" spans="1:6">
      <c r="A11" s="3448" t="s">
        <v>3398</v>
      </c>
      <c r="B11" s="3450">
        <v>0.6</v>
      </c>
      <c r="C11" s="3450">
        <v>0.4</v>
      </c>
    </row>
    <row r="12" spans="1:6">
      <c r="A12" s="3448" t="s">
        <v>3399</v>
      </c>
      <c r="B12" s="3450">
        <v>0.2</v>
      </c>
      <c r="C12" s="3450">
        <v>0.05</v>
      </c>
    </row>
    <row r="13" spans="1:6">
      <c r="A13" s="3448" t="s">
        <v>3400</v>
      </c>
      <c r="B13" s="3449">
        <v>44936</v>
      </c>
    </row>
    <row r="14" spans="1:6">
      <c r="A14" s="3448" t="s">
        <v>3401</v>
      </c>
      <c r="B14" s="3449">
        <v>45667</v>
      </c>
    </row>
    <row r="15" spans="1:6">
      <c r="A15" s="3448" t="s">
        <v>3404</v>
      </c>
      <c r="B15" s="3449">
        <v>44544</v>
      </c>
    </row>
    <row r="24" spans="3:4">
      <c r="C24" s="3448" t="s">
        <v>3405</v>
      </c>
      <c r="D24" s="3448" t="s">
        <v>3406</v>
      </c>
    </row>
    <row r="25" spans="3:4">
      <c r="C25" s="3448" t="s">
        <v>3407</v>
      </c>
      <c r="D25" s="3448" t="s">
        <v>3410</v>
      </c>
    </row>
    <row r="26" spans="3:4">
      <c r="C26" s="3448" t="s">
        <v>3408</v>
      </c>
      <c r="D26" s="3448" t="s">
        <v>3411</v>
      </c>
    </row>
    <row r="27" spans="3:4">
      <c r="C27" s="3448" t="s">
        <v>3409</v>
      </c>
      <c r="D27" s="3448" t="s">
        <v>3411</v>
      </c>
    </row>
  </sheetData>
  <phoneticPr fontId="135"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P71" sqref="P71"/>
    </sheetView>
  </sheetViews>
  <sheetFormatPr defaultRowHeight="14.4"/>
  <sheetData/>
  <phoneticPr fontId="135"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workbookViewId="0">
      <selection activeCell="P29" sqref="P29"/>
    </sheetView>
  </sheetViews>
  <sheetFormatPr defaultRowHeight="14.4"/>
  <cols>
    <col min="1" max="1" width="18.109375" customWidth="1"/>
    <col min="7" max="8" width="9.109375" bestFit="1" customWidth="1"/>
    <col min="10" max="10" width="14.109375" customWidth="1"/>
    <col min="12" max="12" width="10.44140625" bestFit="1" customWidth="1"/>
    <col min="15" max="15" width="9.109375" bestFit="1" customWidth="1"/>
    <col min="16" max="16" width="18.44140625" customWidth="1"/>
    <col min="17" max="19" width="9.109375" bestFit="1" customWidth="1"/>
  </cols>
  <sheetData>
    <row r="1" spans="1:21" ht="15.6">
      <c r="A1" s="3799" t="s">
        <v>3471</v>
      </c>
      <c r="B1" s="3799" t="s">
        <v>3472</v>
      </c>
      <c r="C1" s="3799" t="s">
        <v>3473</v>
      </c>
      <c r="D1" s="3799" t="s">
        <v>3474</v>
      </c>
      <c r="E1" s="3799" t="s">
        <v>3475</v>
      </c>
      <c r="F1" s="3799" t="s">
        <v>3476</v>
      </c>
      <c r="G1" s="3799" t="s">
        <v>3477</v>
      </c>
      <c r="H1" s="3799" t="s">
        <v>3478</v>
      </c>
      <c r="I1" s="3799" t="s">
        <v>3479</v>
      </c>
      <c r="J1" s="3799" t="s">
        <v>3480</v>
      </c>
      <c r="K1" s="3799" t="s">
        <v>3481</v>
      </c>
      <c r="L1" s="3799" t="s">
        <v>3482</v>
      </c>
      <c r="M1" s="3799" t="s">
        <v>3483</v>
      </c>
      <c r="N1" s="3799" t="s">
        <v>3484</v>
      </c>
      <c r="O1" s="3799" t="s">
        <v>3485</v>
      </c>
      <c r="P1" s="3799" t="s">
        <v>3486</v>
      </c>
      <c r="Q1" s="3799" t="s">
        <v>3487</v>
      </c>
      <c r="R1" s="3799" t="s">
        <v>3488</v>
      </c>
      <c r="S1" s="3799" t="s">
        <v>3489</v>
      </c>
      <c r="T1" s="3799" t="s">
        <v>3490</v>
      </c>
      <c r="U1" s="3799" t="s">
        <v>3491</v>
      </c>
    </row>
    <row r="2" spans="1:21" ht="15.6">
      <c r="A2" s="3799" t="s">
        <v>3492</v>
      </c>
      <c r="B2" s="3799" t="s">
        <v>3493</v>
      </c>
      <c r="C2" s="3799" t="s">
        <v>3494</v>
      </c>
      <c r="D2" s="3799" t="s">
        <v>3495</v>
      </c>
      <c r="E2" s="3799" t="s">
        <v>3497</v>
      </c>
      <c r="F2" s="3799" t="s">
        <v>3498</v>
      </c>
      <c r="G2" s="3799">
        <v>14379.15</v>
      </c>
      <c r="H2" s="3799">
        <v>28758.3</v>
      </c>
      <c r="I2" s="3799" t="s">
        <v>3499</v>
      </c>
      <c r="J2" s="3799">
        <v>2</v>
      </c>
      <c r="K2" s="3799" t="s">
        <v>3498</v>
      </c>
      <c r="L2" s="3799" t="s">
        <v>3496</v>
      </c>
      <c r="M2" s="3799" t="s">
        <v>3501</v>
      </c>
      <c r="N2" s="3799" t="s">
        <v>3500</v>
      </c>
      <c r="O2" s="3799" t="s">
        <v>3496</v>
      </c>
      <c r="P2" s="3799" t="s">
        <v>3496</v>
      </c>
      <c r="Q2" s="3799" t="s">
        <v>3496</v>
      </c>
      <c r="R2" s="3799" t="s">
        <v>3496</v>
      </c>
      <c r="S2" s="3799">
        <v>0</v>
      </c>
      <c r="T2" s="3799" t="s">
        <v>3502</v>
      </c>
      <c r="U2" s="3799" t="s">
        <v>3503</v>
      </c>
    </row>
    <row r="3" spans="1:21" ht="15.6">
      <c r="A3" s="3799" t="s">
        <v>3504</v>
      </c>
      <c r="B3" s="3799" t="s">
        <v>3493</v>
      </c>
      <c r="C3" s="3799" t="s">
        <v>3494</v>
      </c>
      <c r="D3" s="3799" t="s">
        <v>3495</v>
      </c>
      <c r="E3" s="3799" t="s">
        <v>3505</v>
      </c>
      <c r="F3" s="3799" t="s">
        <v>3498</v>
      </c>
      <c r="G3" s="3799">
        <v>61034.6</v>
      </c>
      <c r="H3" s="3799">
        <v>30517.3</v>
      </c>
      <c r="I3" s="3799" t="s">
        <v>3506</v>
      </c>
      <c r="J3" s="3799">
        <v>0</v>
      </c>
      <c r="K3" s="3799" t="s">
        <v>3498</v>
      </c>
      <c r="L3" s="3802">
        <v>45215.000497685185</v>
      </c>
      <c r="M3" s="3799" t="s">
        <v>3507</v>
      </c>
      <c r="N3" s="3799" t="s">
        <v>3508</v>
      </c>
      <c r="O3" s="3799">
        <v>2728.25</v>
      </c>
      <c r="P3" s="3799">
        <v>447</v>
      </c>
      <c r="Q3" s="3799">
        <v>29.8</v>
      </c>
      <c r="R3" s="3799">
        <v>894</v>
      </c>
      <c r="S3" s="3799">
        <v>0</v>
      </c>
      <c r="T3" s="3799" t="s">
        <v>3502</v>
      </c>
      <c r="U3" s="3799" t="s">
        <v>3509</v>
      </c>
    </row>
    <row r="4" spans="1:21" s="3458" customFormat="1" ht="15.6">
      <c r="A4" s="3800" t="s">
        <v>3510</v>
      </c>
      <c r="B4" s="3800" t="s">
        <v>3493</v>
      </c>
      <c r="C4" s="3800" t="s">
        <v>3494</v>
      </c>
      <c r="D4" s="3800" t="s">
        <v>3495</v>
      </c>
      <c r="E4" s="3800" t="s">
        <v>3511</v>
      </c>
      <c r="F4" s="3800" t="s">
        <v>3498</v>
      </c>
      <c r="G4" s="3800">
        <v>19886.2</v>
      </c>
      <c r="H4" s="3800">
        <v>99431</v>
      </c>
      <c r="I4" s="3800" t="s">
        <v>3512</v>
      </c>
      <c r="J4" s="3800">
        <v>5</v>
      </c>
      <c r="K4" s="3800" t="s">
        <v>3498</v>
      </c>
      <c r="L4" s="3801">
        <v>45134.000497685185</v>
      </c>
      <c r="M4" s="3800" t="s">
        <v>3507</v>
      </c>
      <c r="N4" s="3800" t="s">
        <v>3513</v>
      </c>
      <c r="O4" s="3800">
        <v>286.37</v>
      </c>
      <c r="P4" s="3800">
        <v>144</v>
      </c>
      <c r="Q4" s="3800">
        <v>9.6</v>
      </c>
      <c r="R4" s="3800">
        <v>29</v>
      </c>
      <c r="S4" s="3800">
        <v>0</v>
      </c>
      <c r="T4" s="3800" t="s">
        <v>3502</v>
      </c>
      <c r="U4" s="3800" t="s">
        <v>3509</v>
      </c>
    </row>
    <row r="5" spans="1:21" ht="15.6">
      <c r="A5" s="3799" t="s">
        <v>3514</v>
      </c>
      <c r="B5" s="3799" t="s">
        <v>3493</v>
      </c>
      <c r="C5" s="3799" t="s">
        <v>3494</v>
      </c>
      <c r="D5" s="3799" t="s">
        <v>3495</v>
      </c>
      <c r="E5" s="3799" t="s">
        <v>3515</v>
      </c>
      <c r="F5" s="3799" t="s">
        <v>3498</v>
      </c>
      <c r="G5" s="3799">
        <v>38327.699999999997</v>
      </c>
      <c r="H5" s="3799">
        <v>191638.5</v>
      </c>
      <c r="I5" s="3799" t="s">
        <v>3512</v>
      </c>
      <c r="J5" s="3799">
        <v>5</v>
      </c>
      <c r="K5" s="3799" t="s">
        <v>3498</v>
      </c>
      <c r="L5" s="3802">
        <v>45134.000497685185</v>
      </c>
      <c r="M5" s="3799" t="s">
        <v>3507</v>
      </c>
      <c r="N5" s="3799" t="s">
        <v>3516</v>
      </c>
      <c r="O5" s="3799">
        <v>827.88</v>
      </c>
      <c r="P5" s="3799">
        <v>216</v>
      </c>
      <c r="Q5" s="3799">
        <v>14.4</v>
      </c>
      <c r="R5" s="3799">
        <v>43</v>
      </c>
      <c r="S5" s="3799">
        <v>0</v>
      </c>
      <c r="T5" s="3799" t="s">
        <v>3502</v>
      </c>
      <c r="U5" s="3799" t="s">
        <v>3509</v>
      </c>
    </row>
    <row r="6" spans="1:21" s="3459" customFormat="1" ht="15.6">
      <c r="A6" s="3800" t="s">
        <v>3517</v>
      </c>
      <c r="B6" s="3800" t="s">
        <v>3493</v>
      </c>
      <c r="C6" s="3800" t="s">
        <v>3494</v>
      </c>
      <c r="D6" s="3800" t="s">
        <v>3495</v>
      </c>
      <c r="E6" s="3800" t="s">
        <v>3518</v>
      </c>
      <c r="F6" s="3800" t="s">
        <v>3498</v>
      </c>
      <c r="G6" s="3800">
        <v>24998.67</v>
      </c>
      <c r="H6" s="3800">
        <v>124993.35</v>
      </c>
      <c r="I6" s="3800" t="s">
        <v>3512</v>
      </c>
      <c r="J6" s="3800">
        <v>5</v>
      </c>
      <c r="K6" s="3800" t="s">
        <v>3498</v>
      </c>
      <c r="L6" s="3801">
        <v>45134.000497685185</v>
      </c>
      <c r="M6" s="3800" t="s">
        <v>3507</v>
      </c>
      <c r="N6" s="3800" t="s">
        <v>3519</v>
      </c>
      <c r="O6" s="3800">
        <v>412.5</v>
      </c>
      <c r="P6" s="3800">
        <v>165</v>
      </c>
      <c r="Q6" s="3800">
        <v>11</v>
      </c>
      <c r="R6" s="3800">
        <v>33</v>
      </c>
      <c r="S6" s="3800">
        <v>0</v>
      </c>
      <c r="T6" s="3800" t="s">
        <v>3502</v>
      </c>
      <c r="U6" s="3800" t="s">
        <v>3509</v>
      </c>
    </row>
    <row r="7" spans="1:21" ht="15.6">
      <c r="A7" s="3799" t="s">
        <v>3520</v>
      </c>
      <c r="B7" s="3799" t="s">
        <v>3493</v>
      </c>
      <c r="C7" s="3799" t="s">
        <v>3494</v>
      </c>
      <c r="D7" s="3799" t="s">
        <v>3495</v>
      </c>
      <c r="E7" s="3799" t="s">
        <v>3521</v>
      </c>
      <c r="F7" s="3799" t="s">
        <v>3498</v>
      </c>
      <c r="G7" s="3799">
        <v>2091.38</v>
      </c>
      <c r="H7" s="3799">
        <v>10456.9</v>
      </c>
      <c r="I7" s="3799" t="s">
        <v>3512</v>
      </c>
      <c r="J7" s="3799">
        <v>5</v>
      </c>
      <c r="K7" s="3799" t="s">
        <v>3498</v>
      </c>
      <c r="L7" s="3802">
        <v>45134.000497685185</v>
      </c>
      <c r="M7" s="3799" t="s">
        <v>3507</v>
      </c>
      <c r="N7" s="3799" t="s">
        <v>3522</v>
      </c>
      <c r="O7" s="3799">
        <v>64.37</v>
      </c>
      <c r="P7" s="3799">
        <v>307.77999999999997</v>
      </c>
      <c r="Q7" s="3799">
        <v>20.52</v>
      </c>
      <c r="R7" s="3799">
        <v>62</v>
      </c>
      <c r="S7" s="3799">
        <v>0</v>
      </c>
      <c r="T7" s="3799" t="s">
        <v>3523</v>
      </c>
      <c r="U7" s="3799" t="s">
        <v>3509</v>
      </c>
    </row>
    <row r="8" spans="1:21" ht="15.6">
      <c r="A8" s="3799" t="s">
        <v>3520</v>
      </c>
      <c r="B8" s="3799" t="s">
        <v>3493</v>
      </c>
      <c r="C8" s="3799" t="s">
        <v>3494</v>
      </c>
      <c r="D8" s="3799" t="s">
        <v>3495</v>
      </c>
      <c r="E8" s="3799" t="s">
        <v>3521</v>
      </c>
      <c r="F8" s="3799" t="s">
        <v>3498</v>
      </c>
      <c r="G8" s="3799">
        <v>6995.29</v>
      </c>
      <c r="H8" s="3799">
        <v>34976.449999999997</v>
      </c>
      <c r="I8" s="3799" t="s">
        <v>3512</v>
      </c>
      <c r="J8" s="3799">
        <v>5</v>
      </c>
      <c r="K8" s="3799" t="s">
        <v>3498</v>
      </c>
      <c r="L8" s="3802">
        <v>45134.000497685185</v>
      </c>
      <c r="M8" s="3799" t="s">
        <v>3507</v>
      </c>
      <c r="N8" s="3799" t="s">
        <v>3522</v>
      </c>
      <c r="O8" s="3799">
        <v>215.11</v>
      </c>
      <c r="P8" s="3799">
        <v>307.5</v>
      </c>
      <c r="Q8" s="3799">
        <v>20.5</v>
      </c>
      <c r="R8" s="3799">
        <v>62</v>
      </c>
      <c r="S8" s="3799">
        <v>0</v>
      </c>
      <c r="T8" s="3799" t="s">
        <v>3523</v>
      </c>
      <c r="U8" s="3799" t="s">
        <v>3509</v>
      </c>
    </row>
    <row r="9" spans="1:21" ht="15.6">
      <c r="A9" s="3799" t="s">
        <v>3520</v>
      </c>
      <c r="B9" s="3799" t="s">
        <v>3493</v>
      </c>
      <c r="C9" s="3799" t="s">
        <v>3494</v>
      </c>
      <c r="D9" s="3799" t="s">
        <v>3495</v>
      </c>
      <c r="E9" s="3799" t="s">
        <v>3521</v>
      </c>
      <c r="F9" s="3799" t="s">
        <v>3498</v>
      </c>
      <c r="G9" s="3799">
        <v>23636.94</v>
      </c>
      <c r="H9" s="3799">
        <v>118184.7</v>
      </c>
      <c r="I9" s="3799" t="s">
        <v>3512</v>
      </c>
      <c r="J9" s="3799">
        <v>5</v>
      </c>
      <c r="K9" s="3799" t="s">
        <v>3498</v>
      </c>
      <c r="L9" s="3802">
        <v>45134.000497685185</v>
      </c>
      <c r="M9" s="3799" t="s">
        <v>3507</v>
      </c>
      <c r="N9" s="3799" t="s">
        <v>3522</v>
      </c>
      <c r="O9" s="3799">
        <v>726.93</v>
      </c>
      <c r="P9" s="3799">
        <v>307.52999999999997</v>
      </c>
      <c r="Q9" s="3799">
        <v>20.5</v>
      </c>
      <c r="R9" s="3799">
        <v>62</v>
      </c>
      <c r="S9" s="3799">
        <v>0</v>
      </c>
      <c r="T9" s="3799" t="s">
        <v>3523</v>
      </c>
      <c r="U9" s="3799" t="s">
        <v>3509</v>
      </c>
    </row>
    <row r="10" spans="1:21" ht="15.6">
      <c r="A10" s="3799" t="s">
        <v>3524</v>
      </c>
      <c r="B10" s="3799" t="s">
        <v>3493</v>
      </c>
      <c r="C10" s="3799" t="s">
        <v>3494</v>
      </c>
      <c r="D10" s="3799" t="s">
        <v>3495</v>
      </c>
      <c r="E10" s="3799" t="s">
        <v>3525</v>
      </c>
      <c r="F10" s="3799" t="s">
        <v>3498</v>
      </c>
      <c r="G10" s="3799">
        <v>81888.2</v>
      </c>
      <c r="H10" s="3799">
        <v>81888.2</v>
      </c>
      <c r="I10" s="3799" t="s">
        <v>3526</v>
      </c>
      <c r="J10" s="3799">
        <v>0</v>
      </c>
      <c r="K10" s="3799" t="s">
        <v>3498</v>
      </c>
      <c r="L10" s="3802">
        <v>45061.000497685185</v>
      </c>
      <c r="M10" s="3799" t="s">
        <v>3507</v>
      </c>
      <c r="N10" s="3799" t="s">
        <v>3527</v>
      </c>
      <c r="O10" s="3799">
        <v>3439.3</v>
      </c>
      <c r="P10" s="3799">
        <v>419.99</v>
      </c>
      <c r="Q10" s="3799">
        <v>28</v>
      </c>
      <c r="R10" s="3799">
        <v>420</v>
      </c>
      <c r="S10" s="3799">
        <v>0</v>
      </c>
      <c r="T10" s="3799" t="s">
        <v>3502</v>
      </c>
      <c r="U10" s="3799" t="s">
        <v>3509</v>
      </c>
    </row>
    <row r="11" spans="1:21" s="3459" customFormat="1" ht="15.6">
      <c r="A11" s="3799" t="s">
        <v>3528</v>
      </c>
      <c r="B11" s="3799" t="s">
        <v>3493</v>
      </c>
      <c r="C11" s="3799" t="s">
        <v>3494</v>
      </c>
      <c r="D11" s="3799" t="s">
        <v>3495</v>
      </c>
      <c r="E11" s="3799" t="s">
        <v>3529</v>
      </c>
      <c r="F11" s="3799" t="s">
        <v>3498</v>
      </c>
      <c r="G11" s="3799">
        <v>10875.23</v>
      </c>
      <c r="H11" s="3799">
        <v>16312.85</v>
      </c>
      <c r="I11" s="3799" t="s">
        <v>3530</v>
      </c>
      <c r="J11" s="3799">
        <v>1.5</v>
      </c>
      <c r="K11" s="3799" t="s">
        <v>3498</v>
      </c>
      <c r="L11" s="3802">
        <v>45035.000497685185</v>
      </c>
      <c r="M11" s="3799" t="s">
        <v>3507</v>
      </c>
      <c r="N11" s="3799" t="s">
        <v>3531</v>
      </c>
      <c r="O11" s="3799">
        <v>206.68</v>
      </c>
      <c r="P11" s="3799">
        <v>190.04</v>
      </c>
      <c r="Q11" s="3799">
        <v>12.67</v>
      </c>
      <c r="R11" s="3799">
        <v>127</v>
      </c>
      <c r="S11" s="3799">
        <v>0</v>
      </c>
      <c r="T11" s="3799" t="s">
        <v>3502</v>
      </c>
      <c r="U11" s="3799" t="s">
        <v>3509</v>
      </c>
    </row>
    <row r="12" spans="1:21" ht="15.6">
      <c r="A12" s="3799" t="s">
        <v>3532</v>
      </c>
      <c r="B12" s="3799" t="s">
        <v>3493</v>
      </c>
      <c r="C12" s="3799" t="s">
        <v>3494</v>
      </c>
      <c r="D12" s="3799" t="s">
        <v>3495</v>
      </c>
      <c r="E12" s="3799" t="s">
        <v>3533</v>
      </c>
      <c r="F12" s="3799" t="s">
        <v>3498</v>
      </c>
      <c r="G12" s="3799">
        <v>14063.44</v>
      </c>
      <c r="H12" s="3799">
        <v>42190.32</v>
      </c>
      <c r="I12" s="3799" t="s">
        <v>3534</v>
      </c>
      <c r="J12" s="3799">
        <v>3</v>
      </c>
      <c r="K12" s="3799" t="s">
        <v>3498</v>
      </c>
      <c r="L12" s="3802">
        <v>45035.000497685185</v>
      </c>
      <c r="M12" s="3799" t="s">
        <v>3507</v>
      </c>
      <c r="N12" s="3799" t="s">
        <v>3535</v>
      </c>
      <c r="O12" s="3799">
        <v>590.79999999999995</v>
      </c>
      <c r="P12" s="3799">
        <v>420.09</v>
      </c>
      <c r="Q12" s="3799">
        <v>28.01</v>
      </c>
      <c r="R12" s="3799">
        <v>140</v>
      </c>
      <c r="S12" s="3799">
        <v>0</v>
      </c>
      <c r="T12" s="3799" t="s">
        <v>3502</v>
      </c>
      <c r="U12" s="3799" t="s">
        <v>3509</v>
      </c>
    </row>
    <row r="13" spans="1:21" ht="15.6">
      <c r="A13" s="3799" t="s">
        <v>3536</v>
      </c>
      <c r="B13" s="3799" t="s">
        <v>3493</v>
      </c>
      <c r="C13" s="3799" t="s">
        <v>3494</v>
      </c>
      <c r="D13" s="3799" t="s">
        <v>3495</v>
      </c>
      <c r="E13" s="3799" t="s">
        <v>3537</v>
      </c>
      <c r="F13" s="3799" t="s">
        <v>3498</v>
      </c>
      <c r="G13" s="3799">
        <v>8778.4699999999993</v>
      </c>
      <c r="H13" s="3799">
        <v>17556.939999999999</v>
      </c>
      <c r="I13" s="3799" t="s">
        <v>3538</v>
      </c>
      <c r="J13" s="3799">
        <v>2</v>
      </c>
      <c r="K13" s="3799" t="s">
        <v>3498</v>
      </c>
      <c r="L13" s="3802">
        <v>45035.000497685185</v>
      </c>
      <c r="M13" s="3799" t="s">
        <v>3507</v>
      </c>
      <c r="N13" s="3799" t="s">
        <v>3539</v>
      </c>
      <c r="O13" s="3799">
        <v>197.55</v>
      </c>
      <c r="P13" s="3799">
        <v>225.03</v>
      </c>
      <c r="Q13" s="3799">
        <v>15</v>
      </c>
      <c r="R13" s="3799">
        <v>113</v>
      </c>
      <c r="S13" s="3799">
        <v>0</v>
      </c>
      <c r="T13" s="3799" t="s">
        <v>3502</v>
      </c>
      <c r="U13" s="3799" t="s">
        <v>3509</v>
      </c>
    </row>
    <row r="14" spans="1:21" ht="15.6">
      <c r="A14" s="3799" t="s">
        <v>3540</v>
      </c>
      <c r="B14" s="3799" t="s">
        <v>3493</v>
      </c>
      <c r="C14" s="3799" t="s">
        <v>3494</v>
      </c>
      <c r="D14" s="3799" t="s">
        <v>3495</v>
      </c>
      <c r="E14" s="3799" t="s">
        <v>3541</v>
      </c>
      <c r="F14" s="3799" t="s">
        <v>3498</v>
      </c>
      <c r="G14" s="3799">
        <v>2274</v>
      </c>
      <c r="H14" s="3799">
        <v>6822</v>
      </c>
      <c r="I14" s="3799" t="s">
        <v>3542</v>
      </c>
      <c r="J14" s="3799">
        <v>3</v>
      </c>
      <c r="K14" s="3799" t="s">
        <v>3498</v>
      </c>
      <c r="L14" s="3802">
        <v>45035.000497685185</v>
      </c>
      <c r="M14" s="3799" t="s">
        <v>3507</v>
      </c>
      <c r="N14" s="3799" t="s">
        <v>3543</v>
      </c>
      <c r="O14" s="3799">
        <v>48.18</v>
      </c>
      <c r="P14" s="3799">
        <v>211.87</v>
      </c>
      <c r="Q14" s="3799">
        <v>14.12</v>
      </c>
      <c r="R14" s="3799">
        <v>71</v>
      </c>
      <c r="S14" s="3799">
        <v>0</v>
      </c>
      <c r="T14" s="3799" t="s">
        <v>3502</v>
      </c>
      <c r="U14" s="3799" t="s">
        <v>3509</v>
      </c>
    </row>
    <row r="15" spans="1:21" ht="15.6">
      <c r="A15" s="3799" t="s">
        <v>3544</v>
      </c>
      <c r="B15" s="3799" t="s">
        <v>3493</v>
      </c>
      <c r="C15" s="3799" t="s">
        <v>3494</v>
      </c>
      <c r="D15" s="3799" t="s">
        <v>3495</v>
      </c>
      <c r="E15" s="3799" t="s">
        <v>3545</v>
      </c>
      <c r="F15" s="3799" t="s">
        <v>3498</v>
      </c>
      <c r="G15" s="3799">
        <v>147905.4</v>
      </c>
      <c r="H15" s="3799">
        <v>147905.4</v>
      </c>
      <c r="I15" s="3799" t="s">
        <v>3526</v>
      </c>
      <c r="J15" s="3799">
        <v>0</v>
      </c>
      <c r="K15" s="3799" t="s">
        <v>3498</v>
      </c>
      <c r="L15" s="3802">
        <v>44995.000497685185</v>
      </c>
      <c r="M15" s="3799" t="s">
        <v>3507</v>
      </c>
      <c r="N15" s="3799" t="s">
        <v>3546</v>
      </c>
      <c r="O15" s="3799">
        <v>4880.92</v>
      </c>
      <c r="P15" s="3799">
        <v>330</v>
      </c>
      <c r="Q15" s="3799">
        <v>22</v>
      </c>
      <c r="R15" s="3799">
        <v>330</v>
      </c>
      <c r="S15" s="3799">
        <v>0</v>
      </c>
      <c r="T15" s="3799" t="s">
        <v>3502</v>
      </c>
      <c r="U15" s="3799" t="s">
        <v>3509</v>
      </c>
    </row>
    <row r="16" spans="1:21" ht="15.6">
      <c r="A16" s="3799" t="s">
        <v>3547</v>
      </c>
      <c r="B16" s="3799" t="s">
        <v>3493</v>
      </c>
      <c r="C16" s="3799" t="s">
        <v>3494</v>
      </c>
      <c r="D16" s="3799" t="s">
        <v>3495</v>
      </c>
      <c r="E16" s="3799" t="s">
        <v>3548</v>
      </c>
      <c r="F16" s="3799" t="s">
        <v>3498</v>
      </c>
      <c r="G16" s="3799">
        <v>44598.19</v>
      </c>
      <c r="H16" s="3799">
        <v>44598.19</v>
      </c>
      <c r="I16" s="3799" t="s">
        <v>3526</v>
      </c>
      <c r="J16" s="3799">
        <v>0</v>
      </c>
      <c r="K16" s="3799" t="s">
        <v>3498</v>
      </c>
      <c r="L16" s="3802">
        <v>44979.000497685185</v>
      </c>
      <c r="M16" s="3799" t="s">
        <v>3507</v>
      </c>
      <c r="N16" s="3799" t="s">
        <v>3549</v>
      </c>
      <c r="O16" s="3799">
        <v>2609.1</v>
      </c>
      <c r="P16" s="3799">
        <v>585.02</v>
      </c>
      <c r="Q16" s="3799">
        <v>39</v>
      </c>
      <c r="R16" s="3799">
        <v>585</v>
      </c>
      <c r="S16" s="3799">
        <v>0</v>
      </c>
      <c r="T16" s="3799" t="s">
        <v>3502</v>
      </c>
      <c r="U16" s="3799" t="s">
        <v>3509</v>
      </c>
    </row>
    <row r="17" spans="1:21" ht="15.6">
      <c r="A17" s="3799" t="s">
        <v>3550</v>
      </c>
      <c r="B17" s="3799" t="s">
        <v>3493</v>
      </c>
      <c r="C17" s="3799" t="s">
        <v>3494</v>
      </c>
      <c r="D17" s="3799" t="s">
        <v>3495</v>
      </c>
      <c r="E17" s="3799" t="s">
        <v>3551</v>
      </c>
      <c r="F17" s="3799" t="s">
        <v>3498</v>
      </c>
      <c r="G17" s="3799">
        <v>40704.33</v>
      </c>
      <c r="H17" s="3799">
        <v>40704.33</v>
      </c>
      <c r="I17" s="3799" t="s">
        <v>3526</v>
      </c>
      <c r="J17" s="3799">
        <v>0</v>
      </c>
      <c r="K17" s="3799" t="s">
        <v>3498</v>
      </c>
      <c r="L17" s="3802">
        <v>44921.000497685185</v>
      </c>
      <c r="M17" s="3799" t="s">
        <v>3507</v>
      </c>
      <c r="N17" s="3799" t="s">
        <v>3552</v>
      </c>
      <c r="O17" s="3799">
        <v>1343.32</v>
      </c>
      <c r="P17" s="3799">
        <v>330.01</v>
      </c>
      <c r="Q17" s="3799">
        <v>22</v>
      </c>
      <c r="R17" s="3799">
        <v>330</v>
      </c>
      <c r="S17" s="3799">
        <v>0</v>
      </c>
      <c r="T17" s="3799" t="s">
        <v>3502</v>
      </c>
      <c r="U17" s="3799" t="s">
        <v>3509</v>
      </c>
    </row>
    <row r="18" spans="1:21" ht="15.6">
      <c r="A18" s="3799" t="s">
        <v>3553</v>
      </c>
      <c r="B18" s="3799" t="s">
        <v>3493</v>
      </c>
      <c r="C18" s="3799" t="s">
        <v>3494</v>
      </c>
      <c r="D18" s="3799" t="s">
        <v>3495</v>
      </c>
      <c r="E18" s="3799" t="s">
        <v>3554</v>
      </c>
      <c r="F18" s="3799" t="s">
        <v>3498</v>
      </c>
      <c r="G18" s="3799">
        <v>37509.72</v>
      </c>
      <c r="H18" s="3799">
        <v>112529.16</v>
      </c>
      <c r="I18" s="3799" t="s">
        <v>3542</v>
      </c>
      <c r="J18" s="3799">
        <v>3</v>
      </c>
      <c r="K18" s="3799" t="s">
        <v>3498</v>
      </c>
      <c r="L18" s="3802">
        <v>44901.000497685185</v>
      </c>
      <c r="M18" s="3799" t="s">
        <v>3507</v>
      </c>
      <c r="N18" s="3799" t="s">
        <v>3555</v>
      </c>
      <c r="O18" s="3799">
        <v>2194.14</v>
      </c>
      <c r="P18" s="3799">
        <v>584.95000000000005</v>
      </c>
      <c r="Q18" s="3799">
        <v>39</v>
      </c>
      <c r="R18" s="3799">
        <v>195</v>
      </c>
      <c r="S18" s="3799">
        <v>0</v>
      </c>
      <c r="T18" s="3799" t="s">
        <v>3502</v>
      </c>
      <c r="U18" s="3799" t="s">
        <v>3509</v>
      </c>
    </row>
    <row r="19" spans="1:21" ht="15.6">
      <c r="A19" s="3799" t="s">
        <v>3556</v>
      </c>
      <c r="B19" s="3799" t="s">
        <v>3493</v>
      </c>
      <c r="C19" s="3799" t="s">
        <v>3494</v>
      </c>
      <c r="D19" s="3799" t="s">
        <v>3495</v>
      </c>
      <c r="E19" s="3799" t="s">
        <v>3557</v>
      </c>
      <c r="F19" s="3799" t="s">
        <v>3498</v>
      </c>
      <c r="G19" s="3799">
        <v>63577.45</v>
      </c>
      <c r="H19" s="3799">
        <v>63577.45</v>
      </c>
      <c r="I19" s="3799" t="s">
        <v>3526</v>
      </c>
      <c r="J19" s="3799">
        <v>0</v>
      </c>
      <c r="K19" s="3799" t="s">
        <v>3498</v>
      </c>
      <c r="L19" s="3802">
        <v>44901.000497685185</v>
      </c>
      <c r="M19" s="3799" t="s">
        <v>3507</v>
      </c>
      <c r="N19" s="3799" t="s">
        <v>3555</v>
      </c>
      <c r="O19" s="3799">
        <v>3147.21</v>
      </c>
      <c r="P19" s="3799">
        <v>495.01</v>
      </c>
      <c r="Q19" s="3799">
        <v>33</v>
      </c>
      <c r="R19" s="3799">
        <v>495</v>
      </c>
      <c r="S19" s="3799">
        <v>0</v>
      </c>
      <c r="T19" s="3799" t="s">
        <v>3502</v>
      </c>
      <c r="U19" s="3799" t="s">
        <v>3509</v>
      </c>
    </row>
    <row r="20" spans="1:21" ht="15.6">
      <c r="A20" s="3799" t="s">
        <v>3558</v>
      </c>
      <c r="B20" s="3799" t="s">
        <v>3493</v>
      </c>
      <c r="C20" s="3799" t="s">
        <v>3494</v>
      </c>
      <c r="D20" s="3799" t="s">
        <v>3495</v>
      </c>
      <c r="E20" s="3799" t="s">
        <v>3559</v>
      </c>
      <c r="F20" s="3799" t="s">
        <v>3498</v>
      </c>
      <c r="G20" s="3799">
        <v>90562.94</v>
      </c>
      <c r="H20" s="3799">
        <v>90562.94</v>
      </c>
      <c r="I20" s="3799" t="s">
        <v>3526</v>
      </c>
      <c r="J20" s="3799">
        <v>0</v>
      </c>
      <c r="K20" s="3799" t="s">
        <v>3498</v>
      </c>
      <c r="L20" s="3802">
        <v>44901.000497685185</v>
      </c>
      <c r="M20" s="3799" t="s">
        <v>3507</v>
      </c>
      <c r="N20" s="3799" t="s">
        <v>3549</v>
      </c>
      <c r="O20" s="3799">
        <v>5297.76</v>
      </c>
      <c r="P20" s="3799">
        <v>584.98</v>
      </c>
      <c r="Q20" s="3799">
        <v>39</v>
      </c>
      <c r="R20" s="3799">
        <v>585</v>
      </c>
      <c r="S20" s="3799">
        <v>0</v>
      </c>
      <c r="T20" s="3799" t="s">
        <v>3502</v>
      </c>
      <c r="U20" s="3799" t="s">
        <v>3509</v>
      </c>
    </row>
    <row r="21" spans="1:21" ht="15.6">
      <c r="A21" s="3799" t="s">
        <v>3560</v>
      </c>
      <c r="B21" s="3799" t="s">
        <v>3493</v>
      </c>
      <c r="C21" s="3799" t="s">
        <v>3494</v>
      </c>
      <c r="D21" s="3799" t="s">
        <v>3495</v>
      </c>
      <c r="E21" s="3799" t="s">
        <v>3561</v>
      </c>
      <c r="F21" s="3799" t="s">
        <v>3498</v>
      </c>
      <c r="G21" s="3799">
        <v>401341.6</v>
      </c>
      <c r="H21" s="3799">
        <v>401341.6</v>
      </c>
      <c r="I21" s="3799" t="s">
        <v>3526</v>
      </c>
      <c r="J21" s="3799">
        <v>0</v>
      </c>
      <c r="K21" s="3799" t="s">
        <v>3498</v>
      </c>
      <c r="L21" s="3802">
        <v>44866.000497685185</v>
      </c>
      <c r="M21" s="3799" t="s">
        <v>3507</v>
      </c>
      <c r="N21" s="3799" t="s">
        <v>3546</v>
      </c>
      <c r="O21" s="3799">
        <v>13244.22</v>
      </c>
      <c r="P21" s="3799">
        <v>329.99</v>
      </c>
      <c r="Q21" s="3799">
        <v>22</v>
      </c>
      <c r="R21" s="3799">
        <v>330</v>
      </c>
      <c r="S21" s="3799">
        <v>0</v>
      </c>
      <c r="T21" s="3799" t="s">
        <v>3502</v>
      </c>
      <c r="U21" s="3799" t="s">
        <v>3509</v>
      </c>
    </row>
    <row r="22" spans="1:21" ht="15.6">
      <c r="A22" s="3799" t="s">
        <v>3562</v>
      </c>
      <c r="B22" s="3799" t="s">
        <v>3493</v>
      </c>
      <c r="C22" s="3799" t="s">
        <v>3494</v>
      </c>
      <c r="D22" s="3799" t="s">
        <v>3495</v>
      </c>
      <c r="E22" s="3799" t="s">
        <v>3563</v>
      </c>
      <c r="F22" s="3799" t="s">
        <v>3498</v>
      </c>
      <c r="G22" s="3799">
        <v>6273.83</v>
      </c>
      <c r="H22" s="3799">
        <v>5019.0600000000004</v>
      </c>
      <c r="I22" s="3799" t="s">
        <v>3564</v>
      </c>
      <c r="J22" s="3799">
        <v>0.8</v>
      </c>
      <c r="K22" s="3799" t="s">
        <v>3498</v>
      </c>
      <c r="L22" s="3802">
        <v>44862.000497685185</v>
      </c>
      <c r="M22" s="3799" t="s">
        <v>3507</v>
      </c>
      <c r="N22" s="3799" t="s">
        <v>3565</v>
      </c>
      <c r="O22" s="3799">
        <v>138.38</v>
      </c>
      <c r="P22" s="3799">
        <v>220.56</v>
      </c>
      <c r="Q22" s="3799">
        <v>14.7</v>
      </c>
      <c r="R22" s="3799">
        <v>276</v>
      </c>
      <c r="S22" s="3799">
        <v>0</v>
      </c>
      <c r="T22" s="3799" t="s">
        <v>3502</v>
      </c>
      <c r="U22" s="3799" t="s">
        <v>3509</v>
      </c>
    </row>
    <row r="23" spans="1:21" ht="15.6">
      <c r="A23" s="3799" t="s">
        <v>3566</v>
      </c>
      <c r="B23" s="3799" t="s">
        <v>3493</v>
      </c>
      <c r="C23" s="3799" t="s">
        <v>3494</v>
      </c>
      <c r="D23" s="3799" t="s">
        <v>3495</v>
      </c>
      <c r="E23" s="3799" t="s">
        <v>3567</v>
      </c>
      <c r="F23" s="3799" t="s">
        <v>3498</v>
      </c>
      <c r="G23" s="3799">
        <v>15401.54</v>
      </c>
      <c r="H23" s="3799">
        <v>15401.54</v>
      </c>
      <c r="I23" s="3799" t="s">
        <v>3526</v>
      </c>
      <c r="J23" s="3799">
        <v>0</v>
      </c>
      <c r="K23" s="3799" t="s">
        <v>3498</v>
      </c>
      <c r="L23" s="3802">
        <v>44862.000497685185</v>
      </c>
      <c r="M23" s="3799" t="s">
        <v>3507</v>
      </c>
      <c r="N23" s="3799" t="s">
        <v>3568</v>
      </c>
      <c r="O23" s="3799">
        <v>508.2</v>
      </c>
      <c r="P23" s="3799">
        <v>329.96</v>
      </c>
      <c r="Q23" s="3799">
        <v>22</v>
      </c>
      <c r="R23" s="3799">
        <v>330</v>
      </c>
      <c r="S23" s="3799">
        <v>0</v>
      </c>
      <c r="T23" s="3799" t="s">
        <v>3502</v>
      </c>
      <c r="U23" s="3799" t="s">
        <v>3509</v>
      </c>
    </row>
    <row r="24" spans="1:21" ht="15.6">
      <c r="A24" s="3799" t="s">
        <v>3569</v>
      </c>
      <c r="B24" s="3799" t="s">
        <v>3493</v>
      </c>
      <c r="C24" s="3799" t="s">
        <v>3494</v>
      </c>
      <c r="D24" s="3799" t="s">
        <v>3495</v>
      </c>
      <c r="E24" s="3799" t="s">
        <v>3570</v>
      </c>
      <c r="F24" s="3799" t="s">
        <v>3498</v>
      </c>
      <c r="G24" s="3799">
        <v>21596.69</v>
      </c>
      <c r="H24" s="3799">
        <v>21596.69</v>
      </c>
      <c r="I24" s="3799" t="s">
        <v>3526</v>
      </c>
      <c r="J24" s="3799">
        <v>0</v>
      </c>
      <c r="K24" s="3799" t="s">
        <v>3498</v>
      </c>
      <c r="L24" s="3802">
        <v>44825.000497685185</v>
      </c>
      <c r="M24" s="3799" t="s">
        <v>3507</v>
      </c>
      <c r="N24" s="3799" t="s">
        <v>3571</v>
      </c>
      <c r="O24" s="3799">
        <v>725.76</v>
      </c>
      <c r="P24" s="3799">
        <v>336.05</v>
      </c>
      <c r="Q24" s="3799">
        <v>22.4</v>
      </c>
      <c r="R24" s="3799">
        <v>336</v>
      </c>
      <c r="S24" s="3799">
        <v>0</v>
      </c>
      <c r="T24" s="3799" t="s">
        <v>3502</v>
      </c>
      <c r="U24" s="3799" t="s">
        <v>3509</v>
      </c>
    </row>
    <row r="25" spans="1:21" ht="15.6">
      <c r="A25" s="3799" t="s">
        <v>3572</v>
      </c>
      <c r="B25" s="3799" t="s">
        <v>3493</v>
      </c>
      <c r="C25" s="3799" t="s">
        <v>3494</v>
      </c>
      <c r="D25" s="3799" t="s">
        <v>3495</v>
      </c>
      <c r="E25" s="3799" t="s">
        <v>3573</v>
      </c>
      <c r="F25" s="3799" t="s">
        <v>3498</v>
      </c>
      <c r="G25" s="3799">
        <v>55227.18</v>
      </c>
      <c r="H25" s="3799">
        <v>55227.18</v>
      </c>
      <c r="I25" s="3799" t="s">
        <v>3526</v>
      </c>
      <c r="J25" s="3799">
        <v>0</v>
      </c>
      <c r="K25" s="3799" t="s">
        <v>3498</v>
      </c>
      <c r="L25" s="3802">
        <v>44825.000497685185</v>
      </c>
      <c r="M25" s="3799" t="s">
        <v>3507</v>
      </c>
      <c r="N25" s="3799" t="s">
        <v>3574</v>
      </c>
      <c r="O25" s="3799">
        <v>1273.05</v>
      </c>
      <c r="P25" s="3799">
        <v>230.51</v>
      </c>
      <c r="Q25" s="3799">
        <v>15.37</v>
      </c>
      <c r="R25" s="3799">
        <v>231</v>
      </c>
      <c r="S25" s="3799">
        <v>0</v>
      </c>
      <c r="T25" s="3799" t="s">
        <v>3502</v>
      </c>
      <c r="U25" s="3799" t="s">
        <v>3509</v>
      </c>
    </row>
    <row r="26" spans="1:21" ht="15.6">
      <c r="A26" s="3799" t="s">
        <v>3575</v>
      </c>
      <c r="B26" s="3799" t="s">
        <v>3493</v>
      </c>
      <c r="C26" s="3799" t="s">
        <v>3494</v>
      </c>
      <c r="D26" s="3799" t="s">
        <v>3495</v>
      </c>
      <c r="E26" s="3799" t="s">
        <v>3576</v>
      </c>
      <c r="F26" s="3799" t="s">
        <v>3498</v>
      </c>
      <c r="G26" s="3799">
        <v>40033.199999999997</v>
      </c>
      <c r="H26" s="3799">
        <v>40033.199999999997</v>
      </c>
      <c r="I26" s="3799">
        <v>1</v>
      </c>
      <c r="J26" s="3799">
        <v>1</v>
      </c>
      <c r="K26" s="3799" t="s">
        <v>3498</v>
      </c>
      <c r="L26" s="3802">
        <v>44502.000497685185</v>
      </c>
      <c r="M26" s="3799" t="s">
        <v>3507</v>
      </c>
      <c r="N26" s="3799" t="s">
        <v>3577</v>
      </c>
      <c r="O26" s="3799">
        <v>1321.1</v>
      </c>
      <c r="P26" s="3799">
        <v>330</v>
      </c>
      <c r="Q26" s="3799">
        <v>22</v>
      </c>
      <c r="R26" s="3799">
        <v>330</v>
      </c>
      <c r="S26" s="3799">
        <v>0</v>
      </c>
      <c r="T26" s="3799">
        <v>50</v>
      </c>
      <c r="U26" s="3799" t="s">
        <v>3578</v>
      </c>
    </row>
    <row r="27" spans="1:21" ht="15.6">
      <c r="A27" s="3799" t="s">
        <v>3579</v>
      </c>
      <c r="B27" s="3799" t="s">
        <v>3493</v>
      </c>
      <c r="C27" s="3799" t="s">
        <v>3494</v>
      </c>
      <c r="D27" s="3799" t="s">
        <v>3495</v>
      </c>
      <c r="E27" s="3799" t="s">
        <v>3580</v>
      </c>
      <c r="F27" s="3799" t="s">
        <v>3498</v>
      </c>
      <c r="G27" s="3799">
        <v>42294.84</v>
      </c>
      <c r="H27" s="3799">
        <v>42294.84</v>
      </c>
      <c r="I27" s="3799">
        <v>1</v>
      </c>
      <c r="J27" s="3799">
        <v>1</v>
      </c>
      <c r="K27" s="3799" t="s">
        <v>3498</v>
      </c>
      <c r="L27" s="3802">
        <v>44502.000497685185</v>
      </c>
      <c r="M27" s="3799" t="s">
        <v>3507</v>
      </c>
      <c r="N27" s="3799" t="s">
        <v>3581</v>
      </c>
      <c r="O27" s="3799">
        <v>1395.68</v>
      </c>
      <c r="P27" s="3799">
        <v>329.98</v>
      </c>
      <c r="Q27" s="3799">
        <v>22</v>
      </c>
      <c r="R27" s="3799">
        <v>330</v>
      </c>
      <c r="S27" s="3799">
        <v>0</v>
      </c>
      <c r="T27" s="3799">
        <v>50</v>
      </c>
      <c r="U27" s="3799" t="s">
        <v>3578</v>
      </c>
    </row>
    <row r="28" spans="1:21" ht="15.6">
      <c r="A28" s="3799" t="s">
        <v>3582</v>
      </c>
      <c r="B28" s="3799" t="s">
        <v>3493</v>
      </c>
      <c r="C28" s="3799" t="s">
        <v>3494</v>
      </c>
      <c r="D28" s="3799" t="s">
        <v>3495</v>
      </c>
      <c r="E28" s="3799" t="s">
        <v>3583</v>
      </c>
      <c r="F28" s="3799" t="s">
        <v>3498</v>
      </c>
      <c r="G28" s="3799">
        <v>11371</v>
      </c>
      <c r="H28" s="3799">
        <v>11371</v>
      </c>
      <c r="I28" s="3799">
        <v>1</v>
      </c>
      <c r="J28" s="3799">
        <v>1</v>
      </c>
      <c r="K28" s="3799" t="s">
        <v>3498</v>
      </c>
      <c r="L28" s="3802">
        <v>44502.000497685185</v>
      </c>
      <c r="M28" s="3799" t="s">
        <v>3507</v>
      </c>
      <c r="N28" s="3799" t="s">
        <v>3584</v>
      </c>
      <c r="O28" s="3799">
        <v>192.96</v>
      </c>
      <c r="P28" s="3799">
        <v>169.69</v>
      </c>
      <c r="Q28" s="3799">
        <v>11.31</v>
      </c>
      <c r="R28" s="3799">
        <v>170</v>
      </c>
      <c r="S28" s="3799">
        <v>0</v>
      </c>
      <c r="T28" s="3799">
        <v>50</v>
      </c>
      <c r="U28" s="3799" t="s">
        <v>3578</v>
      </c>
    </row>
    <row r="29" spans="1:21" s="3459" customFormat="1" ht="15.6">
      <c r="A29" s="3800" t="s">
        <v>3585</v>
      </c>
      <c r="B29" s="3800" t="s">
        <v>3493</v>
      </c>
      <c r="C29" s="3800" t="s">
        <v>3494</v>
      </c>
      <c r="D29" s="3800" t="s">
        <v>3495</v>
      </c>
      <c r="E29" s="3800" t="s">
        <v>3586</v>
      </c>
      <c r="F29" s="3800" t="s">
        <v>3498</v>
      </c>
      <c r="G29" s="3800">
        <v>16250.3</v>
      </c>
      <c r="H29" s="3800">
        <v>16250.3</v>
      </c>
      <c r="I29" s="3800">
        <v>1</v>
      </c>
      <c r="J29" s="3800">
        <v>1</v>
      </c>
      <c r="K29" s="3800" t="s">
        <v>3498</v>
      </c>
      <c r="L29" s="3801">
        <v>44502.000497685185</v>
      </c>
      <c r="M29" s="3800" t="s">
        <v>3507</v>
      </c>
      <c r="N29" s="3800" t="s">
        <v>3587</v>
      </c>
      <c r="O29" s="3800">
        <v>246.24</v>
      </c>
      <c r="P29" s="3800">
        <v>151.52000000000001</v>
      </c>
      <c r="Q29" s="3800">
        <v>10.1</v>
      </c>
      <c r="R29" s="3800">
        <v>152</v>
      </c>
      <c r="S29" s="3800">
        <v>0</v>
      </c>
      <c r="T29" s="3800">
        <v>50</v>
      </c>
      <c r="U29" s="3800" t="s">
        <v>3578</v>
      </c>
    </row>
    <row r="30" spans="1:21" ht="15.6">
      <c r="A30" s="3799" t="s">
        <v>3588</v>
      </c>
      <c r="B30" s="3799" t="s">
        <v>3493</v>
      </c>
      <c r="C30" s="3799" t="s">
        <v>3494</v>
      </c>
      <c r="D30" s="3799" t="s">
        <v>3495</v>
      </c>
      <c r="E30" s="3799" t="s">
        <v>3589</v>
      </c>
      <c r="F30" s="3799" t="s">
        <v>3498</v>
      </c>
      <c r="G30" s="3799">
        <v>7692.95</v>
      </c>
      <c r="H30" s="3799">
        <v>7692.95</v>
      </c>
      <c r="I30" s="3799">
        <v>1</v>
      </c>
      <c r="J30" s="3799">
        <v>1</v>
      </c>
      <c r="K30" s="3799" t="s">
        <v>3498</v>
      </c>
      <c r="L30" s="3802">
        <v>44502.000497685185</v>
      </c>
      <c r="M30" s="3799" t="s">
        <v>3507</v>
      </c>
      <c r="N30" s="3799" t="s">
        <v>3590</v>
      </c>
      <c r="O30" s="3799">
        <v>140.16</v>
      </c>
      <c r="P30" s="3799">
        <v>182.19</v>
      </c>
      <c r="Q30" s="3799">
        <v>12.15</v>
      </c>
      <c r="R30" s="3799">
        <v>182</v>
      </c>
      <c r="S30" s="3799">
        <v>0</v>
      </c>
      <c r="T30" s="3799">
        <v>50</v>
      </c>
      <c r="U30" s="3799" t="s">
        <v>3578</v>
      </c>
    </row>
    <row r="31" spans="1:21" ht="15.6">
      <c r="A31" s="3799" t="s">
        <v>3591</v>
      </c>
      <c r="B31" s="3799" t="s">
        <v>3493</v>
      </c>
      <c r="C31" s="3799" t="s">
        <v>3494</v>
      </c>
      <c r="D31" s="3799" t="s">
        <v>3495</v>
      </c>
      <c r="E31" s="3799" t="s">
        <v>3592</v>
      </c>
      <c r="F31" s="3799" t="s">
        <v>3498</v>
      </c>
      <c r="G31" s="3799">
        <v>4006</v>
      </c>
      <c r="H31" s="3799">
        <v>4006</v>
      </c>
      <c r="I31" s="3799">
        <v>1</v>
      </c>
      <c r="J31" s="3799">
        <v>1</v>
      </c>
      <c r="K31" s="3799" t="s">
        <v>3498</v>
      </c>
      <c r="L31" s="3802">
        <v>44502.000497685185</v>
      </c>
      <c r="M31" s="3799" t="s">
        <v>3507</v>
      </c>
      <c r="N31" s="3799" t="s">
        <v>3587</v>
      </c>
      <c r="O31" s="3799">
        <v>60.7</v>
      </c>
      <c r="P31" s="3799">
        <v>151.52000000000001</v>
      </c>
      <c r="Q31" s="3799">
        <v>10.1</v>
      </c>
      <c r="R31" s="3799">
        <v>152</v>
      </c>
      <c r="S31" s="3799">
        <v>0</v>
      </c>
      <c r="T31" s="3799">
        <v>50</v>
      </c>
      <c r="U31" s="3799" t="s">
        <v>3578</v>
      </c>
    </row>
    <row r="32" spans="1:21" ht="15.6">
      <c r="A32" s="3799" t="s">
        <v>3593</v>
      </c>
      <c r="B32" s="3799" t="s">
        <v>3493</v>
      </c>
      <c r="C32" s="3799" t="s">
        <v>3494</v>
      </c>
      <c r="D32" s="3799" t="s">
        <v>3495</v>
      </c>
      <c r="E32" s="3799" t="s">
        <v>3594</v>
      </c>
      <c r="F32" s="3799" t="s">
        <v>3498</v>
      </c>
      <c r="G32" s="3799">
        <v>2746.07</v>
      </c>
      <c r="H32" s="3799">
        <v>2746.07</v>
      </c>
      <c r="I32" s="3799" t="s">
        <v>3526</v>
      </c>
      <c r="J32" s="3799">
        <v>0</v>
      </c>
      <c r="K32" s="3799" t="s">
        <v>3498</v>
      </c>
      <c r="L32" s="3799" t="s">
        <v>3496</v>
      </c>
      <c r="M32" s="3799" t="s">
        <v>3595</v>
      </c>
      <c r="N32" s="3799" t="s">
        <v>3500</v>
      </c>
      <c r="O32" s="3799" t="s">
        <v>3496</v>
      </c>
      <c r="P32" s="3799" t="s">
        <v>3496</v>
      </c>
      <c r="Q32" s="3799" t="s">
        <v>3496</v>
      </c>
      <c r="R32" s="3799" t="s">
        <v>3496</v>
      </c>
      <c r="S32" s="3799">
        <v>0</v>
      </c>
      <c r="T32" s="3799" t="s">
        <v>3502</v>
      </c>
      <c r="U32" s="3799" t="s">
        <v>3503</v>
      </c>
    </row>
    <row r="33" spans="1:21" ht="15.6">
      <c r="A33" s="3799" t="s">
        <v>3596</v>
      </c>
      <c r="B33" s="3799" t="s">
        <v>3493</v>
      </c>
      <c r="C33" s="3799" t="s">
        <v>3494</v>
      </c>
      <c r="D33" s="3799" t="s">
        <v>3495</v>
      </c>
      <c r="E33" s="3799" t="s">
        <v>3597</v>
      </c>
      <c r="F33" s="3799" t="s">
        <v>3498</v>
      </c>
      <c r="G33" s="3799">
        <v>51616.87</v>
      </c>
      <c r="H33" s="3799">
        <v>51616.87</v>
      </c>
      <c r="I33" s="3799" t="s">
        <v>3526</v>
      </c>
      <c r="J33" s="3799">
        <v>0</v>
      </c>
      <c r="K33" s="3799" t="s">
        <v>3498</v>
      </c>
      <c r="L33" s="3799" t="s">
        <v>3496</v>
      </c>
      <c r="M33" s="3799" t="s">
        <v>3595</v>
      </c>
      <c r="N33" s="3799" t="s">
        <v>3500</v>
      </c>
      <c r="O33" s="3799" t="s">
        <v>3496</v>
      </c>
      <c r="P33" s="3799" t="s">
        <v>3496</v>
      </c>
      <c r="Q33" s="3799" t="s">
        <v>3496</v>
      </c>
      <c r="R33" s="3799" t="s">
        <v>3496</v>
      </c>
      <c r="S33" s="3799">
        <v>0</v>
      </c>
      <c r="T33" s="3799" t="s">
        <v>3502</v>
      </c>
      <c r="U33" s="3799" t="s">
        <v>3503</v>
      </c>
    </row>
    <row r="34" spans="1:21" ht="15.6">
      <c r="A34" s="3799" t="s">
        <v>3596</v>
      </c>
      <c r="B34" s="3799" t="s">
        <v>3493</v>
      </c>
      <c r="C34" s="3799" t="s">
        <v>3494</v>
      </c>
      <c r="D34" s="3799" t="s">
        <v>3495</v>
      </c>
      <c r="E34" s="3799" t="s">
        <v>3597</v>
      </c>
      <c r="F34" s="3799" t="s">
        <v>3498</v>
      </c>
      <c r="G34" s="3799">
        <v>1717.26</v>
      </c>
      <c r="H34" s="3799">
        <v>1717.26</v>
      </c>
      <c r="I34" s="3799" t="s">
        <v>3526</v>
      </c>
      <c r="J34" s="3799">
        <v>0</v>
      </c>
      <c r="K34" s="3799" t="s">
        <v>3498</v>
      </c>
      <c r="L34" s="3799" t="s">
        <v>3496</v>
      </c>
      <c r="M34" s="3799" t="s">
        <v>3595</v>
      </c>
      <c r="N34" s="3799" t="s">
        <v>3500</v>
      </c>
      <c r="O34" s="3799" t="s">
        <v>3496</v>
      </c>
      <c r="P34" s="3799" t="s">
        <v>3496</v>
      </c>
      <c r="Q34" s="3799" t="s">
        <v>3496</v>
      </c>
      <c r="R34" s="3799" t="s">
        <v>3496</v>
      </c>
      <c r="S34" s="3799">
        <v>0</v>
      </c>
      <c r="T34" s="3799" t="s">
        <v>3502</v>
      </c>
      <c r="U34" s="3799" t="s">
        <v>3503</v>
      </c>
    </row>
    <row r="35" spans="1:21" ht="15.6">
      <c r="A35" s="3799" t="s">
        <v>3598</v>
      </c>
      <c r="B35" s="3799" t="s">
        <v>3493</v>
      </c>
      <c r="C35" s="3799" t="s">
        <v>3494</v>
      </c>
      <c r="D35" s="3799" t="s">
        <v>3495</v>
      </c>
      <c r="E35" s="3799" t="s">
        <v>3599</v>
      </c>
      <c r="F35" s="3799" t="s">
        <v>3498</v>
      </c>
      <c r="G35" s="3799">
        <v>192948.43</v>
      </c>
      <c r="H35" s="3799">
        <v>192948.43</v>
      </c>
      <c r="I35" s="3799" t="s">
        <v>3526</v>
      </c>
      <c r="J35" s="3799">
        <v>0</v>
      </c>
      <c r="K35" s="3799" t="s">
        <v>3498</v>
      </c>
      <c r="L35" s="3799" t="s">
        <v>3496</v>
      </c>
      <c r="M35" s="3799" t="s">
        <v>3595</v>
      </c>
      <c r="N35" s="3799" t="s">
        <v>3500</v>
      </c>
      <c r="O35" s="3799" t="s">
        <v>3496</v>
      </c>
      <c r="P35" s="3799" t="s">
        <v>3496</v>
      </c>
      <c r="Q35" s="3799" t="s">
        <v>3496</v>
      </c>
      <c r="R35" s="3799" t="s">
        <v>3496</v>
      </c>
      <c r="S35" s="3799">
        <v>0</v>
      </c>
      <c r="T35" s="3799" t="s">
        <v>3502</v>
      </c>
      <c r="U35" s="3799" t="s">
        <v>3503</v>
      </c>
    </row>
    <row r="36" spans="1:21" ht="15.6">
      <c r="A36" s="3799" t="s">
        <v>3600</v>
      </c>
      <c r="B36" s="3799" t="s">
        <v>3493</v>
      </c>
      <c r="C36" s="3799" t="s">
        <v>3494</v>
      </c>
      <c r="D36" s="3799" t="s">
        <v>3495</v>
      </c>
      <c r="E36" s="3799" t="s">
        <v>3601</v>
      </c>
      <c r="F36" s="3799" t="s">
        <v>3498</v>
      </c>
      <c r="G36" s="3799">
        <v>19103.63</v>
      </c>
      <c r="H36" s="3799">
        <v>28655.45</v>
      </c>
      <c r="I36" s="3799" t="s">
        <v>3530</v>
      </c>
      <c r="J36" s="3799">
        <v>1.5</v>
      </c>
      <c r="K36" s="3799" t="s">
        <v>3602</v>
      </c>
      <c r="L36" s="3802">
        <v>44333.000497685185</v>
      </c>
      <c r="M36" s="3799" t="s">
        <v>3507</v>
      </c>
      <c r="N36" s="3799" t="s">
        <v>3603</v>
      </c>
      <c r="O36" s="3799">
        <v>716.5</v>
      </c>
      <c r="P36" s="3799">
        <v>375.05</v>
      </c>
      <c r="Q36" s="3799">
        <v>25</v>
      </c>
      <c r="R36" s="3799">
        <v>250</v>
      </c>
      <c r="S36" s="3799">
        <v>0</v>
      </c>
      <c r="T36" s="3799" t="s">
        <v>3502</v>
      </c>
      <c r="U36" s="3799" t="s">
        <v>3578</v>
      </c>
    </row>
    <row r="37" spans="1:21" ht="15.6">
      <c r="A37" s="3799" t="s">
        <v>3604</v>
      </c>
      <c r="B37" s="3799" t="s">
        <v>3493</v>
      </c>
      <c r="C37" s="3799" t="s">
        <v>3494</v>
      </c>
      <c r="D37" s="3799" t="s">
        <v>3495</v>
      </c>
      <c r="E37" s="3799" t="s">
        <v>3605</v>
      </c>
      <c r="F37" s="3799" t="s">
        <v>3498</v>
      </c>
      <c r="G37" s="3799">
        <v>27062.1</v>
      </c>
      <c r="H37" s="3799">
        <v>27062.1</v>
      </c>
      <c r="I37" s="3799" t="s">
        <v>3526</v>
      </c>
      <c r="J37" s="3799">
        <v>0</v>
      </c>
      <c r="K37" s="3799" t="s">
        <v>3498</v>
      </c>
      <c r="L37" s="3799" t="s">
        <v>3496</v>
      </c>
      <c r="M37" s="3799" t="s">
        <v>3595</v>
      </c>
      <c r="N37" s="3799" t="s">
        <v>3500</v>
      </c>
      <c r="O37" s="3799" t="s">
        <v>3496</v>
      </c>
      <c r="P37" s="3799" t="s">
        <v>3496</v>
      </c>
      <c r="Q37" s="3799" t="s">
        <v>3496</v>
      </c>
      <c r="R37" s="3799" t="s">
        <v>3496</v>
      </c>
      <c r="S37" s="3799">
        <v>0</v>
      </c>
      <c r="T37" s="3799" t="s">
        <v>3502</v>
      </c>
      <c r="U37" s="3799" t="s">
        <v>3503</v>
      </c>
    </row>
  </sheetData>
  <mergeCells count="777">
    <mergeCell ref="L16"/>
    <mergeCell ref="M16"/>
    <mergeCell ref="L18"/>
    <mergeCell ref="M18"/>
    <mergeCell ref="N18"/>
    <mergeCell ref="L19"/>
    <mergeCell ref="L20"/>
    <mergeCell ref="M20"/>
    <mergeCell ref="N20"/>
    <mergeCell ref="N19"/>
    <mergeCell ref="L3"/>
    <mergeCell ref="M3"/>
    <mergeCell ref="L5"/>
    <mergeCell ref="M5"/>
    <mergeCell ref="N5"/>
    <mergeCell ref="L6"/>
    <mergeCell ref="L7"/>
    <mergeCell ref="M7"/>
    <mergeCell ref="N7"/>
    <mergeCell ref="N6"/>
    <mergeCell ref="J37"/>
    <mergeCell ref="K37"/>
    <mergeCell ref="L37"/>
    <mergeCell ref="M37"/>
    <mergeCell ref="N37"/>
    <mergeCell ref="O37"/>
    <mergeCell ref="U37"/>
    <mergeCell ref="P37"/>
    <mergeCell ref="Q37"/>
    <mergeCell ref="R37"/>
    <mergeCell ref="S37"/>
    <mergeCell ref="T37"/>
    <mergeCell ref="A37"/>
    <mergeCell ref="B37"/>
    <mergeCell ref="C37"/>
    <mergeCell ref="D37"/>
    <mergeCell ref="E37"/>
    <mergeCell ref="F37"/>
    <mergeCell ref="G37"/>
    <mergeCell ref="H37"/>
    <mergeCell ref="I37"/>
    <mergeCell ref="S35"/>
    <mergeCell ref="T35"/>
    <mergeCell ref="U35"/>
    <mergeCell ref="A36"/>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U36"/>
    <mergeCell ref="J35"/>
    <mergeCell ref="K35"/>
    <mergeCell ref="L35"/>
    <mergeCell ref="M35"/>
    <mergeCell ref="N35"/>
    <mergeCell ref="O35"/>
    <mergeCell ref="P35"/>
    <mergeCell ref="Q35"/>
    <mergeCell ref="R35"/>
    <mergeCell ref="A35"/>
    <mergeCell ref="B35"/>
    <mergeCell ref="C35"/>
    <mergeCell ref="D35"/>
    <mergeCell ref="E35"/>
    <mergeCell ref="F35"/>
    <mergeCell ref="G35"/>
    <mergeCell ref="H35"/>
    <mergeCell ref="I35"/>
    <mergeCell ref="S33"/>
    <mergeCell ref="T33"/>
    <mergeCell ref="U33"/>
    <mergeCell ref="A34"/>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S34"/>
    <mergeCell ref="T34"/>
    <mergeCell ref="U34"/>
    <mergeCell ref="J33"/>
    <mergeCell ref="K33"/>
    <mergeCell ref="L33"/>
    <mergeCell ref="M33"/>
    <mergeCell ref="N33"/>
    <mergeCell ref="O33"/>
    <mergeCell ref="P33"/>
    <mergeCell ref="Q33"/>
    <mergeCell ref="R33"/>
    <mergeCell ref="A33"/>
    <mergeCell ref="B33"/>
    <mergeCell ref="C33"/>
    <mergeCell ref="D33"/>
    <mergeCell ref="E33"/>
    <mergeCell ref="F33"/>
    <mergeCell ref="G33"/>
    <mergeCell ref="H33"/>
    <mergeCell ref="I33"/>
    <mergeCell ref="S31"/>
    <mergeCell ref="T31"/>
    <mergeCell ref="U31"/>
    <mergeCell ref="A32"/>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U32"/>
    <mergeCell ref="J31"/>
    <mergeCell ref="K31"/>
    <mergeCell ref="L31"/>
    <mergeCell ref="M31"/>
    <mergeCell ref="N31"/>
    <mergeCell ref="O31"/>
    <mergeCell ref="P31"/>
    <mergeCell ref="Q31"/>
    <mergeCell ref="R31"/>
    <mergeCell ref="A31"/>
    <mergeCell ref="B31"/>
    <mergeCell ref="C31"/>
    <mergeCell ref="D31"/>
    <mergeCell ref="E31"/>
    <mergeCell ref="F31"/>
    <mergeCell ref="G31"/>
    <mergeCell ref="H31"/>
    <mergeCell ref="I31"/>
    <mergeCell ref="S29"/>
    <mergeCell ref="T29"/>
    <mergeCell ref="U29"/>
    <mergeCell ref="A30"/>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S30"/>
    <mergeCell ref="T30"/>
    <mergeCell ref="U30"/>
    <mergeCell ref="J29"/>
    <mergeCell ref="K29"/>
    <mergeCell ref="L29"/>
    <mergeCell ref="M29"/>
    <mergeCell ref="N29"/>
    <mergeCell ref="O29"/>
    <mergeCell ref="P29"/>
    <mergeCell ref="Q29"/>
    <mergeCell ref="R29"/>
    <mergeCell ref="A29"/>
    <mergeCell ref="B29"/>
    <mergeCell ref="C29"/>
    <mergeCell ref="D29"/>
    <mergeCell ref="E29"/>
    <mergeCell ref="F29"/>
    <mergeCell ref="G29"/>
    <mergeCell ref="H29"/>
    <mergeCell ref="I29"/>
    <mergeCell ref="S27"/>
    <mergeCell ref="T27"/>
    <mergeCell ref="U27"/>
    <mergeCell ref="A28"/>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U28"/>
    <mergeCell ref="J27"/>
    <mergeCell ref="K27"/>
    <mergeCell ref="L27"/>
    <mergeCell ref="M27"/>
    <mergeCell ref="N27"/>
    <mergeCell ref="O27"/>
    <mergeCell ref="P27"/>
    <mergeCell ref="Q27"/>
    <mergeCell ref="R27"/>
    <mergeCell ref="A27"/>
    <mergeCell ref="B27"/>
    <mergeCell ref="C27"/>
    <mergeCell ref="D27"/>
    <mergeCell ref="E27"/>
    <mergeCell ref="F27"/>
    <mergeCell ref="G27"/>
    <mergeCell ref="H27"/>
    <mergeCell ref="I27"/>
    <mergeCell ref="S25"/>
    <mergeCell ref="T25"/>
    <mergeCell ref="U25"/>
    <mergeCell ref="A26"/>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J25"/>
    <mergeCell ref="K25"/>
    <mergeCell ref="L25"/>
    <mergeCell ref="M25"/>
    <mergeCell ref="N25"/>
    <mergeCell ref="O25"/>
    <mergeCell ref="P25"/>
    <mergeCell ref="Q25"/>
    <mergeCell ref="R25"/>
    <mergeCell ref="A25"/>
    <mergeCell ref="B25"/>
    <mergeCell ref="C25"/>
    <mergeCell ref="D25"/>
    <mergeCell ref="E25"/>
    <mergeCell ref="F25"/>
    <mergeCell ref="G25"/>
    <mergeCell ref="H25"/>
    <mergeCell ref="I25"/>
    <mergeCell ref="O24"/>
    <mergeCell ref="S23"/>
    <mergeCell ref="T23"/>
    <mergeCell ref="U23"/>
    <mergeCell ref="A24"/>
    <mergeCell ref="B24"/>
    <mergeCell ref="C24"/>
    <mergeCell ref="D24"/>
    <mergeCell ref="E24"/>
    <mergeCell ref="F24"/>
    <mergeCell ref="G24"/>
    <mergeCell ref="H24"/>
    <mergeCell ref="I24"/>
    <mergeCell ref="J24"/>
    <mergeCell ref="K24"/>
    <mergeCell ref="P24"/>
    <mergeCell ref="Q24"/>
    <mergeCell ref="R24"/>
    <mergeCell ref="S24"/>
    <mergeCell ref="T24"/>
    <mergeCell ref="U24"/>
    <mergeCell ref="L24"/>
    <mergeCell ref="M24"/>
    <mergeCell ref="N24"/>
    <mergeCell ref="J23"/>
    <mergeCell ref="K23"/>
    <mergeCell ref="L23"/>
    <mergeCell ref="M23"/>
    <mergeCell ref="N23"/>
    <mergeCell ref="O23"/>
    <mergeCell ref="P23"/>
    <mergeCell ref="Q23"/>
    <mergeCell ref="R23"/>
    <mergeCell ref="A23"/>
    <mergeCell ref="B23"/>
    <mergeCell ref="C23"/>
    <mergeCell ref="D23"/>
    <mergeCell ref="E23"/>
    <mergeCell ref="F23"/>
    <mergeCell ref="G23"/>
    <mergeCell ref="H23"/>
    <mergeCell ref="I23"/>
    <mergeCell ref="S21"/>
    <mergeCell ref="T21"/>
    <mergeCell ref="U21"/>
    <mergeCell ref="A22"/>
    <mergeCell ref="B22"/>
    <mergeCell ref="C22"/>
    <mergeCell ref="D22"/>
    <mergeCell ref="E22"/>
    <mergeCell ref="F22"/>
    <mergeCell ref="G22"/>
    <mergeCell ref="H22"/>
    <mergeCell ref="I22"/>
    <mergeCell ref="J22"/>
    <mergeCell ref="K22"/>
    <mergeCell ref="O22"/>
    <mergeCell ref="P22"/>
    <mergeCell ref="Q22"/>
    <mergeCell ref="R22"/>
    <mergeCell ref="S22"/>
    <mergeCell ref="T22"/>
    <mergeCell ref="U22"/>
    <mergeCell ref="L22"/>
    <mergeCell ref="M22"/>
    <mergeCell ref="N22"/>
    <mergeCell ref="J21"/>
    <mergeCell ref="K21"/>
    <mergeCell ref="L21"/>
    <mergeCell ref="M21"/>
    <mergeCell ref="N21"/>
    <mergeCell ref="O21"/>
    <mergeCell ref="P21"/>
    <mergeCell ref="Q21"/>
    <mergeCell ref="R21"/>
    <mergeCell ref="A21"/>
    <mergeCell ref="B21"/>
    <mergeCell ref="C21"/>
    <mergeCell ref="D21"/>
    <mergeCell ref="E21"/>
    <mergeCell ref="F21"/>
    <mergeCell ref="G21"/>
    <mergeCell ref="H21"/>
    <mergeCell ref="I21"/>
    <mergeCell ref="S19"/>
    <mergeCell ref="T19"/>
    <mergeCell ref="U19"/>
    <mergeCell ref="A20"/>
    <mergeCell ref="B20"/>
    <mergeCell ref="C20"/>
    <mergeCell ref="D20"/>
    <mergeCell ref="E20"/>
    <mergeCell ref="F20"/>
    <mergeCell ref="G20"/>
    <mergeCell ref="H20"/>
    <mergeCell ref="I20"/>
    <mergeCell ref="J20"/>
    <mergeCell ref="K20"/>
    <mergeCell ref="O20"/>
    <mergeCell ref="P20"/>
    <mergeCell ref="Q20"/>
    <mergeCell ref="R20"/>
    <mergeCell ref="S20"/>
    <mergeCell ref="T20"/>
    <mergeCell ref="U20"/>
    <mergeCell ref="J19"/>
    <mergeCell ref="K19"/>
    <mergeCell ref="M19"/>
    <mergeCell ref="O19"/>
    <mergeCell ref="P19"/>
    <mergeCell ref="Q19"/>
    <mergeCell ref="R19"/>
    <mergeCell ref="O18"/>
    <mergeCell ref="P18"/>
    <mergeCell ref="Q18"/>
    <mergeCell ref="R18"/>
    <mergeCell ref="A19"/>
    <mergeCell ref="B19"/>
    <mergeCell ref="C19"/>
    <mergeCell ref="D19"/>
    <mergeCell ref="E19"/>
    <mergeCell ref="F19"/>
    <mergeCell ref="G19"/>
    <mergeCell ref="H19"/>
    <mergeCell ref="I19"/>
    <mergeCell ref="U17"/>
    <mergeCell ref="A18"/>
    <mergeCell ref="B18"/>
    <mergeCell ref="C18"/>
    <mergeCell ref="D18"/>
    <mergeCell ref="E18"/>
    <mergeCell ref="F18"/>
    <mergeCell ref="G18"/>
    <mergeCell ref="H18"/>
    <mergeCell ref="I18"/>
    <mergeCell ref="J18"/>
    <mergeCell ref="K18"/>
    <mergeCell ref="U18"/>
    <mergeCell ref="S18"/>
    <mergeCell ref="T18"/>
    <mergeCell ref="Q17"/>
    <mergeCell ref="O16"/>
    <mergeCell ref="P16"/>
    <mergeCell ref="Q16"/>
    <mergeCell ref="R16"/>
    <mergeCell ref="S16"/>
    <mergeCell ref="T16"/>
    <mergeCell ref="R17"/>
    <mergeCell ref="S17"/>
    <mergeCell ref="T17"/>
    <mergeCell ref="J16"/>
    <mergeCell ref="K16"/>
    <mergeCell ref="N16"/>
    <mergeCell ref="R15"/>
    <mergeCell ref="S15"/>
    <mergeCell ref="T15"/>
    <mergeCell ref="U15"/>
    <mergeCell ref="U16"/>
    <mergeCell ref="A17"/>
    <mergeCell ref="B17"/>
    <mergeCell ref="C17"/>
    <mergeCell ref="D17"/>
    <mergeCell ref="E17"/>
    <mergeCell ref="F17"/>
    <mergeCell ref="G17"/>
    <mergeCell ref="H17"/>
    <mergeCell ref="I17"/>
    <mergeCell ref="J17"/>
    <mergeCell ref="K17"/>
    <mergeCell ref="L17"/>
    <mergeCell ref="M17"/>
    <mergeCell ref="N17"/>
    <mergeCell ref="O17"/>
    <mergeCell ref="P17"/>
    <mergeCell ref="A16"/>
    <mergeCell ref="B16"/>
    <mergeCell ref="C16"/>
    <mergeCell ref="D16"/>
    <mergeCell ref="E16"/>
    <mergeCell ref="F16"/>
    <mergeCell ref="G16"/>
    <mergeCell ref="H16"/>
    <mergeCell ref="I16"/>
    <mergeCell ref="U14"/>
    <mergeCell ref="A15"/>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O14"/>
    <mergeCell ref="P14"/>
    <mergeCell ref="Q14"/>
    <mergeCell ref="R14"/>
    <mergeCell ref="S14"/>
    <mergeCell ref="T14"/>
    <mergeCell ref="N14"/>
    <mergeCell ref="A14"/>
    <mergeCell ref="B14"/>
    <mergeCell ref="C14"/>
    <mergeCell ref="D14"/>
    <mergeCell ref="E14"/>
    <mergeCell ref="F14"/>
    <mergeCell ref="G14"/>
    <mergeCell ref="H14"/>
    <mergeCell ref="I14"/>
    <mergeCell ref="J14"/>
    <mergeCell ref="K14"/>
    <mergeCell ref="L14"/>
    <mergeCell ref="M14"/>
    <mergeCell ref="O13"/>
    <mergeCell ref="T12"/>
    <mergeCell ref="U12"/>
    <mergeCell ref="A13"/>
    <mergeCell ref="B13"/>
    <mergeCell ref="C13"/>
    <mergeCell ref="D13"/>
    <mergeCell ref="E13"/>
    <mergeCell ref="F13"/>
    <mergeCell ref="G13"/>
    <mergeCell ref="H13"/>
    <mergeCell ref="I13"/>
    <mergeCell ref="J13"/>
    <mergeCell ref="K13"/>
    <mergeCell ref="P13"/>
    <mergeCell ref="Q13"/>
    <mergeCell ref="R13"/>
    <mergeCell ref="S13"/>
    <mergeCell ref="T13"/>
    <mergeCell ref="U13"/>
    <mergeCell ref="L13"/>
    <mergeCell ref="M13"/>
    <mergeCell ref="N13"/>
    <mergeCell ref="S12"/>
    <mergeCell ref="U11"/>
    <mergeCell ref="A12"/>
    <mergeCell ref="B12"/>
    <mergeCell ref="C12"/>
    <mergeCell ref="D12"/>
    <mergeCell ref="E12"/>
    <mergeCell ref="F12"/>
    <mergeCell ref="G12"/>
    <mergeCell ref="H12"/>
    <mergeCell ref="I12"/>
    <mergeCell ref="J12"/>
    <mergeCell ref="K12"/>
    <mergeCell ref="M12"/>
    <mergeCell ref="N12"/>
    <mergeCell ref="O12"/>
    <mergeCell ref="P12"/>
    <mergeCell ref="Q12"/>
    <mergeCell ref="R12"/>
    <mergeCell ref="L12"/>
    <mergeCell ref="L11"/>
    <mergeCell ref="M11"/>
    <mergeCell ref="N11"/>
    <mergeCell ref="O11"/>
    <mergeCell ref="S10"/>
    <mergeCell ref="T10"/>
    <mergeCell ref="U10"/>
    <mergeCell ref="A11"/>
    <mergeCell ref="B11"/>
    <mergeCell ref="C11"/>
    <mergeCell ref="D11"/>
    <mergeCell ref="E11"/>
    <mergeCell ref="F11"/>
    <mergeCell ref="G11"/>
    <mergeCell ref="H11"/>
    <mergeCell ref="I11"/>
    <mergeCell ref="J11"/>
    <mergeCell ref="K11"/>
    <mergeCell ref="P11"/>
    <mergeCell ref="Q11"/>
    <mergeCell ref="R11"/>
    <mergeCell ref="S11"/>
    <mergeCell ref="T11"/>
    <mergeCell ref="J10"/>
    <mergeCell ref="K10"/>
    <mergeCell ref="L10"/>
    <mergeCell ref="M10"/>
    <mergeCell ref="N10"/>
    <mergeCell ref="O10"/>
    <mergeCell ref="P10"/>
    <mergeCell ref="Q10"/>
    <mergeCell ref="R10"/>
    <mergeCell ref="A10"/>
    <mergeCell ref="B10"/>
    <mergeCell ref="C10"/>
    <mergeCell ref="D10"/>
    <mergeCell ref="E10"/>
    <mergeCell ref="F10"/>
    <mergeCell ref="G10"/>
    <mergeCell ref="H10"/>
    <mergeCell ref="I10"/>
    <mergeCell ref="S8"/>
    <mergeCell ref="T8"/>
    <mergeCell ref="U8"/>
    <mergeCell ref="A9"/>
    <mergeCell ref="B9"/>
    <mergeCell ref="C9"/>
    <mergeCell ref="D9"/>
    <mergeCell ref="E9"/>
    <mergeCell ref="F9"/>
    <mergeCell ref="G9"/>
    <mergeCell ref="H9"/>
    <mergeCell ref="I9"/>
    <mergeCell ref="J9"/>
    <mergeCell ref="K9"/>
    <mergeCell ref="O9"/>
    <mergeCell ref="P9"/>
    <mergeCell ref="Q9"/>
    <mergeCell ref="R9"/>
    <mergeCell ref="S9"/>
    <mergeCell ref="T9"/>
    <mergeCell ref="U9"/>
    <mergeCell ref="L9"/>
    <mergeCell ref="M9"/>
    <mergeCell ref="N9"/>
    <mergeCell ref="J8"/>
    <mergeCell ref="K8"/>
    <mergeCell ref="L8"/>
    <mergeCell ref="M8"/>
    <mergeCell ref="N8"/>
    <mergeCell ref="O8"/>
    <mergeCell ref="P8"/>
    <mergeCell ref="Q8"/>
    <mergeCell ref="R8"/>
    <mergeCell ref="A8"/>
    <mergeCell ref="B8"/>
    <mergeCell ref="C8"/>
    <mergeCell ref="D8"/>
    <mergeCell ref="E8"/>
    <mergeCell ref="F8"/>
    <mergeCell ref="G8"/>
    <mergeCell ref="H8"/>
    <mergeCell ref="I8"/>
    <mergeCell ref="S6"/>
    <mergeCell ref="T6"/>
    <mergeCell ref="U6"/>
    <mergeCell ref="A7"/>
    <mergeCell ref="B7"/>
    <mergeCell ref="C7"/>
    <mergeCell ref="D7"/>
    <mergeCell ref="E7"/>
    <mergeCell ref="F7"/>
    <mergeCell ref="G7"/>
    <mergeCell ref="H7"/>
    <mergeCell ref="I7"/>
    <mergeCell ref="J7"/>
    <mergeCell ref="K7"/>
    <mergeCell ref="O7"/>
    <mergeCell ref="P7"/>
    <mergeCell ref="Q7"/>
    <mergeCell ref="R7"/>
    <mergeCell ref="S7"/>
    <mergeCell ref="T7"/>
    <mergeCell ref="U7"/>
    <mergeCell ref="J6"/>
    <mergeCell ref="K6"/>
    <mergeCell ref="M6"/>
    <mergeCell ref="O6"/>
    <mergeCell ref="P6"/>
    <mergeCell ref="Q6"/>
    <mergeCell ref="R6"/>
    <mergeCell ref="O5"/>
    <mergeCell ref="P5"/>
    <mergeCell ref="Q5"/>
    <mergeCell ref="R5"/>
    <mergeCell ref="A6"/>
    <mergeCell ref="B6"/>
    <mergeCell ref="C6"/>
    <mergeCell ref="D6"/>
    <mergeCell ref="E6"/>
    <mergeCell ref="F6"/>
    <mergeCell ref="G6"/>
    <mergeCell ref="H6"/>
    <mergeCell ref="I6"/>
    <mergeCell ref="U4"/>
    <mergeCell ref="A5"/>
    <mergeCell ref="B5"/>
    <mergeCell ref="C5"/>
    <mergeCell ref="D5"/>
    <mergeCell ref="E5"/>
    <mergeCell ref="F5"/>
    <mergeCell ref="G5"/>
    <mergeCell ref="H5"/>
    <mergeCell ref="I5"/>
    <mergeCell ref="J5"/>
    <mergeCell ref="K5"/>
    <mergeCell ref="U5"/>
    <mergeCell ref="S5"/>
    <mergeCell ref="T5"/>
    <mergeCell ref="Q4"/>
    <mergeCell ref="O3"/>
    <mergeCell ref="P3"/>
    <mergeCell ref="Q3"/>
    <mergeCell ref="R3"/>
    <mergeCell ref="S3"/>
    <mergeCell ref="T3"/>
    <mergeCell ref="R4"/>
    <mergeCell ref="S4"/>
    <mergeCell ref="T4"/>
    <mergeCell ref="J3"/>
    <mergeCell ref="K3"/>
    <mergeCell ref="N3"/>
    <mergeCell ref="R2"/>
    <mergeCell ref="S2"/>
    <mergeCell ref="T2"/>
    <mergeCell ref="U2"/>
    <mergeCell ref="U3"/>
    <mergeCell ref="A4"/>
    <mergeCell ref="B4"/>
    <mergeCell ref="C4"/>
    <mergeCell ref="D4"/>
    <mergeCell ref="E4"/>
    <mergeCell ref="F4"/>
    <mergeCell ref="G4"/>
    <mergeCell ref="H4"/>
    <mergeCell ref="I4"/>
    <mergeCell ref="J4"/>
    <mergeCell ref="K4"/>
    <mergeCell ref="L4"/>
    <mergeCell ref="M4"/>
    <mergeCell ref="N4"/>
    <mergeCell ref="O4"/>
    <mergeCell ref="P4"/>
    <mergeCell ref="A3"/>
    <mergeCell ref="B3"/>
    <mergeCell ref="C3"/>
    <mergeCell ref="D3"/>
    <mergeCell ref="E3"/>
    <mergeCell ref="F3"/>
    <mergeCell ref="G3"/>
    <mergeCell ref="H3"/>
    <mergeCell ref="I3"/>
    <mergeCell ref="U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O1"/>
    <mergeCell ref="P1"/>
    <mergeCell ref="Q1"/>
    <mergeCell ref="R1"/>
    <mergeCell ref="S1"/>
    <mergeCell ref="T1"/>
    <mergeCell ref="N1"/>
    <mergeCell ref="A1"/>
    <mergeCell ref="B1"/>
    <mergeCell ref="C1"/>
    <mergeCell ref="D1"/>
    <mergeCell ref="E1"/>
    <mergeCell ref="F1"/>
    <mergeCell ref="G1"/>
    <mergeCell ref="H1"/>
    <mergeCell ref="I1"/>
    <mergeCell ref="J1"/>
    <mergeCell ref="K1"/>
    <mergeCell ref="L1"/>
    <mergeCell ref="M1"/>
  </mergeCells>
  <phoneticPr fontId="135"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3"/>
  <sheetViews>
    <sheetView workbookViewId="0">
      <selection activeCell="L26" sqref="L26"/>
    </sheetView>
  </sheetViews>
  <sheetFormatPr defaultRowHeight="14.4"/>
  <cols>
    <col min="1" max="1" width="18.88671875" customWidth="1"/>
    <col min="2" max="2" width="12.88671875" customWidth="1"/>
  </cols>
  <sheetData>
    <row r="2" spans="1:4">
      <c r="B2" s="3448" t="s">
        <v>3615</v>
      </c>
    </row>
    <row r="3" spans="1:4">
      <c r="A3" s="3448" t="s">
        <v>3616</v>
      </c>
      <c r="B3">
        <v>47218.12</v>
      </c>
    </row>
    <row r="4" spans="1:4">
      <c r="A4" s="3803" t="s">
        <v>3617</v>
      </c>
      <c r="B4" s="3804">
        <v>35514.639999999999</v>
      </c>
      <c r="C4" s="3803" t="s">
        <v>3618</v>
      </c>
      <c r="D4">
        <f>B4*10000/$B$3</f>
        <v>7521.400682619299</v>
      </c>
    </row>
    <row r="5" spans="1:4">
      <c r="A5" s="3803" t="s">
        <v>3619</v>
      </c>
      <c r="B5" s="3804">
        <v>28597.81</v>
      </c>
      <c r="C5" s="3803" t="s">
        <v>3620</v>
      </c>
      <c r="D5">
        <f t="shared" ref="D5:D13" si="0">B5*10000/$B$3</f>
        <v>6056.5329581101487</v>
      </c>
    </row>
    <row r="6" spans="1:4">
      <c r="A6" s="3803" t="s">
        <v>3621</v>
      </c>
      <c r="B6" s="3805" t="s">
        <v>3622</v>
      </c>
      <c r="C6" s="3803" t="s">
        <v>3623</v>
      </c>
      <c r="D6">
        <f t="shared" si="0"/>
        <v>146.31671061872009</v>
      </c>
    </row>
    <row r="7" spans="1:4">
      <c r="A7" s="3803" t="s">
        <v>3624</v>
      </c>
      <c r="B7" s="3805">
        <v>21977.61</v>
      </c>
      <c r="C7" s="3803" t="s">
        <v>3625</v>
      </c>
      <c r="D7">
        <f t="shared" si="0"/>
        <v>4654.4864556233915</v>
      </c>
    </row>
    <row r="8" spans="1:4">
      <c r="A8" s="3803" t="s">
        <v>3626</v>
      </c>
      <c r="B8" s="3805">
        <v>2368.02</v>
      </c>
      <c r="C8" s="3803" t="s">
        <v>3627</v>
      </c>
      <c r="D8">
        <f t="shared" si="0"/>
        <v>501.50662499904695</v>
      </c>
    </row>
    <row r="9" spans="1:4">
      <c r="A9" s="3803" t="s">
        <v>3628</v>
      </c>
      <c r="B9" s="3805" t="s">
        <v>3629</v>
      </c>
      <c r="C9" s="3803" t="s">
        <v>3630</v>
      </c>
      <c r="D9">
        <f t="shared" si="0"/>
        <v>121.83881950403784</v>
      </c>
    </row>
    <row r="10" spans="1:4">
      <c r="A10" s="3803" t="s">
        <v>3631</v>
      </c>
      <c r="B10" s="3805" t="s">
        <v>3632</v>
      </c>
      <c r="C10" s="3803" t="s">
        <v>3633</v>
      </c>
      <c r="D10">
        <f t="shared" si="0"/>
        <v>9.7314336106562482</v>
      </c>
    </row>
    <row r="11" spans="1:4">
      <c r="A11" s="3803" t="s">
        <v>3634</v>
      </c>
      <c r="B11" s="3805">
        <v>2940.04</v>
      </c>
      <c r="C11" s="3803" t="s">
        <v>3635</v>
      </c>
      <c r="D11">
        <f t="shared" si="0"/>
        <v>622.65079592325992</v>
      </c>
    </row>
    <row r="12" spans="1:4">
      <c r="A12" s="3803" t="s">
        <v>3636</v>
      </c>
      <c r="B12" s="3804">
        <v>5486.94</v>
      </c>
      <c r="C12" s="3803" t="s">
        <v>3637</v>
      </c>
      <c r="D12">
        <f t="shared" si="0"/>
        <v>1162.0411824951943</v>
      </c>
    </row>
    <row r="13" spans="1:4">
      <c r="A13" s="3803" t="s">
        <v>3638</v>
      </c>
      <c r="B13" s="3804">
        <v>1429.89</v>
      </c>
      <c r="C13" s="3803" t="s">
        <v>3639</v>
      </c>
      <c r="D13">
        <f t="shared" si="0"/>
        <v>302.8265420139557</v>
      </c>
    </row>
  </sheetData>
  <phoneticPr fontId="13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71" t="str">
        <f>IF(项目基本情况!B9="房地产市场价值","估价结果一览表","结果表-2")</f>
        <v>估价结果一览表</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房地产市场价值</v>
      </c>
      <c r="I2" s="3472"/>
    </row>
    <row r="3" spans="1:9" ht="15.6">
      <c r="A3" s="3473"/>
      <c r="B3" s="3473"/>
      <c r="C3" s="3473"/>
      <c r="D3" s="854" t="s">
        <v>925</v>
      </c>
      <c r="E3" s="854" t="s">
        <v>931</v>
      </c>
      <c r="F3" s="854" t="s">
        <v>925</v>
      </c>
      <c r="G3" s="854" t="s">
        <v>926</v>
      </c>
      <c r="H3" s="854" t="s">
        <v>925</v>
      </c>
      <c r="I3" s="854" t="s">
        <v>926</v>
      </c>
    </row>
    <row r="4" spans="1:9" ht="45">
      <c r="A4" s="1505" t="str">
        <f>项目基本情况!S2</f>
        <v>四川省绵阳市江油市工业用房出让国有建设用地使用权及在建建筑物房地产</v>
      </c>
      <c r="B4" s="854">
        <f>项目基本情况!C17</f>
        <v>253739.7</v>
      </c>
      <c r="C4" s="854">
        <f>项目基本情况!C18</f>
        <v>368153.3</v>
      </c>
      <c r="D4" s="854" t="e">
        <f ca="1">结果表!D118</f>
        <v>#REF!</v>
      </c>
      <c r="E4" s="854" t="e">
        <f ca="1">结果表!E118</f>
        <v>#REF!</v>
      </c>
      <c r="F4" s="854" t="e">
        <f ca="1">结果表!F118</f>
        <v>#REF!</v>
      </c>
      <c r="G4" s="854" t="e">
        <f ca="1">结果表!G118</f>
        <v>#REF!</v>
      </c>
      <c r="H4" s="854">
        <f ca="1">结果表!H118</f>
        <v>59875</v>
      </c>
      <c r="I4" s="854">
        <f ca="1">结果表!I118</f>
        <v>2360</v>
      </c>
    </row>
    <row r="5" spans="1:9" ht="30" customHeight="1">
      <c r="A5" s="3473" t="s">
        <v>927</v>
      </c>
      <c r="B5" s="3473"/>
      <c r="C5" s="3473"/>
      <c r="D5" s="3473" t="e">
        <f ca="1">结果表!D119</f>
        <v>#REF!</v>
      </c>
      <c r="E5" s="3473"/>
      <c r="F5" s="3473" t="e">
        <f ca="1">结果表!F119</f>
        <v>#REF!</v>
      </c>
      <c r="G5" s="3473"/>
      <c r="H5" s="3473" t="str">
        <f ca="1">结果表!H119</f>
        <v>伍亿玖仟捌佰柒拾伍万元整</v>
      </c>
      <c r="I5" s="3473"/>
    </row>
    <row r="6" spans="1:9" ht="15.6">
      <c r="A6" s="3474" t="str">
        <f>结果表!A120</f>
        <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6">
      <c r="A8" s="3474" t="str">
        <f>结果表!A122</f>
        <v/>
      </c>
      <c r="B8" s="3474"/>
      <c r="C8" s="3474"/>
      <c r="D8" s="3474">
        <f ca="1">结果表!D122</f>
        <v>59875</v>
      </c>
      <c r="E8" s="3474"/>
      <c r="F8" s="3474"/>
      <c r="G8" s="3474"/>
      <c r="H8" s="3474"/>
      <c r="I8" s="3474"/>
    </row>
    <row r="9" spans="1:9" ht="15">
      <c r="A9" s="3473" t="s">
        <v>927</v>
      </c>
      <c r="B9" s="3473"/>
      <c r="C9" s="3473"/>
      <c r="D9" s="3473" t="str">
        <f ca="1">结果表!D123</f>
        <v>伍亿玖仟捌佰柒拾伍万元整</v>
      </c>
      <c r="E9" s="3473"/>
      <c r="F9" s="3473"/>
      <c r="G9" s="3473"/>
      <c r="H9" s="3473"/>
      <c r="I9" s="3473"/>
    </row>
    <row r="10" spans="1:9" ht="15.6">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6">
      <c r="A12" s="3474" t="str">
        <f>结果表!A126</f>
        <v/>
      </c>
      <c r="B12" s="3474"/>
      <c r="C12" s="3474"/>
      <c r="D12" s="3474" t="str">
        <f>结果表!D126</f>
        <v>——</v>
      </c>
      <c r="E12" s="3474"/>
      <c r="F12" s="3474"/>
      <c r="G12" s="3474"/>
      <c r="H12" s="3474"/>
      <c r="I12" s="3474"/>
    </row>
    <row r="13" spans="1:9" ht="15.6" thickBot="1">
      <c r="A13" s="3478" t="s">
        <v>927</v>
      </c>
      <c r="B13" s="3478"/>
      <c r="C13" s="3478"/>
      <c r="D13" s="3478" t="e">
        <f>结果表!D127</f>
        <v>#VALUE!</v>
      </c>
      <c r="E13" s="3478"/>
      <c r="F13" s="3478"/>
      <c r="G13" s="3478"/>
      <c r="H13" s="3478"/>
      <c r="I13" s="3478"/>
    </row>
    <row r="14" spans="1:9" ht="14.4" thickTop="1">
      <c r="A14" s="3479" t="s">
        <v>932</v>
      </c>
      <c r="B14" s="3479"/>
      <c r="C14" s="3479"/>
      <c r="D14" s="3479"/>
      <c r="E14" s="3479"/>
      <c r="F14" s="3479"/>
      <c r="G14" s="3479"/>
      <c r="H14" s="3479"/>
      <c r="I14" s="3479"/>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0" t="s">
        <v>949</v>
      </c>
      <c r="B1" s="3480"/>
      <c r="C1" s="3480"/>
      <c r="D1" s="3480"/>
    </row>
    <row r="2" spans="1:4" ht="17.399999999999999">
      <c r="A2" s="3481" t="s">
        <v>933</v>
      </c>
      <c r="B2" s="3481"/>
      <c r="C2" s="3481"/>
      <c r="D2" s="3481"/>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81" t="s">
        <v>939</v>
      </c>
      <c r="B6" s="3481"/>
      <c r="C6" s="3481"/>
      <c r="D6" s="3481"/>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82" t="s">
        <v>942</v>
      </c>
      <c r="B11" s="3483"/>
      <c r="C11" s="3483"/>
      <c r="D11" s="3483"/>
    </row>
    <row r="12" spans="1:4" ht="15.6">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3" t="str">
        <f>IF(项目基本情况!B8="抵押","4.本次评估估价师所知悉的法定优先受偿款情况说明如下：","——")</f>
        <v>4.本次评估估价师所知悉的法定优先受偿款情况说明如下：</v>
      </c>
      <c r="B14" s="3484"/>
      <c r="C14" s="3484"/>
      <c r="D14" s="3484"/>
    </row>
    <row r="15" spans="1:4" ht="42" customHeight="1">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故，本次评估不存在</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94" t="s">
        <v>956</v>
      </c>
      <c r="B15" s="3489" t="s">
        <v>109</v>
      </c>
      <c r="C15" s="3490"/>
    </row>
    <row r="16" spans="1:7" ht="14.4">
      <c r="A16" s="3495"/>
      <c r="B16" s="3489" t="s">
        <v>42</v>
      </c>
      <c r="C16" s="3490"/>
    </row>
    <row r="17" spans="1:3" ht="14.4">
      <c r="A17" s="3495"/>
      <c r="B17" s="3492" t="s">
        <v>957</v>
      </c>
      <c r="C17" s="1532" t="s">
        <v>956</v>
      </c>
    </row>
    <row r="18" spans="1:3" ht="14.4">
      <c r="A18" s="3495"/>
      <c r="B18" s="3492"/>
      <c r="C18" s="1532" t="s">
        <v>958</v>
      </c>
    </row>
    <row r="19" spans="1:3" ht="14.4">
      <c r="A19" s="3495"/>
      <c r="B19" s="3492"/>
      <c r="C19" s="1532" t="s">
        <v>959</v>
      </c>
    </row>
    <row r="20" spans="1:3" ht="14.4">
      <c r="A20" s="3496"/>
      <c r="B20" s="3491" t="s">
        <v>960</v>
      </c>
      <c r="C20" s="3490"/>
    </row>
    <row r="21" spans="1:3" ht="14.4">
      <c r="A21" s="1533" t="s">
        <v>961</v>
      </c>
      <c r="B21" s="1534"/>
      <c r="C21" s="1535"/>
    </row>
    <row r="22" spans="1:3" ht="14.4">
      <c r="A22" s="3493" t="s">
        <v>962</v>
      </c>
      <c r="B22" s="3491" t="s">
        <v>963</v>
      </c>
      <c r="C22" s="3490"/>
    </row>
    <row r="23" spans="1:3" ht="14.4">
      <c r="A23" s="3493"/>
      <c r="B23" s="3491" t="s">
        <v>964</v>
      </c>
      <c r="C23" s="3490"/>
    </row>
    <row r="24" spans="1:3" ht="14.4">
      <c r="A24" s="3493"/>
      <c r="B24" s="3491" t="s">
        <v>965</v>
      </c>
      <c r="C24" s="3490"/>
    </row>
    <row r="25" spans="1:3" ht="14.4">
      <c r="A25" s="3493"/>
      <c r="B25" s="3492" t="s">
        <v>966</v>
      </c>
      <c r="C25" s="1532" t="s">
        <v>967</v>
      </c>
    </row>
    <row r="26" spans="1:3" ht="14.4">
      <c r="A26" s="3493"/>
      <c r="B26" s="3492"/>
      <c r="C26" s="1532" t="s">
        <v>968</v>
      </c>
    </row>
    <row r="27" spans="1:3" ht="14.4">
      <c r="A27" s="3493"/>
      <c r="B27" s="3492"/>
      <c r="C27" s="1532" t="s">
        <v>969</v>
      </c>
    </row>
    <row r="28" spans="1:3" ht="14.4">
      <c r="A28" s="3493"/>
      <c r="B28" s="3492"/>
      <c r="C28" s="1532" t="s">
        <v>970</v>
      </c>
    </row>
    <row r="29" spans="1:3" ht="14.4">
      <c r="A29" s="3493"/>
      <c r="B29" s="3492"/>
      <c r="C29" s="1532" t="s">
        <v>971</v>
      </c>
    </row>
    <row r="30" spans="1:3" ht="14.4">
      <c r="A30" s="3493"/>
      <c r="B30" s="3492"/>
      <c r="C30" s="1532" t="s">
        <v>972</v>
      </c>
    </row>
    <row r="31" spans="1:3" ht="14.4">
      <c r="A31" s="3493"/>
      <c r="B31" s="3492"/>
      <c r="C31" s="1532" t="s">
        <v>973</v>
      </c>
    </row>
    <row r="32" spans="1:3" ht="14.4">
      <c r="A32" s="3493"/>
      <c r="B32" s="3492"/>
      <c r="C32" s="1532" t="s">
        <v>974</v>
      </c>
    </row>
    <row r="33" spans="1:3" ht="14.4">
      <c r="A33" s="3493"/>
      <c r="B33" s="3492"/>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2138</v>
      </c>
      <c r="B2" s="2339">
        <f ca="1">TODAY()</f>
        <v>45278</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7" t="s">
        <v>2159</v>
      </c>
      <c r="B17" s="3497"/>
      <c r="C17" s="3497"/>
      <c r="D17" s="3497"/>
      <c r="E17" s="3497"/>
      <c r="F17" s="3497"/>
      <c r="G17" s="3497"/>
      <c r="H17" s="3497"/>
    </row>
    <row r="18" spans="1:8" ht="24" customHeight="1">
      <c r="A18" s="3498" t="s">
        <v>2160</v>
      </c>
      <c r="B18" s="3498"/>
      <c r="C18" s="3498"/>
      <c r="D18" s="2343"/>
      <c r="E18" s="3499" t="s">
        <v>2161</v>
      </c>
      <c r="F18" s="3498"/>
      <c r="G18" s="3498"/>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土地比较法-工业</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资料</vt:lpstr>
      <vt:lpstr>Sheet2</vt:lpstr>
      <vt:lpstr>土地案例</vt:lpstr>
      <vt:lpstr>企业提供总投数据</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2023-12-18T08:55:09Z</dcterms:modified>
</cp:coreProperties>
</file>