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2290" windowHeight="55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Sheet2" sheetId="81" r:id="rId47"/>
    <sheet name="土地案例" sheetId="82"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N6" i="1" l="1"/>
  <c r="U24" i="1" l="1"/>
  <c r="C14" i="74"/>
  <c r="B14" i="74"/>
  <c r="D14" i="9" l="1"/>
  <c r="N20" i="1"/>
  <c r="O21" i="1" s="1"/>
  <c r="H109" i="40"/>
  <c r="G109" i="40"/>
  <c r="F109" i="40"/>
  <c r="E109" i="40"/>
  <c r="D109" i="40"/>
  <c r="I34" i="40"/>
  <c r="G34" i="40"/>
  <c r="E34" i="40"/>
  <c r="C34" i="40"/>
  <c r="K66" i="40"/>
  <c r="J66" i="40"/>
  <c r="I66" i="40"/>
  <c r="H66" i="40"/>
  <c r="G66" i="40"/>
  <c r="F66" i="40"/>
  <c r="E66" i="40"/>
  <c r="D66" i="40"/>
  <c r="I7" i="40"/>
  <c r="G7" i="40"/>
  <c r="E7" i="40"/>
  <c r="I41" i="40"/>
  <c r="G41" i="40"/>
  <c r="E41" i="40"/>
  <c r="B35" i="1"/>
  <c r="U6" i="1"/>
  <c r="T23" i="1"/>
  <c r="T24" i="1" s="1"/>
  <c r="T22" i="1"/>
  <c r="T21" i="1"/>
  <c r="T20" i="1"/>
  <c r="O20" i="1"/>
  <c r="O19" i="1"/>
  <c r="O18" i="1"/>
  <c r="G19" i="6"/>
  <c r="F19" i="6"/>
  <c r="K16" i="3"/>
  <c r="I16" i="3"/>
  <c r="D3" i="4"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AA13" i="71" s="1"/>
  <c r="O20" i="71"/>
  <c r="N20" i="71"/>
  <c r="X13" i="71" s="1"/>
  <c r="L3" i="71"/>
  <c r="AH3" i="71" s="1"/>
  <c r="K3" i="71"/>
  <c r="AG3" i="71" s="1"/>
  <c r="J3" i="71"/>
  <c r="AE3" i="71" s="1"/>
  <c r="I3" i="71"/>
  <c r="AH21" i="71"/>
  <c r="AG21" i="71"/>
  <c r="AE21" i="71"/>
  <c r="AF21" i="71"/>
  <c r="AD21" i="71"/>
  <c r="Q21" i="71"/>
  <c r="Q22" i="71"/>
  <c r="P21" i="71"/>
  <c r="P22" i="71"/>
  <c r="O21" i="71"/>
  <c r="O22" i="71"/>
  <c r="Y12" i="71" s="1"/>
  <c r="Z12" i="71" s="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s="1"/>
  <c r="C23"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AA25" i="71" s="1"/>
  <c r="Q27" i="71"/>
  <c r="N27" i="71"/>
  <c r="X25" i="71" s="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c r="P57" i="71"/>
  <c r="E58" i="71"/>
  <c r="E59" i="71" s="1"/>
  <c r="E60" i="71" s="1"/>
  <c r="U60" i="71" s="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C55"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X37" i="71" s="1"/>
  <c r="Q38" i="71"/>
  <c r="AB38" i="71" s="1"/>
  <c r="P38" i="71"/>
  <c r="AA38" i="71" s="1"/>
  <c r="O38" i="71"/>
  <c r="Y38" i="71"/>
  <c r="Z38" i="71" s="1"/>
  <c r="N38" i="71"/>
  <c r="Q37" i="71"/>
  <c r="F38" i="71" s="1"/>
  <c r="F39" i="71" s="1"/>
  <c r="F40" i="71" s="1"/>
  <c r="V40" i="71" s="1"/>
  <c r="P37" i="71"/>
  <c r="O37" i="71"/>
  <c r="N37" i="71"/>
  <c r="D37" i="71"/>
  <c r="Q36" i="71"/>
  <c r="AB36" i="71" s="1"/>
  <c r="P36" i="71"/>
  <c r="AA34" i="71" s="1"/>
  <c r="O36" i="71"/>
  <c r="Y36" i="71"/>
  <c r="Z36" i="71" s="1"/>
  <c r="N36" i="71"/>
  <c r="Q35" i="71"/>
  <c r="AB35" i="71"/>
  <c r="P35" i="71"/>
  <c r="O35" i="71"/>
  <c r="Y35" i="71" s="1"/>
  <c r="Z35" i="7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29" i="71" s="1"/>
  <c r="Q31" i="71"/>
  <c r="AB31" i="71"/>
  <c r="P31" i="71"/>
  <c r="O31" i="71"/>
  <c r="Y31" i="71" s="1"/>
  <c r="Z31" i="71" s="1"/>
  <c r="N31" i="71"/>
  <c r="Q30" i="71"/>
  <c r="P30" i="71"/>
  <c r="O30" i="71"/>
  <c r="Y30" i="71"/>
  <c r="Z30" i="71" s="1"/>
  <c r="N30" i="71"/>
  <c r="Q29" i="71"/>
  <c r="F30" i="71" s="1"/>
  <c r="F31" i="71" s="1"/>
  <c r="F32" i="71" s="1"/>
  <c r="V32" i="71" s="1"/>
  <c r="P29" i="71"/>
  <c r="O29" i="71"/>
  <c r="N29" i="71"/>
  <c r="D29" i="71"/>
  <c r="O28" i="71"/>
  <c r="Y24" i="71" s="1"/>
  <c r="Z24" i="71" s="1"/>
  <c r="N28" i="71"/>
  <c r="B30" i="71"/>
  <c r="B31" i="71" s="1"/>
  <c r="B32" i="71"/>
  <c r="S32" i="71" s="1"/>
  <c r="B34" i="71"/>
  <c r="B35" i="71" s="1"/>
  <c r="B36" i="71" s="1"/>
  <c r="S36" i="71" s="1"/>
  <c r="X33" i="71"/>
  <c r="B38" i="71"/>
  <c r="B39" i="71"/>
  <c r="B40" i="71" s="1"/>
  <c r="S40" i="71" s="1"/>
  <c r="E38" i="71"/>
  <c r="E39" i="71" s="1"/>
  <c r="E40" i="71" s="1"/>
  <c r="U40" i="71" s="1"/>
  <c r="AA37" i="71"/>
  <c r="E34" i="71"/>
  <c r="E35" i="71" s="1"/>
  <c r="E36" i="71" s="1"/>
  <c r="U36" i="71" s="1"/>
  <c r="AA33" i="71"/>
  <c r="C30" i="71"/>
  <c r="Y29" i="71"/>
  <c r="Z29" i="71" s="1"/>
  <c r="AB29" i="71"/>
  <c r="AA30" i="71"/>
  <c r="AA31" i="71"/>
  <c r="AA32" i="71"/>
  <c r="C34" i="71"/>
  <c r="C35" i="71"/>
  <c r="C36" i="71" s="1"/>
  <c r="Y33" i="71"/>
  <c r="Z33" i="71"/>
  <c r="X34" i="71"/>
  <c r="X35" i="71"/>
  <c r="X36" i="71"/>
  <c r="C38" i="71"/>
  <c r="D38" i="71" s="1"/>
  <c r="Y37" i="71"/>
  <c r="Z37" i="71"/>
  <c r="AB37" i="71"/>
  <c r="X38" i="71"/>
  <c r="F51" i="71"/>
  <c r="F52" i="71" s="1"/>
  <c r="V52" i="71" s="1"/>
  <c r="C2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63" i="71"/>
  <c r="E64" i="71" s="1"/>
  <c r="U64" i="71" s="1"/>
  <c r="Q65" i="71"/>
  <c r="U68" i="71"/>
  <c r="E67" i="71"/>
  <c r="Q28" i="71"/>
  <c r="AB25" i="71" s="1"/>
  <c r="D54" i="71"/>
  <c r="D58" i="71"/>
  <c r="D62" i="71"/>
  <c r="Q67" i="71"/>
  <c r="T68" i="71"/>
  <c r="O68" i="71"/>
  <c r="D68" i="71"/>
  <c r="C67" i="71"/>
  <c r="Q68" i="71"/>
  <c r="E71" i="71"/>
  <c r="E70" i="71" s="1"/>
  <c r="D72" i="71"/>
  <c r="C75" i="71"/>
  <c r="E75" i="71"/>
  <c r="E74" i="71" s="1"/>
  <c r="D76"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D83" i="71"/>
  <c r="C82" i="71"/>
  <c r="D82" i="71"/>
  <c r="D75" i="71"/>
  <c r="C74" i="71"/>
  <c r="D74" i="71" s="1"/>
  <c r="D87" i="71"/>
  <c r="P67" i="71"/>
  <c r="E66" i="71"/>
  <c r="P65" i="71" s="1"/>
  <c r="D43" i="71"/>
  <c r="D39" i="71"/>
  <c r="D35" i="71"/>
  <c r="D31" i="71"/>
  <c r="V28" i="71"/>
  <c r="P66"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A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O581" i="3"/>
  <c r="BP581" i="3"/>
  <c r="BR581" i="3"/>
  <c r="BS581" i="3"/>
  <c r="BT581" i="3"/>
  <c r="H582" i="3"/>
  <c r="AC582" i="3"/>
  <c r="G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AA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H13" i="40" s="1"/>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c r="Q36" i="40"/>
  <c r="Z36" i="40"/>
  <c r="Q35" i="40"/>
  <c r="Z35" i="40"/>
  <c r="Q34" i="40"/>
  <c r="Z34" i="40"/>
  <c r="J34" i="40"/>
  <c r="AC34" i="40" s="1"/>
  <c r="H34" i="40"/>
  <c r="AB34" i="40" s="1"/>
  <c r="F34" i="40"/>
  <c r="AA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c r="H9" i="40"/>
  <c r="AB9" i="40"/>
  <c r="F9" i="40"/>
  <c r="S9" i="40"/>
  <c r="J8" i="40"/>
  <c r="AC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S36"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H11" i="40"/>
  <c r="AB11" i="40" s="1"/>
  <c r="W8" i="40"/>
  <c r="AC40" i="40"/>
  <c r="AA9" i="40"/>
  <c r="AC9" i="40"/>
  <c r="U9" i="40"/>
  <c r="S34" i="40"/>
  <c r="S40"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AB31" i="39"/>
  <c r="E100" i="39"/>
  <c r="H19" i="39"/>
  <c r="AB19" i="39" s="1"/>
  <c r="F19" i="39"/>
  <c r="AA19" i="39" s="1"/>
  <c r="H17" i="39"/>
  <c r="AB17" i="39" s="1"/>
  <c r="F17" i="39"/>
  <c r="AA17" i="39" s="1"/>
  <c r="J23" i="40"/>
  <c r="AC23" i="40" s="1"/>
  <c r="F21" i="40"/>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H30" i="40"/>
  <c r="AB30" i="40" s="1"/>
  <c r="H33" i="40"/>
  <c r="J35" i="40"/>
  <c r="J37" i="40"/>
  <c r="AC37" i="40" s="1"/>
  <c r="J13" i="40"/>
  <c r="W13" i="40" s="1"/>
  <c r="F14" i="37"/>
  <c r="S14" i="37" s="1"/>
  <c r="F27" i="37"/>
  <c r="AA27" i="37" s="1"/>
  <c r="F13" i="39"/>
  <c r="J13" i="39"/>
  <c r="W13" i="39" s="1"/>
  <c r="H13" i="39"/>
  <c r="AB14" i="40"/>
  <c r="J14" i="37"/>
  <c r="AC14" i="37"/>
  <c r="J27" i="37"/>
  <c r="AC27" i="37"/>
  <c r="AA44" i="33"/>
  <c r="AA13" i="35"/>
  <c r="U31" i="34"/>
  <c r="U46" i="33"/>
  <c r="AA14" i="33"/>
  <c r="J36" i="37"/>
  <c r="AC36" i="37" s="1"/>
  <c r="G105" i="37"/>
  <c r="J10" i="36"/>
  <c r="AC10" i="36" s="1"/>
  <c r="AA14" i="37"/>
  <c r="W31" i="34"/>
  <c r="AC13" i="36"/>
  <c r="W13" i="36"/>
  <c r="S11" i="36"/>
  <c r="AB46" i="34"/>
  <c r="AC30" i="34"/>
  <c r="AA14" i="34"/>
  <c r="S45" i="33"/>
  <c r="AB45" i="33"/>
  <c r="AB31" i="33"/>
  <c r="U31" i="33"/>
  <c r="W29" i="33"/>
  <c r="S44" i="34"/>
  <c r="BA585" i="3"/>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AZ580" i="3" s="1"/>
  <c r="BL576" i="3"/>
  <c r="BL572" i="3"/>
  <c r="BL564" i="3"/>
  <c r="BL560" i="3"/>
  <c r="BL554" i="3"/>
  <c r="BL546" i="3"/>
  <c r="BL542" i="3"/>
  <c r="BL538" i="3"/>
  <c r="BL534" i="3"/>
  <c r="BL530" i="3"/>
  <c r="BL526" i="3"/>
  <c r="BL516" i="3"/>
  <c r="AZ516" i="3" s="1"/>
  <c r="BL506" i="3"/>
  <c r="BL498" i="3"/>
  <c r="BL582" i="3"/>
  <c r="BL574" i="3"/>
  <c r="BL570" i="3"/>
  <c r="BL566" i="3"/>
  <c r="BL556" i="3"/>
  <c r="BL544" i="3"/>
  <c r="BL540" i="3"/>
  <c r="BL536" i="3"/>
  <c r="G533" i="3"/>
  <c r="BL532" i="3"/>
  <c r="G529" i="3"/>
  <c r="BL528" i="3"/>
  <c r="AZ528" i="3" s="1"/>
  <c r="BL524" i="3"/>
  <c r="BL514" i="3"/>
  <c r="BL504" i="3"/>
  <c r="BL496" i="3"/>
  <c r="BA584" i="3"/>
  <c r="AZ582" i="3"/>
  <c r="AZ578" i="3"/>
  <c r="BA576" i="3"/>
  <c r="AZ576" i="3"/>
  <c r="BA574" i="3"/>
  <c r="AZ574" i="3"/>
  <c r="BA572" i="3"/>
  <c r="AZ572" i="3"/>
  <c r="BA570" i="3"/>
  <c r="AZ570" i="3"/>
  <c r="AZ568" i="3"/>
  <c r="AZ566" i="3"/>
  <c r="AZ564"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BA526" i="3"/>
  <c r="AZ526" i="3"/>
  <c r="AZ524" i="3"/>
  <c r="BA520" i="3"/>
  <c r="AZ518" i="3"/>
  <c r="BA512" i="3"/>
  <c r="AZ512" i="3" s="1"/>
  <c r="BA510" i="3"/>
  <c r="AZ510" i="3" s="1"/>
  <c r="BA508" i="3"/>
  <c r="BA504" i="3"/>
  <c r="AZ504" i="3" s="1"/>
  <c r="BA502" i="3"/>
  <c r="BA498" i="3"/>
  <c r="BA496" i="3"/>
  <c r="AZ496" i="3" s="1"/>
  <c r="BA587" i="3"/>
  <c r="AZ587" i="3" s="1"/>
  <c r="BA583" i="3"/>
  <c r="AZ583" i="3" s="1"/>
  <c r="BA577" i="3"/>
  <c r="BA575" i="3"/>
  <c r="BA573" i="3"/>
  <c r="BA571" i="3"/>
  <c r="BA569" i="3"/>
  <c r="BA565" i="3"/>
  <c r="BA561" i="3"/>
  <c r="AZ561" i="3" s="1"/>
  <c r="BA559" i="3"/>
  <c r="BA555" i="3"/>
  <c r="BA549" i="3"/>
  <c r="BA547" i="3"/>
  <c r="BA545" i="3"/>
  <c r="BA543" i="3"/>
  <c r="BA541" i="3"/>
  <c r="BA539" i="3"/>
  <c r="BA537" i="3"/>
  <c r="BA535" i="3"/>
  <c r="BA533" i="3"/>
  <c r="BA531" i="3"/>
  <c r="BA529" i="3"/>
  <c r="BA527" i="3"/>
  <c r="BA525" i="3"/>
  <c r="BA519" i="3"/>
  <c r="BA515" i="3"/>
  <c r="BA511" i="3"/>
  <c r="BA505" i="3"/>
  <c r="BA501" i="3"/>
  <c r="BA497" i="3"/>
  <c r="BA493" i="3"/>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c r="BQ573" i="3"/>
  <c r="BL573" i="3"/>
  <c r="BQ571" i="3"/>
  <c r="BL571" i="3" s="1"/>
  <c r="AZ571" i="3"/>
  <c r="BQ569" i="3"/>
  <c r="BL569" i="3"/>
  <c r="BQ567" i="3"/>
  <c r="BQ565" i="3"/>
  <c r="BL565" i="3"/>
  <c r="BQ563" i="3"/>
  <c r="BQ561" i="3"/>
  <c r="BL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5" i="3" s="1"/>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s="1"/>
  <c r="H43" i="33"/>
  <c r="AB43" i="33"/>
  <c r="H17" i="37"/>
  <c r="U17" i="37"/>
  <c r="U32" i="33"/>
  <c r="F39" i="33"/>
  <c r="AA39" i="33" s="1"/>
  <c r="E123" i="33"/>
  <c r="F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AA41" i="34"/>
  <c r="H19" i="37"/>
  <c r="AB19" i="37"/>
  <c r="G123" i="33"/>
  <c r="H123" i="33" s="1"/>
  <c r="I123" i="33" s="1"/>
  <c r="J123" i="33" s="1"/>
  <c r="K123" i="33" s="1"/>
  <c r="L123" i="33" s="1"/>
  <c r="M123" i="33" s="1"/>
  <c r="H42" i="33"/>
  <c r="AB42" i="33"/>
  <c r="J43" i="33"/>
  <c r="AC43" i="33" s="1"/>
  <c r="U43" i="33"/>
  <c r="S28" i="31"/>
  <c r="S27" i="31"/>
  <c r="S26" i="31"/>
  <c r="U14" i="40"/>
  <c r="U35" i="35"/>
  <c r="AA12" i="35"/>
  <c r="W14" i="37"/>
  <c r="U33" i="37"/>
  <c r="U39" i="37"/>
  <c r="W47" i="34"/>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H12" i="37"/>
  <c r="AB12" i="37" s="1"/>
  <c r="F12" i="37"/>
  <c r="S12" i="37" s="1"/>
  <c r="F15" i="37"/>
  <c r="E94" i="37"/>
  <c r="F31" i="37"/>
  <c r="S31" i="37"/>
  <c r="J42" i="39"/>
  <c r="AC42" i="39" s="1"/>
  <c r="H21" i="40"/>
  <c r="AB21" i="40"/>
  <c r="F94" i="37"/>
  <c r="G94" i="37" s="1"/>
  <c r="H94" i="37"/>
  <c r="I94" i="37" s="1"/>
  <c r="J94" i="37" s="1"/>
  <c r="K94" i="37" s="1"/>
  <c r="L94" i="37" s="1"/>
  <c r="M94" i="37" s="1"/>
  <c r="H31" i="37"/>
  <c r="U31" i="37" s="1"/>
  <c r="F71" i="37"/>
  <c r="G71" i="37" s="1"/>
  <c r="J15" i="37"/>
  <c r="W15" i="37" s="1"/>
  <c r="AT6" i="3"/>
  <c r="AA25" i="21"/>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F11" i="39"/>
  <c r="AA11" i="39" s="1"/>
  <c r="S11" i="39"/>
  <c r="G4" i="4"/>
  <c r="I4" i="4"/>
  <c r="A2" i="9"/>
  <c r="F61" i="43"/>
  <c r="H64" i="43" s="1"/>
  <c r="AZ32" i="3"/>
  <c r="BL549" i="3"/>
  <c r="AZ502"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M5" i="3"/>
  <c r="BH5" i="3"/>
  <c r="BD5" i="3"/>
  <c r="AZ317" i="3"/>
  <c r="AZ333" i="3"/>
  <c r="AZ549" i="3"/>
  <c r="G548" i="3"/>
  <c r="G538" i="3"/>
  <c r="G502" i="3"/>
  <c r="BP5" i="3"/>
  <c r="AZ343" i="3"/>
  <c r="BI5" i="3"/>
  <c r="BE5" i="3"/>
  <c r="G17" i="3"/>
  <c r="BA17" i="3"/>
  <c r="BT5" i="3"/>
  <c r="AZ350" i="3"/>
  <c r="AZ352" i="3"/>
  <c r="AZ360" i="3"/>
  <c r="AZ368" i="3"/>
  <c r="BA15" i="3"/>
  <c r="AZ15" i="3" s="1"/>
  <c r="BR5" i="3"/>
  <c r="AZ384" i="3"/>
  <c r="AZ388" i="3"/>
  <c r="AZ392" i="3"/>
  <c r="AZ396" i="3"/>
  <c r="G509" i="3"/>
  <c r="BL493" i="3"/>
  <c r="AZ491" i="3"/>
  <c r="AZ376" i="3"/>
  <c r="U36" i="40"/>
  <c r="F83" i="43"/>
  <c r="H85" i="43" s="1"/>
  <c r="F50" i="43"/>
  <c r="H54" i="43" s="1"/>
  <c r="F72" i="43"/>
  <c r="H75" i="43" s="1"/>
  <c r="U17" i="39"/>
  <c r="S14" i="35"/>
  <c r="U43" i="21"/>
  <c r="U35" i="21"/>
  <c r="AC35" i="21"/>
  <c r="G8" i="1"/>
  <c r="G10" i="1"/>
  <c r="W37" i="37"/>
  <c r="AC44" i="34"/>
  <c r="U13" i="37"/>
  <c r="AA12" i="40"/>
  <c r="J37" i="33"/>
  <c r="W37" i="33"/>
  <c r="AC17" i="34"/>
  <c r="F106" i="33"/>
  <c r="G106" i="33" s="1"/>
  <c r="H106" i="33"/>
  <c r="I106" i="33" s="1"/>
  <c r="J106" i="33" s="1"/>
  <c r="K106" i="33" s="1"/>
  <c r="L106" i="33" s="1"/>
  <c r="M106" i="33" s="1"/>
  <c r="J34" i="33"/>
  <c r="F33" i="34"/>
  <c r="S33" i="34" s="1"/>
  <c r="H20" i="36"/>
  <c r="U20" i="36" s="1"/>
  <c r="J20" i="36"/>
  <c r="W20" i="36" s="1"/>
  <c r="J27" i="36"/>
  <c r="W27" i="36" s="1"/>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W12" i="39"/>
  <c r="AZ401" i="3"/>
  <c r="AZ412" i="3"/>
  <c r="AZ417" i="3"/>
  <c r="AZ428" i="3"/>
  <c r="AZ433" i="3"/>
  <c r="AZ465" i="3"/>
  <c r="W12" i="33"/>
  <c r="AC12" i="33"/>
  <c r="S32" i="36"/>
  <c r="AZ408" i="3"/>
  <c r="AZ437" i="3"/>
  <c r="AZ441" i="3"/>
  <c r="AZ457" i="3"/>
  <c r="AZ473" i="3"/>
  <c r="AZ490" i="3"/>
  <c r="BL14" i="3"/>
  <c r="AZ266" i="3"/>
  <c r="AC13" i="34"/>
  <c r="AA47" i="34"/>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0" i="3"/>
  <c r="AZ84" i="3"/>
  <c r="AZ88" i="3"/>
  <c r="AZ107" i="3"/>
  <c r="AZ111" i="3"/>
  <c r="K12" i="1"/>
  <c r="M12" i="1" s="1"/>
  <c r="S13" i="1"/>
  <c r="AR13" i="1" s="1"/>
  <c r="R13" i="1"/>
  <c r="J51" i="67"/>
  <c r="C42" i="1"/>
  <c r="AA34" i="33"/>
  <c r="B41" i="1"/>
  <c r="F48" i="9" s="1"/>
  <c r="O52" i="9" s="1"/>
  <c r="AB37" i="40"/>
  <c r="S35" i="40"/>
  <c r="U35"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W25" i="34"/>
  <c r="AB8" i="34"/>
  <c r="U44" i="34"/>
  <c r="U43" i="34"/>
  <c r="AC39" i="34"/>
  <c r="W41" i="34"/>
  <c r="AC42" i="34"/>
  <c r="AB35" i="34"/>
  <c r="U39"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W32" i="37"/>
  <c r="U36" i="37"/>
  <c r="S40"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I101" i="21"/>
  <c r="J101" i="21"/>
  <c r="K101" i="21" s="1"/>
  <c r="L101" i="21" s="1"/>
  <c r="M101" i="21" s="1"/>
  <c r="F33" i="21"/>
  <c r="AA33" i="21" s="1"/>
  <c r="J33" i="21"/>
  <c r="AC33" i="21" s="1"/>
  <c r="H33" i="21"/>
  <c r="AB33" i="21" s="1"/>
  <c r="F37" i="21"/>
  <c r="AA37" i="21"/>
  <c r="AA26" i="21"/>
  <c r="AB46" i="21"/>
  <c r="U40" i="21"/>
  <c r="U13" i="21"/>
  <c r="AB13" i="21"/>
  <c r="S35" i="21"/>
  <c r="J37" i="21"/>
  <c r="W37" i="21" s="1"/>
  <c r="H15" i="21"/>
  <c r="U15" i="21" s="1"/>
  <c r="J17" i="21"/>
  <c r="AC17" i="21" s="1"/>
  <c r="AC19" i="21"/>
  <c r="W39" i="21"/>
  <c r="S46" i="21"/>
  <c r="H45" i="21"/>
  <c r="U45" i="21"/>
  <c r="F29" i="21"/>
  <c r="S29" i="21"/>
  <c r="F13" i="21"/>
  <c r="AA13" i="21"/>
  <c r="AC38" i="21"/>
  <c r="H32" i="21"/>
  <c r="AB32" i="21" s="1"/>
  <c r="H9" i="21"/>
  <c r="J9" i="21"/>
  <c r="W9" i="21" s="1"/>
  <c r="J32" i="21"/>
  <c r="W32" i="21" s="1"/>
  <c r="F32" i="21"/>
  <c r="AA32" i="21" s="1"/>
  <c r="U17" i="21"/>
  <c r="W29" i="21"/>
  <c r="S19" i="21"/>
  <c r="S9" i="21"/>
  <c r="AA9" i="21"/>
  <c r="K141" i="21"/>
  <c r="K144" i="21"/>
  <c r="K143" i="21"/>
  <c r="U27" i="21"/>
  <c r="AB25" i="21"/>
  <c r="AB44" i="21"/>
  <c r="W13" i="21"/>
  <c r="W42"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B36" i="33"/>
  <c r="W27" i="33"/>
  <c r="W25" i="33"/>
  <c r="AA23" i="33"/>
  <c r="S23" i="33"/>
  <c r="AB19" i="33"/>
  <c r="AA17" i="33"/>
  <c r="U17" i="33"/>
  <c r="AB17" i="33"/>
  <c r="U23" i="21"/>
  <c r="AB23" i="21"/>
  <c r="AC23" i="21"/>
  <c r="H109" i="9"/>
  <c r="H111" i="9"/>
  <c r="D126" i="9" s="1"/>
  <c r="AD3" i="71"/>
  <c r="J1" i="73"/>
  <c r="H69" i="43"/>
  <c r="H50" i="43"/>
  <c r="C24" i="12"/>
  <c r="C22" i="71"/>
  <c r="D22" i="71"/>
  <c r="D23" i="71"/>
  <c r="D24" i="71"/>
  <c r="U24" i="71" s="1"/>
  <c r="T24" i="71"/>
  <c r="AB22" i="71"/>
  <c r="X20" i="71"/>
  <c r="X19" i="71"/>
  <c r="AA20" i="71"/>
  <c r="AA19" i="71"/>
  <c r="X23" i="71"/>
  <c r="Y19" i="71"/>
  <c r="Z19" i="71" s="1"/>
  <c r="AB20" i="71"/>
  <c r="AB19" i="71"/>
  <c r="F21" i="71"/>
  <c r="F20" i="71"/>
  <c r="F19" i="71" s="1"/>
  <c r="F18" i="71" s="1"/>
  <c r="F17" i="71" s="1"/>
  <c r="Y20" i="71"/>
  <c r="Z20" i="71" s="1"/>
  <c r="X3" i="71"/>
  <c r="C21" i="71"/>
  <c r="C20" i="71"/>
  <c r="C19" i="71" s="1"/>
  <c r="C18" i="71" s="1"/>
  <c r="C17" i="71" s="1"/>
  <c r="D21" i="71"/>
  <c r="D18" i="71"/>
  <c r="T20" i="71"/>
  <c r="D19" i="71"/>
  <c r="D20" i="71"/>
  <c r="U20" i="71" s="1"/>
  <c r="D5" i="73"/>
  <c r="F5" i="73"/>
  <c r="F7" i="15"/>
  <c r="B12" i="76"/>
  <c r="F3" i="73"/>
  <c r="B8" i="76"/>
  <c r="B7" i="76"/>
  <c r="M22" i="67"/>
  <c r="F40" i="67"/>
  <c r="F9" i="15"/>
  <c r="F6" i="15"/>
  <c r="C76" i="15"/>
  <c r="D7" i="73"/>
  <c r="F6" i="67"/>
  <c r="D4" i="73"/>
  <c r="D3" i="73"/>
  <c r="M8" i="67"/>
  <c r="E11" i="76"/>
  <c r="B10" i="76"/>
  <c r="B11" i="76"/>
  <c r="E8" i="76"/>
  <c r="J15" i="15"/>
  <c r="F4" i="73"/>
  <c r="M6" i="15"/>
  <c r="E12" i="76"/>
  <c r="AO13" i="1"/>
  <c r="F40" i="15"/>
  <c r="E9" i="76"/>
  <c r="L48" i="15"/>
  <c r="E7" i="76"/>
  <c r="E10" i="76"/>
  <c r="D34" i="9"/>
  <c r="E2" i="69"/>
  <c r="E13" i="76"/>
  <c r="F37" i="67"/>
  <c r="D6" i="73"/>
  <c r="B13" i="76"/>
  <c r="M26" i="67"/>
  <c r="F9" i="67"/>
  <c r="F43" i="67"/>
  <c r="F20" i="31"/>
  <c r="F6" i="73"/>
  <c r="F7" i="73"/>
  <c r="F8" i="67"/>
  <c r="B9" i="76"/>
  <c r="D35" i="9"/>
  <c r="E2" i="68"/>
  <c r="M28" i="15"/>
  <c r="F16" i="15"/>
  <c r="M28" i="67"/>
  <c r="F26" i="15"/>
  <c r="M29" i="67"/>
  <c r="M6" i="67"/>
  <c r="U34" i="40" l="1"/>
  <c r="U13" i="40"/>
  <c r="AB13" i="40"/>
  <c r="F13" i="40"/>
  <c r="W33" i="40"/>
  <c r="AC33" i="40"/>
  <c r="AB31" i="40"/>
  <c r="F32" i="40"/>
  <c r="F33" i="40"/>
  <c r="W31" i="40"/>
  <c r="F30" i="69"/>
  <c r="F48" i="69" s="1"/>
  <c r="D68" i="9"/>
  <c r="F31" i="12"/>
  <c r="M18" i="15"/>
  <c r="M18" i="67"/>
  <c r="F30" i="11"/>
  <c r="C48" i="11" s="1"/>
  <c r="F54" i="9"/>
  <c r="F28" i="15"/>
  <c r="F32" i="15"/>
  <c r="F60" i="15" s="1"/>
  <c r="F32" i="67"/>
  <c r="F60" i="67" s="1"/>
  <c r="F52" i="9"/>
  <c r="F28" i="67"/>
  <c r="C28" i="67" s="1"/>
  <c r="F30" i="68"/>
  <c r="F48" i="68" s="1"/>
  <c r="C21" i="68"/>
  <c r="C40" i="69"/>
  <c r="BL18" i="3"/>
  <c r="BL20" i="3"/>
  <c r="AZ20" i="3" s="1"/>
  <c r="BL23" i="3"/>
  <c r="BA25" i="3"/>
  <c r="AZ25" i="3" s="1"/>
  <c r="BA26" i="3"/>
  <c r="AZ26" i="3" s="1"/>
  <c r="BA27" i="3"/>
  <c r="BL27" i="3"/>
  <c r="BA29" i="3"/>
  <c r="AZ29" i="3" s="1"/>
  <c r="BL29" i="3"/>
  <c r="BL35" i="3"/>
  <c r="AZ35" i="3" s="1"/>
  <c r="BL38" i="3"/>
  <c r="BA40" i="3"/>
  <c r="AZ40" i="3" s="1"/>
  <c r="BA41" i="3"/>
  <c r="AZ41" i="3" s="1"/>
  <c r="BL16" i="3"/>
  <c r="AZ16" i="3" s="1"/>
  <c r="AZ38" i="3"/>
  <c r="G5" i="3"/>
  <c r="B3" i="3" s="1"/>
  <c r="E102" i="3" s="1"/>
  <c r="H112" i="9"/>
  <c r="D21" i="53" s="1"/>
  <c r="B39" i="72" s="1"/>
  <c r="B19" i="53"/>
  <c r="B37" i="72" s="1"/>
  <c r="D17" i="71"/>
  <c r="C16" i="71"/>
  <c r="D19" i="53"/>
  <c r="B38" i="72" s="1"/>
  <c r="D16" i="53"/>
  <c r="B34" i="72" s="1"/>
  <c r="D6" i="52"/>
  <c r="AB15" i="21"/>
  <c r="AC17" i="37"/>
  <c r="W17" i="21"/>
  <c r="AC15" i="21"/>
  <c r="S20" i="36"/>
  <c r="S43" i="34"/>
  <c r="AA33" i="34"/>
  <c r="S39" i="34"/>
  <c r="AA39" i="34"/>
  <c r="W34" i="33"/>
  <c r="AC34" i="33"/>
  <c r="G28" i="6"/>
  <c r="AZ338" i="3"/>
  <c r="AZ351" i="3"/>
  <c r="AZ378" i="3"/>
  <c r="W12" i="37"/>
  <c r="AC12" i="37"/>
  <c r="W15" i="34"/>
  <c r="AC28" i="34"/>
  <c r="AZ515" i="3"/>
  <c r="AZ565" i="3"/>
  <c r="AZ498" i="3"/>
  <c r="AZ520" i="3"/>
  <c r="AB26" i="33"/>
  <c r="U33" i="40"/>
  <c r="AB33" i="40"/>
  <c r="AB30" i="33"/>
  <c r="U30" i="33"/>
  <c r="W11" i="35"/>
  <c r="AC11" i="35"/>
  <c r="AA21" i="40"/>
  <c r="S21" i="40"/>
  <c r="AA11" i="40"/>
  <c r="S11" i="40"/>
  <c r="BL586" i="3"/>
  <c r="BA586" i="3"/>
  <c r="AZ586" i="3" s="1"/>
  <c r="J14" i="21"/>
  <c r="F14" i="21"/>
  <c r="H14" i="21"/>
  <c r="H30" i="21"/>
  <c r="F30" i="21"/>
  <c r="J30" i="21"/>
  <c r="J45" i="21"/>
  <c r="F45" i="21"/>
  <c r="J9" i="33"/>
  <c r="AB35" i="33"/>
  <c r="U35" i="33"/>
  <c r="J27" i="34"/>
  <c r="F27" i="34"/>
  <c r="H27" i="34"/>
  <c r="AC31" i="37"/>
  <c r="W31" i="37"/>
  <c r="AB14" i="37"/>
  <c r="U14" i="37"/>
  <c r="U27" i="37"/>
  <c r="AB27" i="37"/>
  <c r="F28" i="37"/>
  <c r="J28" i="37"/>
  <c r="H28" i="37"/>
  <c r="H38" i="37"/>
  <c r="J38" i="37"/>
  <c r="F38" i="37"/>
  <c r="W11" i="39"/>
  <c r="AC11" i="39"/>
  <c r="AA15" i="37"/>
  <c r="S15" i="37"/>
  <c r="W36" i="40"/>
  <c r="AC36" i="40"/>
  <c r="S32" i="40"/>
  <c r="AA32" i="40"/>
  <c r="AZ493" i="3"/>
  <c r="AZ511" i="3"/>
  <c r="AZ519" i="3"/>
  <c r="AZ569" i="3"/>
  <c r="AZ573" i="3"/>
  <c r="AZ577" i="3"/>
  <c r="AZ508" i="3"/>
  <c r="AC35" i="40"/>
  <c r="W35" i="40"/>
  <c r="AB12" i="40"/>
  <c r="U12" i="40"/>
  <c r="AA23" i="40"/>
  <c r="S23" i="40"/>
  <c r="W21" i="40"/>
  <c r="AC21" i="40"/>
  <c r="AA26" i="33"/>
  <c r="S26" i="33"/>
  <c r="BL585" i="3"/>
  <c r="AZ585" i="3" s="1"/>
  <c r="H28" i="21"/>
  <c r="F28" i="21"/>
  <c r="J28" i="21"/>
  <c r="H31" i="21"/>
  <c r="J31" i="21"/>
  <c r="F31" i="21"/>
  <c r="AC33" i="33"/>
  <c r="W33" i="33"/>
  <c r="W12" i="34"/>
  <c r="AC12" i="34"/>
  <c r="AB34" i="35"/>
  <c r="U34" i="35"/>
  <c r="H23" i="35"/>
  <c r="J23" i="35"/>
  <c r="F23" i="35"/>
  <c r="AB9" i="36"/>
  <c r="U9" i="36"/>
  <c r="J12" i="36"/>
  <c r="H12" i="36"/>
  <c r="J24" i="36"/>
  <c r="H24" i="36"/>
  <c r="F24" i="36"/>
  <c r="AB31" i="36"/>
  <c r="U31" i="36"/>
  <c r="H25" i="37"/>
  <c r="J25" i="37"/>
  <c r="F25" i="37"/>
  <c r="BL581" i="3"/>
  <c r="AZ581" i="3" s="1"/>
  <c r="BL579" i="3"/>
  <c r="AZ579" i="3" s="1"/>
  <c r="BL567" i="3"/>
  <c r="AZ567" i="3" s="1"/>
  <c r="BL563" i="3"/>
  <c r="AZ563" i="3" s="1"/>
  <c r="BL555" i="3"/>
  <c r="AZ555" i="3" s="1"/>
  <c r="AZ553" i="3"/>
  <c r="BL551" i="3"/>
  <c r="BL525" i="3"/>
  <c r="AZ525" i="3" s="1"/>
  <c r="AZ523" i="3"/>
  <c r="BL521" i="3"/>
  <c r="AZ521" i="3" s="1"/>
  <c r="BL517" i="3"/>
  <c r="AZ517" i="3" s="1"/>
  <c r="AZ514" i="3"/>
  <c r="BL513" i="3"/>
  <c r="AZ513" i="3" s="1"/>
  <c r="BG5" i="3"/>
  <c r="BK5" i="3"/>
  <c r="BS5" i="3"/>
  <c r="F28" i="6" s="1"/>
  <c r="BL509" i="3"/>
  <c r="AZ509" i="3" s="1"/>
  <c r="BJ5" i="3"/>
  <c r="BF5" i="3"/>
  <c r="AZ507" i="3"/>
  <c r="AZ506" i="3"/>
  <c r="BL505" i="3"/>
  <c r="AZ505" i="3" s="1"/>
  <c r="BO5" i="3"/>
  <c r="F29" i="6" s="1"/>
  <c r="AZ503" i="3"/>
  <c r="BL501" i="3"/>
  <c r="AZ501" i="3" s="1"/>
  <c r="AZ500" i="3"/>
  <c r="BL499" i="3"/>
  <c r="AZ499" i="3"/>
  <c r="BL497" i="3"/>
  <c r="AZ497" i="3" s="1"/>
  <c r="BL495" i="3"/>
  <c r="AZ495" i="3" s="1"/>
  <c r="AZ494" i="3"/>
  <c r="BB5" i="3"/>
  <c r="BC5" i="3"/>
  <c r="BN5" i="3"/>
  <c r="G29" i="6" s="1"/>
  <c r="G30" i="6" s="1"/>
  <c r="G31" i="6" s="1"/>
  <c r="AC5" i="3"/>
  <c r="H5" i="3"/>
  <c r="F12" i="39"/>
  <c r="F14" i="40"/>
  <c r="J14" i="40"/>
  <c r="W32" i="40"/>
  <c r="AB8" i="39"/>
  <c r="J31" i="39"/>
  <c r="F31" i="39"/>
  <c r="U31" i="35"/>
  <c r="J36" i="39"/>
  <c r="H36" i="39"/>
  <c r="J26" i="37"/>
  <c r="H26" i="37"/>
  <c r="F26" i="37"/>
  <c r="H44" i="39"/>
  <c r="F44" i="39"/>
  <c r="J39" i="40"/>
  <c r="H39" i="40"/>
  <c r="BA551" i="3"/>
  <c r="AZ551" i="3" s="1"/>
  <c r="F38" i="40"/>
  <c r="J38" i="40"/>
  <c r="H38" i="40"/>
  <c r="BL550" i="3"/>
  <c r="AZ550" i="3" s="1"/>
  <c r="AZ398" i="3"/>
  <c r="AZ405" i="3"/>
  <c r="AZ407" i="3"/>
  <c r="AZ410" i="3"/>
  <c r="AZ415" i="3"/>
  <c r="AZ420" i="3"/>
  <c r="AZ426" i="3"/>
  <c r="AZ431" i="3"/>
  <c r="A15" i="62"/>
  <c r="B61" i="72" s="1"/>
  <c r="AZ440" i="3"/>
  <c r="AZ442" i="3"/>
  <c r="AZ446" i="3"/>
  <c r="AZ450" i="3"/>
  <c r="AZ454" i="3"/>
  <c r="AZ466" i="3"/>
  <c r="AZ472" i="3"/>
  <c r="AZ475" i="3"/>
  <c r="AZ483" i="3"/>
  <c r="AZ489" i="3"/>
  <c r="AZ316" i="3"/>
  <c r="AZ332" i="3"/>
  <c r="AZ397" i="3"/>
  <c r="AZ212" i="3"/>
  <c r="AZ217" i="3"/>
  <c r="AZ220" i="3"/>
  <c r="AZ230" i="3"/>
  <c r="AZ242" i="3"/>
  <c r="AZ246" i="3"/>
  <c r="AZ258" i="3"/>
  <c r="AZ262" i="3"/>
  <c r="AZ267" i="3"/>
  <c r="AZ278" i="3"/>
  <c r="AZ284" i="3"/>
  <c r="AZ292" i="3"/>
  <c r="AZ302" i="3"/>
  <c r="AZ113" i="3"/>
  <c r="AZ126" i="3"/>
  <c r="AZ129" i="3"/>
  <c r="AZ141" i="3"/>
  <c r="AZ205" i="3"/>
  <c r="AZ18" i="3"/>
  <c r="AZ23" i="3"/>
  <c r="AZ27" i="3"/>
  <c r="AZ48" i="3"/>
  <c r="AZ60" i="3"/>
  <c r="AZ64" i="3"/>
  <c r="AZ78" i="3"/>
  <c r="AZ91" i="3"/>
  <c r="AZ100" i="3"/>
  <c r="T40" i="71"/>
  <c r="D40" i="71"/>
  <c r="D55" i="71"/>
  <c r="C56" i="71"/>
  <c r="D59" i="71"/>
  <c r="C60" i="71"/>
  <c r="C64" i="71"/>
  <c r="D63" i="71"/>
  <c r="AZ108" i="3"/>
  <c r="AB21" i="21"/>
  <c r="AC21" i="34"/>
  <c r="AB21" i="33"/>
  <c r="S21" i="37"/>
  <c r="T44" i="71"/>
  <c r="D44" i="71"/>
  <c r="T36" i="71"/>
  <c r="D36" i="71"/>
  <c r="D51" i="71"/>
  <c r="C52" i="71"/>
  <c r="S21" i="21"/>
  <c r="U18" i="36"/>
  <c r="S25" i="40"/>
  <c r="D27" i="71"/>
  <c r="C32" i="71"/>
  <c r="AA27" i="71"/>
  <c r="AB27" i="71"/>
  <c r="S28" i="71"/>
  <c r="C79" i="71"/>
  <c r="C71" i="71"/>
  <c r="X27" i="71"/>
  <c r="AA36" i="71"/>
  <c r="AA35" i="71"/>
  <c r="AB33" i="71"/>
  <c r="X32" i="71"/>
  <c r="X31" i="71"/>
  <c r="X30" i="71"/>
  <c r="E30" i="71"/>
  <c r="E31" i="71" s="1"/>
  <c r="E32" i="71" s="1"/>
  <c r="U32" i="71" s="1"/>
  <c r="AA29" i="71"/>
  <c r="AB30" i="71"/>
  <c r="AB9" i="71"/>
  <c r="AB39" i="71"/>
  <c r="X9" i="71"/>
  <c r="X39" i="71"/>
  <c r="S68" i="71"/>
  <c r="B67" i="71"/>
  <c r="AA24" i="71"/>
  <c r="E24" i="71"/>
  <c r="B24" i="71"/>
  <c r="X24" i="71"/>
  <c r="AA22" i="71"/>
  <c r="AA23" i="71"/>
  <c r="X21" i="71"/>
  <c r="X22" i="71"/>
  <c r="Y21" i="71"/>
  <c r="Z21" i="71" s="1"/>
  <c r="Y22" i="71"/>
  <c r="Z22" i="71" s="1"/>
  <c r="Y18" i="71"/>
  <c r="Z18" i="71" s="1"/>
  <c r="AA21" i="71"/>
  <c r="AB21" i="71"/>
  <c r="Y17" i="71"/>
  <c r="Z17" i="71" s="1"/>
  <c r="AB18" i="71"/>
  <c r="AB13" i="71"/>
  <c r="Y14" i="71"/>
  <c r="Z14" i="71" s="1"/>
  <c r="Y9" i="71"/>
  <c r="Z9" i="71" s="1"/>
  <c r="Y10" i="71"/>
  <c r="Z10" i="71" s="1"/>
  <c r="AA9" i="71"/>
  <c r="M56" i="9"/>
  <c r="K56" i="9"/>
  <c r="AB24" i="71"/>
  <c r="Y23" i="71"/>
  <c r="Z23" i="71" s="1"/>
  <c r="AB23" i="71"/>
  <c r="X18" i="71"/>
  <c r="AA18" i="71"/>
  <c r="Y13" i="71"/>
  <c r="Z13" i="71" s="1"/>
  <c r="AB15" i="71"/>
  <c r="AB14" i="71"/>
  <c r="AB10" i="71"/>
  <c r="AB11" i="71"/>
  <c r="X17" i="71"/>
  <c r="AA17" i="71"/>
  <c r="AB17" i="71"/>
  <c r="AB12" i="71"/>
  <c r="Y11" i="71"/>
  <c r="Z11" i="71" s="1"/>
  <c r="AA10" i="71"/>
  <c r="X11" i="71"/>
  <c r="X14" i="71"/>
  <c r="X15" i="71"/>
  <c r="AA15" i="71"/>
  <c r="AA11" i="71"/>
  <c r="AA12" i="71"/>
  <c r="AA14" i="71"/>
  <c r="X10" i="71"/>
  <c r="X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P11" i="1"/>
  <c r="E59" i="40"/>
  <c r="D9" i="11"/>
  <c r="C9" i="11"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D16" i="71"/>
  <c r="U16" i="71" s="1"/>
  <c r="F16" i="71"/>
  <c r="F15" i="71" s="1"/>
  <c r="F14" i="71" s="1"/>
  <c r="F13" i="71" s="1"/>
  <c r="F12" i="71" s="1"/>
  <c r="F11" i="71" s="1"/>
  <c r="F10" i="71" s="1"/>
  <c r="F9" i="71" s="1"/>
  <c r="F8" i="71" s="1"/>
  <c r="F7" i="71" s="1"/>
  <c r="F6" i="71" s="1"/>
  <c r="F5" i="71" s="1"/>
  <c r="AF3" i="71"/>
  <c r="P26" i="43" s="1"/>
  <c r="Q71" i="15"/>
  <c r="J57" i="15"/>
  <c r="J55" i="15" s="1"/>
  <c r="J58" i="15" s="1"/>
  <c r="Q50" i="15" s="1"/>
  <c r="I54" i="15"/>
  <c r="K1" i="73"/>
  <c r="B20" i="31"/>
  <c r="B21" i="31" s="1"/>
  <c r="I1" i="73"/>
  <c r="B39" i="1" s="1"/>
  <c r="F51" i="67"/>
  <c r="F65" i="67"/>
  <c r="M7" i="15"/>
  <c r="F50" i="15"/>
  <c r="F71" i="67"/>
  <c r="C27" i="15"/>
  <c r="B13" i="70"/>
  <c r="F68" i="67"/>
  <c r="F68" i="15"/>
  <c r="D9" i="69"/>
  <c r="F27" i="69"/>
  <c r="C36" i="69"/>
  <c r="D9" i="68"/>
  <c r="C13" i="12"/>
  <c r="F36" i="15"/>
  <c r="F26" i="67"/>
  <c r="F7" i="67"/>
  <c r="M23" i="67"/>
  <c r="G1" i="73"/>
  <c r="M24" i="67"/>
  <c r="M9" i="67"/>
  <c r="F37" i="15"/>
  <c r="F42" i="15"/>
  <c r="L47" i="15"/>
  <c r="F13" i="67"/>
  <c r="M24" i="15"/>
  <c r="L47" i="67"/>
  <c r="F38" i="15"/>
  <c r="M8" i="15"/>
  <c r="M23" i="15"/>
  <c r="D19" i="12"/>
  <c r="F42" i="67"/>
  <c r="M29" i="15"/>
  <c r="F16" i="67"/>
  <c r="L48" i="67"/>
  <c r="J15" i="67"/>
  <c r="F43" i="15"/>
  <c r="F36" i="67"/>
  <c r="F13" i="15"/>
  <c r="F38" i="67"/>
  <c r="C76" i="67"/>
  <c r="M22" i="15"/>
  <c r="M26" i="15"/>
  <c r="M9" i="15"/>
  <c r="F8" i="15"/>
  <c r="C16" i="15"/>
  <c r="AA13" i="40" l="1"/>
  <c r="S13" i="40"/>
  <c r="AA33" i="40"/>
  <c r="S33" i="40"/>
  <c r="C19" i="12"/>
  <c r="C30" i="68"/>
  <c r="E29" i="6"/>
  <c r="K15" i="1" s="1"/>
  <c r="E312" i="3"/>
  <c r="E582" i="3"/>
  <c r="E244" i="3"/>
  <c r="E464" i="3"/>
  <c r="E240" i="3"/>
  <c r="E167" i="3"/>
  <c r="E542" i="3"/>
  <c r="E459" i="3"/>
  <c r="E436" i="3"/>
  <c r="E142" i="3"/>
  <c r="E165" i="3"/>
  <c r="E149" i="3"/>
  <c r="E141" i="3"/>
  <c r="AD6" i="3"/>
  <c r="E552" i="3"/>
  <c r="E398" i="3"/>
  <c r="E566" i="3"/>
  <c r="E460" i="3"/>
  <c r="E57" i="3"/>
  <c r="E349" i="3"/>
  <c r="E222" i="3"/>
  <c r="E421" i="3"/>
  <c r="E487" i="3"/>
  <c r="E416" i="3"/>
  <c r="E374" i="3"/>
  <c r="E500" i="3"/>
  <c r="E413" i="3"/>
  <c r="E520" i="3"/>
  <c r="E39" i="3"/>
  <c r="E187" i="3"/>
  <c r="E259" i="3"/>
  <c r="E409" i="3"/>
  <c r="E23" i="3"/>
  <c r="E540" i="3"/>
  <c r="E539" i="3"/>
  <c r="E536" i="3"/>
  <c r="E148" i="3"/>
  <c r="E212" i="3"/>
  <c r="E199" i="3"/>
  <c r="E286" i="3"/>
  <c r="E575" i="3"/>
  <c r="E499" i="3"/>
  <c r="R6" i="3"/>
  <c r="E502" i="3"/>
  <c r="E442" i="3"/>
  <c r="E466" i="3"/>
  <c r="E541" i="3"/>
  <c r="E430" i="3"/>
  <c r="E449" i="3"/>
  <c r="E255" i="3"/>
  <c r="I3" i="6"/>
  <c r="AP6" i="3"/>
  <c r="E554" i="3"/>
  <c r="E517" i="3"/>
  <c r="E435" i="3"/>
  <c r="E491" i="3"/>
  <c r="E417" i="3"/>
  <c r="E479" i="3"/>
  <c r="E90" i="3"/>
  <c r="E131" i="3"/>
  <c r="E155" i="3"/>
  <c r="E297" i="3"/>
  <c r="E348" i="3"/>
  <c r="E544" i="3"/>
  <c r="E64" i="3"/>
  <c r="E300" i="3"/>
  <c r="E250" i="3"/>
  <c r="E564" i="3"/>
  <c r="E140" i="3"/>
  <c r="E56" i="3"/>
  <c r="E37" i="3"/>
  <c r="E95" i="3"/>
  <c r="E152" i="3"/>
  <c r="E132" i="3"/>
  <c r="E192" i="3"/>
  <c r="E258" i="3"/>
  <c r="E241" i="3"/>
  <c r="E292" i="3"/>
  <c r="E363" i="3"/>
  <c r="E389" i="3"/>
  <c r="E76" i="3"/>
  <c r="E425" i="3"/>
  <c r="E103" i="3"/>
  <c r="E267" i="3"/>
  <c r="E310" i="3"/>
  <c r="E67" i="3"/>
  <c r="E51" i="3"/>
  <c r="E329" i="3"/>
  <c r="E463" i="3"/>
  <c r="AQ6" i="3"/>
  <c r="E356" i="3"/>
  <c r="E59" i="3"/>
  <c r="E484" i="3"/>
  <c r="E467" i="3"/>
  <c r="E46" i="3"/>
  <c r="E160" i="3"/>
  <c r="E200" i="3"/>
  <c r="E249" i="3"/>
  <c r="E371" i="3"/>
  <c r="E492" i="3"/>
  <c r="E84" i="3"/>
  <c r="E87" i="3"/>
  <c r="E341" i="3"/>
  <c r="E154" i="3"/>
  <c r="E373" i="3"/>
  <c r="E116" i="3"/>
  <c r="E490" i="3"/>
  <c r="E226" i="3"/>
  <c r="E137" i="3"/>
  <c r="E364" i="3"/>
  <c r="E13" i="3"/>
  <c r="E235" i="3"/>
  <c r="E378" i="3"/>
  <c r="E375" i="3"/>
  <c r="E504" i="3"/>
  <c r="E58" i="3"/>
  <c r="E110" i="3"/>
  <c r="E488" i="3"/>
  <c r="E462" i="3"/>
  <c r="E521" i="3"/>
  <c r="E446" i="3"/>
  <c r="E47" i="3"/>
  <c r="E98" i="3"/>
  <c r="E65" i="3"/>
  <c r="E138" i="3"/>
  <c r="E195" i="3"/>
  <c r="E163" i="3"/>
  <c r="E248" i="3"/>
  <c r="E209" i="3"/>
  <c r="E266" i="3"/>
  <c r="E307" i="3"/>
  <c r="E386" i="3"/>
  <c r="E354" i="3"/>
  <c r="E584" i="3"/>
  <c r="E66" i="3"/>
  <c r="E24" i="3"/>
  <c r="E48" i="3"/>
  <c r="E127" i="3"/>
  <c r="E284" i="3"/>
  <c r="Y6" i="3"/>
  <c r="E19" i="3"/>
  <c r="E179" i="3"/>
  <c r="E323" i="3"/>
  <c r="E82" i="3"/>
  <c r="E188" i="3"/>
  <c r="E393" i="3"/>
  <c r="E486" i="3"/>
  <c r="E498" i="3"/>
  <c r="E178" i="3"/>
  <c r="E372" i="3"/>
  <c r="E79" i="3"/>
  <c r="E299" i="3"/>
  <c r="E123" i="3"/>
  <c r="E176" i="3"/>
  <c r="E456" i="3"/>
  <c r="E115" i="3"/>
  <c r="E18" i="3"/>
  <c r="E49" i="3"/>
  <c r="E33" i="3"/>
  <c r="E144" i="3"/>
  <c r="E184" i="3"/>
  <c r="E233" i="3"/>
  <c r="E355" i="3"/>
  <c r="E381" i="3"/>
  <c r="E68" i="3"/>
  <c r="E63" i="3"/>
  <c r="E81" i="3"/>
  <c r="E118" i="3"/>
  <c r="E264" i="3"/>
  <c r="E283" i="3"/>
  <c r="E309" i="3"/>
  <c r="E513" i="3"/>
  <c r="E21" i="3"/>
  <c r="E16" i="3"/>
  <c r="E223" i="3"/>
  <c r="E105" i="3"/>
  <c r="E493" i="3"/>
  <c r="E543" i="3"/>
  <c r="E422" i="3"/>
  <c r="AH6" i="3"/>
  <c r="E483" i="3"/>
  <c r="E25" i="3"/>
  <c r="E202" i="3"/>
  <c r="E346" i="3"/>
  <c r="E60" i="3"/>
  <c r="E15" i="3"/>
  <c r="E100" i="3"/>
  <c r="E234" i="3"/>
  <c r="E325" i="3"/>
  <c r="E36" i="3"/>
  <c r="E289" i="3"/>
  <c r="E20" i="3"/>
  <c r="E265" i="3"/>
  <c r="E525" i="3"/>
  <c r="E451" i="3"/>
  <c r="E420" i="3"/>
  <c r="E281" i="3"/>
  <c r="E75" i="3"/>
  <c r="E190" i="3"/>
  <c r="E522" i="3"/>
  <c r="E370" i="3"/>
  <c r="E427"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218" i="3"/>
  <c r="E205" i="3"/>
  <c r="E173" i="3"/>
  <c r="T6" i="3"/>
  <c r="E512" i="3"/>
  <c r="E556" i="3"/>
  <c r="E452" i="3"/>
  <c r="E104" i="3"/>
  <c r="E139" i="3"/>
  <c r="E332" i="3"/>
  <c r="E42" i="3"/>
  <c r="E482" i="3"/>
  <c r="E78" i="3"/>
  <c r="E220" i="3"/>
  <c r="E383" i="3"/>
  <c r="E86" i="3"/>
  <c r="E232" i="3"/>
  <c r="E510" i="3"/>
  <c r="E197" i="3"/>
  <c r="E534" i="3"/>
  <c r="E469" i="3"/>
  <c r="E360" i="3"/>
  <c r="E494" i="3"/>
  <c r="E26" i="3"/>
  <c r="E198" i="3"/>
  <c r="E243" i="3"/>
  <c r="AL6" i="3"/>
  <c r="E428" i="3"/>
  <c r="E96" i="3"/>
  <c r="E174" i="3"/>
  <c r="E324" i="3"/>
  <c r="E35" i="3"/>
  <c r="E206" i="3"/>
  <c r="AF6" i="3"/>
  <c r="E113" i="3"/>
  <c r="E287" i="3"/>
  <c r="E365" i="3"/>
  <c r="E524" i="3"/>
  <c r="E101" i="3"/>
  <c r="E296" i="3"/>
  <c r="E369" i="3"/>
  <c r="E405" i="3"/>
  <c r="E408" i="3"/>
  <c r="E497" i="3"/>
  <c r="E470" i="3"/>
  <c r="E41" i="3"/>
  <c r="E225" i="3"/>
  <c r="E391" i="3"/>
  <c r="E94" i="3"/>
  <c r="E412" i="3"/>
  <c r="E129" i="3"/>
  <c r="E275" i="3"/>
  <c r="E342" i="3"/>
  <c r="E251" i="3"/>
  <c r="E80" i="3"/>
  <c r="E158" i="3"/>
  <c r="E308" i="3"/>
  <c r="E326" i="3"/>
  <c r="E22" i="3"/>
  <c r="E83" i="3"/>
  <c r="E34" i="3"/>
  <c r="D20" i="53"/>
  <c r="B40" i="72" s="1"/>
  <c r="F64" i="67"/>
  <c r="Q71" i="67"/>
  <c r="F65" i="15"/>
  <c r="F71" i="15"/>
  <c r="F31" i="15"/>
  <c r="F51" i="15"/>
  <c r="C49" i="15" s="1"/>
  <c r="C6" i="15"/>
  <c r="C32" i="15" s="1"/>
  <c r="F66" i="15"/>
  <c r="F66" i="67"/>
  <c r="N59" i="67"/>
  <c r="L58" i="67"/>
  <c r="Q73" i="67" s="1"/>
  <c r="L59" i="67"/>
  <c r="Q61" i="67" s="1"/>
  <c r="J53" i="67"/>
  <c r="Q52" i="67" s="1"/>
  <c r="L56" i="67"/>
  <c r="J57" i="67"/>
  <c r="J55" i="67" s="1"/>
  <c r="J58" i="67" s="1"/>
  <c r="Q50" i="67" s="1"/>
  <c r="I54" i="67"/>
  <c r="C6" i="67"/>
  <c r="C32" i="67" s="1"/>
  <c r="F50" i="67"/>
  <c r="F59" i="67" s="1"/>
  <c r="F31" i="67"/>
  <c r="M7" i="67"/>
  <c r="J6" i="67" s="1"/>
  <c r="J18" i="67" s="1"/>
  <c r="C27" i="67"/>
  <c r="L58" i="15"/>
  <c r="Q73" i="15" s="1"/>
  <c r="N59" i="15"/>
  <c r="F64" i="15"/>
  <c r="F30" i="6"/>
  <c r="E28" i="6"/>
  <c r="K14" i="1" s="1"/>
  <c r="K16" i="1" s="1"/>
  <c r="B23" i="71"/>
  <c r="B22" i="71" s="1"/>
  <c r="B21" i="71" s="1"/>
  <c r="B20" i="71" s="1"/>
  <c r="S24" i="71"/>
  <c r="C78" i="71"/>
  <c r="D78" i="71" s="1"/>
  <c r="D79" i="71"/>
  <c r="T32" i="71"/>
  <c r="D32" i="71"/>
  <c r="T60" i="71"/>
  <c r="D60" i="71"/>
  <c r="T56" i="71"/>
  <c r="D56" i="71"/>
  <c r="AB38" i="40"/>
  <c r="U38" i="40"/>
  <c r="AA38" i="40"/>
  <c r="S38" i="40"/>
  <c r="U39" i="40"/>
  <c r="AB39" i="40"/>
  <c r="AA44" i="39"/>
  <c r="S44" i="39"/>
  <c r="AA26" i="37"/>
  <c r="S26" i="37"/>
  <c r="AC26" i="37"/>
  <c r="W26" i="37"/>
  <c r="AC36" i="39"/>
  <c r="W36" i="39"/>
  <c r="AA31" i="39"/>
  <c r="S31" i="39"/>
  <c r="W14" i="40"/>
  <c r="AC14" i="40"/>
  <c r="S12" i="39"/>
  <c r="AA12" i="39"/>
  <c r="W25" i="37"/>
  <c r="AC25" i="37"/>
  <c r="AA24" i="36"/>
  <c r="S24" i="36"/>
  <c r="AC24" i="36"/>
  <c r="W24" i="36"/>
  <c r="AC12" i="36"/>
  <c r="W12" i="36"/>
  <c r="AC23" i="35"/>
  <c r="W23" i="35"/>
  <c r="S31" i="21"/>
  <c r="AA31" i="21"/>
  <c r="U31" i="21"/>
  <c r="AB31" i="21"/>
  <c r="AA28" i="21"/>
  <c r="S28" i="21"/>
  <c r="AA38" i="37"/>
  <c r="S38" i="37"/>
  <c r="AB38" i="37"/>
  <c r="U38" i="37"/>
  <c r="W28" i="37"/>
  <c r="AC28" i="37"/>
  <c r="AB27" i="34"/>
  <c r="U27" i="34"/>
  <c r="AC27" i="34"/>
  <c r="W27" i="34"/>
  <c r="AA45" i="21"/>
  <c r="S45" i="21"/>
  <c r="AC30" i="21"/>
  <c r="W30" i="21"/>
  <c r="AB30" i="21"/>
  <c r="U30" i="21"/>
  <c r="S14" i="21"/>
  <c r="AA14" i="21"/>
  <c r="BA5" i="3"/>
  <c r="E27" i="6" s="1"/>
  <c r="K26" i="6" s="1"/>
  <c r="M26" i="6" s="1"/>
  <c r="I26" i="6" s="1"/>
  <c r="S26" i="6" s="1"/>
  <c r="C15" i="71"/>
  <c r="T16" i="71"/>
  <c r="J6" i="15"/>
  <c r="J18" i="15" s="1"/>
  <c r="F7" i="36"/>
  <c r="S7" i="36" s="1"/>
  <c r="J7" i="37"/>
  <c r="H7" i="36"/>
  <c r="AB7" i="36" s="1"/>
  <c r="T36" i="36" s="1"/>
  <c r="G36" i="36" s="1"/>
  <c r="AZ5" i="3"/>
  <c r="AY6" i="3" s="1"/>
  <c r="E23" i="71"/>
  <c r="E22" i="71" s="1"/>
  <c r="E21" i="71" s="1"/>
  <c r="E20" i="71" s="1"/>
  <c r="V24" i="71"/>
  <c r="B66" i="71"/>
  <c r="N67" i="71"/>
  <c r="D71" i="71"/>
  <c r="C70" i="71"/>
  <c r="D70" i="71" s="1"/>
  <c r="T52" i="71"/>
  <c r="D52" i="71"/>
  <c r="T64" i="71"/>
  <c r="D64" i="71"/>
  <c r="AC38" i="40"/>
  <c r="W38" i="40"/>
  <c r="W39" i="40"/>
  <c r="AC39" i="40"/>
  <c r="AB44" i="39"/>
  <c r="U44" i="39"/>
  <c r="U26" i="37"/>
  <c r="AB26" i="37"/>
  <c r="U36" i="39"/>
  <c r="AB36" i="39"/>
  <c r="W31" i="39"/>
  <c r="AC31" i="39"/>
  <c r="S14" i="40"/>
  <c r="AA14" i="40"/>
  <c r="AA25" i="37"/>
  <c r="S25" i="37"/>
  <c r="U25" i="37"/>
  <c r="AB25" i="37"/>
  <c r="AB24" i="36"/>
  <c r="U24" i="36"/>
  <c r="U12" i="36"/>
  <c r="AB12" i="36"/>
  <c r="S23" i="35"/>
  <c r="AA23" i="35"/>
  <c r="U23" i="35"/>
  <c r="AB23" i="35"/>
  <c r="AC31" i="21"/>
  <c r="W31" i="21"/>
  <c r="AC28" i="21"/>
  <c r="W28" i="21"/>
  <c r="AB28" i="21"/>
  <c r="U28" i="21"/>
  <c r="BL5" i="3"/>
  <c r="AC38" i="37"/>
  <c r="W38" i="37"/>
  <c r="AB28" i="37"/>
  <c r="U28" i="37"/>
  <c r="AA28" i="37"/>
  <c r="S28" i="37"/>
  <c r="AA27" i="34"/>
  <c r="S27" i="34"/>
  <c r="AC9" i="33"/>
  <c r="W9" i="33"/>
  <c r="W45" i="21"/>
  <c r="AC45" i="21"/>
  <c r="S30" i="21"/>
  <c r="AA30" i="21"/>
  <c r="U14" i="21"/>
  <c r="AB14" i="21"/>
  <c r="W14" i="21"/>
  <c r="AC14" i="2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E60" i="40"/>
  <c r="F31" i="6"/>
  <c r="E51" i="40"/>
  <c r="E16" i="6"/>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B40" i="1"/>
  <c r="L36" i="43" s="1"/>
  <c r="S10" i="39"/>
  <c r="AA10" i="39"/>
  <c r="H7" i="33"/>
  <c r="J7" i="33"/>
  <c r="D65" i="40"/>
  <c r="E63" i="40"/>
  <c r="F48" i="35"/>
  <c r="AA7" i="36"/>
  <c r="R36" i="36" s="1"/>
  <c r="AC7" i="37"/>
  <c r="W7" i="37"/>
  <c r="U7" i="36"/>
  <c r="F7" i="33"/>
  <c r="E58" i="21"/>
  <c r="AC7" i="36"/>
  <c r="W7" i="36"/>
  <c r="F7" i="37"/>
  <c r="M17" i="15"/>
  <c r="P28" i="43"/>
  <c r="B66" i="40" s="1"/>
  <c r="P25" i="43"/>
  <c r="P29" i="43"/>
  <c r="P27" i="43"/>
  <c r="B70" i="39" s="1"/>
  <c r="M11" i="67"/>
  <c r="J10" i="67" s="1"/>
  <c r="F11" i="15"/>
  <c r="M11" i="15"/>
  <c r="J10" i="15" s="1"/>
  <c r="F11" i="67"/>
  <c r="AE11" i="1"/>
  <c r="AE9" i="1"/>
  <c r="F27" i="68"/>
  <c r="AE7" i="1"/>
  <c r="AE8" i="1"/>
  <c r="AE12" i="1"/>
  <c r="AE10" i="1"/>
  <c r="F28" i="12"/>
  <c r="C16" i="67"/>
  <c r="F41" i="67"/>
  <c r="F1" i="67" l="1"/>
  <c r="AC6" i="3"/>
  <c r="E6" i="3" s="1"/>
  <c r="E3" i="6"/>
  <c r="E65" i="39"/>
  <c r="M14" i="1"/>
  <c r="M16" i="1" s="1"/>
  <c r="Q60" i="67"/>
  <c r="Q74" i="67"/>
  <c r="J5" i="67"/>
  <c r="J24" i="67" s="1"/>
  <c r="Q60" i="15"/>
  <c r="F59" i="15"/>
  <c r="M17" i="67"/>
  <c r="J5" i="15"/>
  <c r="J24" i="15" s="1"/>
  <c r="N65" i="71"/>
  <c r="N66" i="71"/>
  <c r="E19" i="71"/>
  <c r="E18" i="71" s="1"/>
  <c r="E17" i="71" s="1"/>
  <c r="E16" i="71" s="1"/>
  <c r="V20" i="71"/>
  <c r="B19" i="71"/>
  <c r="B18" i="71" s="1"/>
  <c r="B17" i="71" s="1"/>
  <c r="B16" i="71" s="1"/>
  <c r="S20" i="71"/>
  <c r="C49" i="67"/>
  <c r="V36" i="36"/>
  <c r="I36" i="36" s="1"/>
  <c r="V42" i="37"/>
  <c r="I42" i="37" s="1"/>
  <c r="C14" i="71"/>
  <c r="D1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D14" i="12"/>
  <c r="M27" i="67"/>
  <c r="M27" i="15"/>
  <c r="C48" i="67" l="1"/>
  <c r="C66" i="67" s="1"/>
  <c r="D116" i="43"/>
  <c r="C13" i="71"/>
  <c r="D14" i="71"/>
  <c r="B15" i="71"/>
  <c r="B14" i="71" s="1"/>
  <c r="B13" i="71" s="1"/>
  <c r="B12" i="71" s="1"/>
  <c r="S16" i="71"/>
  <c r="E15" i="71"/>
  <c r="E14" i="71" s="1"/>
  <c r="E13" i="71" s="1"/>
  <c r="E12" i="71" s="1"/>
  <c r="V16"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D10" i="69"/>
  <c r="C34" i="69"/>
  <c r="D10" i="68"/>
  <c r="C17" i="67"/>
  <c r="C17" i="15"/>
  <c r="D20" i="12"/>
  <c r="C14" i="67"/>
  <c r="C11" i="12"/>
  <c r="C60" i="67" l="1"/>
  <c r="C44" i="68"/>
  <c r="D41" i="68" s="1"/>
  <c r="C24" i="11"/>
  <c r="B23" i="1"/>
  <c r="B24" i="1"/>
  <c r="F34" i="11" s="1"/>
  <c r="C29" i="11"/>
  <c r="D27" i="11" s="1"/>
  <c r="C29" i="68"/>
  <c r="D27" i="68" s="1"/>
  <c r="C28" i="11"/>
  <c r="C27" i="11" s="1"/>
  <c r="C20" i="12"/>
  <c r="C18" i="12" s="1"/>
  <c r="H25" i="6"/>
  <c r="E11" i="71"/>
  <c r="E10" i="71" s="1"/>
  <c r="E9" i="71" s="1"/>
  <c r="E8" i="71" s="1"/>
  <c r="E7" i="71" s="1"/>
  <c r="E6" i="71" s="1"/>
  <c r="E5" i="71" s="1"/>
  <c r="V12" i="71"/>
  <c r="B11" i="71"/>
  <c r="B10" i="71" s="1"/>
  <c r="B9" i="71" s="1"/>
  <c r="B8" i="71" s="1"/>
  <c r="B7" i="71" s="1"/>
  <c r="B6" i="71" s="1"/>
  <c r="B5" i="71" s="1"/>
  <c r="S12" i="71"/>
  <c r="D13" i="71"/>
  <c r="C12" i="7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F11" i="12"/>
  <c r="E6" i="76"/>
  <c r="C14" i="15"/>
  <c r="B6" i="76"/>
  <c r="F50" i="68" l="1"/>
  <c r="F50" i="69"/>
  <c r="F34" i="68"/>
  <c r="J53" i="15"/>
  <c r="M59" i="67"/>
  <c r="M59" i="15"/>
  <c r="L59" i="15" s="1"/>
  <c r="C29" i="12"/>
  <c r="D28" i="12" s="1"/>
  <c r="C26" i="12"/>
  <c r="D25" i="12" s="1"/>
  <c r="C23" i="11"/>
  <c r="C26" i="68"/>
  <c r="D22" i="68" s="1"/>
  <c r="C26" i="11"/>
  <c r="D22" i="11" s="1"/>
  <c r="C25" i="11"/>
  <c r="C11" i="71"/>
  <c r="T12" i="71"/>
  <c r="D12" i="71"/>
  <c r="U12" i="71" s="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7" i="68" l="1"/>
  <c r="C22" i="11"/>
  <c r="C31" i="11" s="1"/>
  <c r="Q74" i="15"/>
  <c r="Q61" i="15"/>
  <c r="L56" i="15"/>
  <c r="Q52" i="15"/>
  <c r="F1" i="15"/>
  <c r="C36" i="68"/>
  <c r="C34" i="68"/>
  <c r="C10" i="71"/>
  <c r="D11" i="71"/>
  <c r="F7" i="21"/>
  <c r="S7" i="21" s="1"/>
  <c r="J7" i="2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E6" i="1"/>
  <c r="C35" i="68" l="1"/>
  <c r="C38" i="68"/>
  <c r="D10" i="71"/>
  <c r="C9" i="71"/>
  <c r="J7" i="35"/>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15"/>
  <c r="F41" i="15"/>
  <c r="M21" i="67"/>
  <c r="F35" i="15"/>
  <c r="F69" i="15" l="1"/>
  <c r="C33"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C5" i="7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9" i="1"/>
  <c r="AO10"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32" i="12"/>
  <c r="B2" i="12" s="1"/>
  <c r="D19" i="9"/>
  <c r="B3" i="12"/>
  <c r="C23" i="68" l="1"/>
  <c r="C20" i="68"/>
  <c r="D102" i="9"/>
  <c r="D21" i="9"/>
  <c r="D20" i="9"/>
  <c r="D103" i="9" l="1"/>
  <c r="C28" i="68"/>
  <c r="C27" i="68" s="1"/>
  <c r="C25" i="68"/>
  <c r="C22" i="68" s="1"/>
  <c r="C31" i="68" l="1"/>
  <c r="C52" i="68" s="1"/>
  <c r="B2" i="68" s="1"/>
  <c r="C19" i="9"/>
  <c r="C57" i="68" l="1"/>
  <c r="C56" i="68" s="1"/>
  <c r="C21" i="9"/>
  <c r="C102" i="9"/>
  <c r="G19" i="9"/>
  <c r="G21" i="9" s="1"/>
  <c r="D22" i="9"/>
  <c r="B3" i="68"/>
  <c r="C20" i="9"/>
  <c r="C103" i="9" l="1"/>
  <c r="G20" i="9"/>
  <c r="C32" i="9" s="1"/>
  <c r="C35" i="9" s="1"/>
  <c r="C34" i="9" s="1"/>
  <c r="D118" i="9" l="1"/>
  <c r="D4" i="52" s="1"/>
  <c r="B47" i="72" s="1"/>
  <c r="F118" i="9"/>
  <c r="G118" i="9" s="1"/>
  <c r="G4" i="52" s="1"/>
  <c r="B52" i="72" s="1"/>
  <c r="H118" i="9"/>
  <c r="H4" i="52" l="1"/>
  <c r="D14" i="74"/>
  <c r="G14" i="74" s="1"/>
  <c r="B6" i="74" s="1"/>
  <c r="D6" i="74" s="1"/>
  <c r="H101" i="9"/>
  <c r="D45" i="9" s="1"/>
  <c r="C85" i="9" s="1"/>
  <c r="I118" i="9"/>
  <c r="C105" i="9" s="1"/>
  <c r="F119" i="9"/>
  <c r="F5" i="52" s="1"/>
  <c r="B53" i="72" s="1"/>
  <c r="F4" i="52"/>
  <c r="B51" i="72" s="1"/>
  <c r="C104" i="9"/>
  <c r="D119" i="9"/>
  <c r="D5" i="52" s="1"/>
  <c r="B49" i="72" s="1"/>
  <c r="H119" i="9"/>
  <c r="H5" i="52" s="1"/>
  <c r="D52" i="9" l="1"/>
  <c r="E118" i="9"/>
  <c r="E4" i="52" s="1"/>
  <c r="B48" i="72" s="1"/>
  <c r="I4" i="52"/>
  <c r="E14" i="74"/>
  <c r="B5" i="74"/>
  <c r="D5" i="74" s="1"/>
  <c r="F14" i="74"/>
  <c r="H102" i="9"/>
  <c r="H107" i="9"/>
  <c r="D122" i="9" s="1"/>
  <c r="C93" i="9"/>
  <c r="C86" i="9" s="1"/>
  <c r="D5" i="53"/>
  <c r="D6" i="53" s="1"/>
  <c r="B22" i="72" s="1"/>
  <c r="C78" i="9"/>
  <c r="C73" i="9" s="1"/>
  <c r="D55" i="9"/>
  <c r="M53" i="9" s="1"/>
  <c r="M48" i="9"/>
  <c r="C64" i="9"/>
  <c r="C63" i="9" s="1"/>
  <c r="C67" i="9" s="1"/>
  <c r="D59" i="9" s="1"/>
  <c r="M55" i="9" s="1"/>
  <c r="D53" i="9"/>
  <c r="C72" i="9"/>
  <c r="D7" i="53"/>
  <c r="B21" i="72" s="1"/>
  <c r="C95" i="9"/>
  <c r="C5" i="74" l="1"/>
  <c r="C79" i="9"/>
  <c r="C80" i="9" s="1"/>
  <c r="E80" i="9" s="1"/>
  <c r="E81" i="9" s="1"/>
  <c r="M49" i="9"/>
  <c r="L65" i="9" s="1"/>
  <c r="M65" i="9" s="1"/>
  <c r="D13" i="53"/>
  <c r="D14" i="53" s="1"/>
  <c r="B32" i="72" s="1"/>
  <c r="C68" i="9"/>
  <c r="D54" i="9" s="1"/>
  <c r="B20" i="72"/>
  <c r="H108" i="9"/>
  <c r="C6" i="74" s="1"/>
  <c r="C81" i="9"/>
  <c r="C96" i="9"/>
  <c r="E96" i="9" s="1"/>
  <c r="E97" i="9" s="1"/>
  <c r="B30" i="72"/>
  <c r="D8" i="52"/>
  <c r="D123" i="9"/>
  <c r="D9" i="52" s="1"/>
  <c r="L66" i="9" l="1"/>
  <c r="M66" i="9" s="1"/>
  <c r="L64" i="9"/>
  <c r="M64" i="9" s="1"/>
  <c r="L63" i="9"/>
  <c r="M63" i="9" s="1"/>
  <c r="D15" i="53"/>
  <c r="B31" i="72" s="1"/>
  <c r="L68" i="9"/>
  <c r="M68" i="9" s="1"/>
  <c r="L67" i="9"/>
  <c r="M67" i="9" s="1"/>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<sst xmlns="http://schemas.openxmlformats.org/spreadsheetml/2006/main" count="8377" uniqueCount="3615">
  <si>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</si>
  <si>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</si>
  <si>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</si>
  <si>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</si>
  <si>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</si>
  <si>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</si>
  <si>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</si>
  <si>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</si>
  <si>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</si>
  <si>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</si>
  <si>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</si>
  <si>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</si>
  <si>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</si>
  <si>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</si>
  <si>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</si>
  <si>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</si>
  <si>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</si>
  <si>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</si>
  <si>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</si>
  <si>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</si>
  <si>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</si>
  <si>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</si>
  <si>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</si>
  <si>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</si>
  <si>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</si>
  <si>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</si>
  <si>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</si>
  <si>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</si>
  <si>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</si>
  <si>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</si>
  <si>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</si>
  <si>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</si>
  <si>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</si>
  <si>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</si>
  <si>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</si>
  <si>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</si>
  <si>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</si>
  <si>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</si>
  <si>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</si>
  <si>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</si>
  <si>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</si>
  <si>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</si>
  <si>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</si>
  <si>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</si>
  <si>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</si>
  <si>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</si>
  <si>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</si>
  <si>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</si>
  <si>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</si>
  <si>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</si>
  <si>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</si>
  <si>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</si>
  <si>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</si>
  <si>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</si>
  <si>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</si>
  <si>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</si>
  <si>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</si>
  <si>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</si>
  <si>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</si>
  <si>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</si>
  <si>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</si>
  <si>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</si>
  <si>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</si>
  <si>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</si>
  <si>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</si>
  <si>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</si>
  <si>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</si>
  <si>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</si>
  <si>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</si>
  <si>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</si>
  <si>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</si>
  <si>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</si>
  <si>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</si>
  <si>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</si>
  <si>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</si>
  <si>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</si>
  <si>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</si>
  <si>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</si>
  <si>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</si>
  <si>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</si>
  <si>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</si>
  <si>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</si>
  <si>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</si>
  <si>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</si>
  <si>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</si>
  <si>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</si>
  <si>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</si>
  <si>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</si>
  <si>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</si>
  <si>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</si>
  <si>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</si>
  <si>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</si>
  <si>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</si>
  <si>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</si>
  <si>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</si>
  <si>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</si>
  <si>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</si>
  <si>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</si>
  <si>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</si>
  <si>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</si>
  <si>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</si>
  <si>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</si>
  <si>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</si>
  <si>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</si>
  <si>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</si>
  <si>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</si>
  <si>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</si>
  <si>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</si>
  <si>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</si>
  <si>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</si>
  <si>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</si>
  <si>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</si>
  <si>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</si>
  <si>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</si>
  <si>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</si>
  <si>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</si>
  <si>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</si>
  <si>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</si>
  <si>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</si>
  <si>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</si>
  <si>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</si>
  <si>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</si>
  <si>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</si>
  <si>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</si>
  <si>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</si>
  <si>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</si>
  <si>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</si>
  <si>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</si>
  <si>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</si>
  <si>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</si>
  <si>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</si>
  <si>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</si>
  <si>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</si>
  <si>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</si>
  <si>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</si>
  <si>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</si>
  <si>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</si>
  <si>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</si>
  <si>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</si>
  <si>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</si>
  <si>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</si>
  <si>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</si>
  <si>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</si>
  <si>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</si>
  <si>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</si>
  <si>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</si>
  <si>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</si>
  <si>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</si>
  <si>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</si>
  <si>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</si>
  <si>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</si>
  <si>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</si>
  <si>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</si>
  <si>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</si>
  <si>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</si>
  <si>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</si>
  <si>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</si>
  <si>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</si>
  <si>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</si>
  <si>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</si>
  <si>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</si>
  <si>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</si>
  <si>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</si>
  <si>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</si>
  <si>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</si>
  <si>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</si>
  <si>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</si>
  <si>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</si>
  <si>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</si>
  <si>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</si>
  <si>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</si>
  <si>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</si>
  <si>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</si>
  <si>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</si>
  <si>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</si>
  <si>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</si>
  <si>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</si>
  <si>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</si>
  <si>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</si>
  <si>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</si>
  <si>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</si>
  <si>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</si>
  <si>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</si>
  <si>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</si>
  <si>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</si>
  <si>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</si>
  <si>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</si>
  <si>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</si>
  <si>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</si>
  <si>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</si>
  <si>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</si>
  <si>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</si>
  <si>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</si>
  <si>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</si>
  <si>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</si>
  <si>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</si>
  <si>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</si>
  <si>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</si>
  <si>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</si>
  <si>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</si>
  <si>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</si>
  <si>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</si>
  <si>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</si>
  <si>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</si>
  <si>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</si>
  <si>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</si>
  <si>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</si>
  <si>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</si>
  <si>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</si>
  <si>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</si>
  <si>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</si>
  <si>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</si>
  <si>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</si>
  <si>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</si>
  <si>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</si>
  <si>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</si>
  <si>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</si>
  <si>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</si>
  <si>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</si>
  <si>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</si>
  <si>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</si>
  <si>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</si>
  <si>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</si>
  <si>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</si>
  <si>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</si>
  <si>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</si>
  <si>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</si>
  <si>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</si>
  <si>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</si>
  <si>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</si>
  <si>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</si>
  <si>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</si>
  <si>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</si>
  <si>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</si>
  <si>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</si>
  <si>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</si>
  <si>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</si>
  <si>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</si>
  <si>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</si>
  <si>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</si>
  <si>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</si>
  <si>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</si>
  <si>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</si>
  <si>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</si>
  <si>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</si>
  <si>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</si>
  <si>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</si>
  <si>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</si>
  <si>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</si>
  <si>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</si>
  <si>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</si>
  <si>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</si>
  <si>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</si>
  <si>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</si>
  <si>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</si>
  <si>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</si>
  <si>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</si>
  <si>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</si>
  <si>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</si>
  <si>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</si>
  <si>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</si>
  <si>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</si>
  <si>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</si>
  <si>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</si>
  <si>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</si>
  <si>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</si>
  <si>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</si>
  <si>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</si>
  <si>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</si>
  <si>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</si>
  <si>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</si>
  <si>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</si>
  <si>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</si>
  <si>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</si>
  <si>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</si>
  <si>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</si>
  <si>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</si>
  <si>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</si>
  <si>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</si>
  <si>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</si>
  <si>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</si>
  <si>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</si>
  <si>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</si>
  <si>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</si>
  <si>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</si>
  <si>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</si>
  <si>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</si>
  <si>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</si>
  <si>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</si>
  <si>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</si>
  <si>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</si>
  <si>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</si>
  <si>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</si>
  <si>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</si>
  <si>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</si>
  <si>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</si>
  <si>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</si>
  <si>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</si>
  <si>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</si>
  <si>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</si>
  <si>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</si>
  <si>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</si>
  <si>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</si>
  <si>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</si>
  <si>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</si>
  <si>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</si>
  <si>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</si>
  <si>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</si>
  <si>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</si>
  <si>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</si>
  <si>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</si>
  <si>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</si>
  <si>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</si>
  <si>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</si>
  <si>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</si>
  <si>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</si>
  <si>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</si>
  <si>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</si>
  <si>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</si>
  <si>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</si>
  <si>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</si>
  <si>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</si>
  <si>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</si>
  <si>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</si>
  <si>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</si>
  <si>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</si>
  <si>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</si>
  <si>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</si>
  <si>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</si>
  <si>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</si>
  <si>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</si>
  <si>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</si>
  <si>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</si>
  <si>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</si>
  <si>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</si>
  <si>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</si>
  <si>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</si>
  <si>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</si>
  <si>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</si>
  <si>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</si>
  <si>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</si>
  <si>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</si>
  <si>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</si>
  <si>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</si>
  <si>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</si>
  <si>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</si>
  <si>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</si>
  <si>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</si>
  <si>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</si>
  <si>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</si>
  <si>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</si>
  <si>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</si>
  <si>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</si>
  <si>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</si>
  <si>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</si>
  <si>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</si>
  <si>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</si>
  <si>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</si>
  <si>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</si>
  <si>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</si>
  <si>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</si>
  <si>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</si>
  <si>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</si>
  <si>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</si>
  <si>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</si>
  <si>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</si>
  <si>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</si>
  <si>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</si>
  <si>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</si>
  <si>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</si>
  <si>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</si>
  <si>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</si>
  <si>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</si>
  <si>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</si>
  <si>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</si>
  <si>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</si>
  <si>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</si>
  <si>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</si>
  <si>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</si>
  <si>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</si>
  <si>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</si>
  <si>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</si>
  <si>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</si>
  <si>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</si>
  <si>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</si>
  <si>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</si>
  <si>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</si>
  <si>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</si>
  <si>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</si>
  <si>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</si>
  <si>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</si>
  <si>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</si>
  <si>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</si>
  <si>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</si>
  <si>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</si>
  <si>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</si>
  <si>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</si>
  <si>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</si>
  <si>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</si>
  <si>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</si>
  <si>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</si>
  <si>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</si>
  <si>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</si>
  <si>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</si>
  <si>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</si>
  <si>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</si>
  <si>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</si>
  <si>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</si>
  <si>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</si>
  <si>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</si>
  <si>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</si>
  <si>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</si>
  <si>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</si>
  <si>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</si>
  <si>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</si>
  <si>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</si>
  <si>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</si>
  <si>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</si>
  <si>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</si>
  <si>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</si>
  <si>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</si>
  <si>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</si>
  <si>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</si>
  <si>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</si>
  <si>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</si>
  <si>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</si>
  <si>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</si>
  <si>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</si>
  <si>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</si>
  <si>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</si>
  <si>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</si>
  <si>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</si>
  <si>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</si>
  <si>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</si>
  <si>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</si>
  <si>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</si>
  <si>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</si>
  <si>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</si>
  <si>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</si>
  <si>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</si>
  <si>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</si>
  <si>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</si>
  <si>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</si>
  <si>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</si>
  <si>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</si>
  <si>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</si>
  <si>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</si>
  <si>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</si>
  <si>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</si>
  <si>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</si>
  <si>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</si>
  <si>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</si>
  <si>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</si>
  <si>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</si>
  <si>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</si>
  <si>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</si>
  <si>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</si>
  <si>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</si>
  <si>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</si>
  <si>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</si>
  <si>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</si>
  <si>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</si>
  <si>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</si>
  <si>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</si>
  <si>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</si>
  <si>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</si>
  <si>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</si>
  <si>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</si>
  <si>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</si>
  <si>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</si>
  <si>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</si>
  <si>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</si>
  <si>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</si>
  <si>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</si>
  <si>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</si>
  <si>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</si>
  <si>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</si>
  <si>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</si>
  <si>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</si>
  <si>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</si>
  <si>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</si>
  <si>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</si>
  <si>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</si>
  <si>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</si>
  <si>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</si>
  <si>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</si>
  <si>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</si>
  <si>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</si>
  <si>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</si>
  <si>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</si>
  <si>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</si>
  <si>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</si>
  <si>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</si>
  <si>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</si>
  <si>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</si>
  <si>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</si>
  <si>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</si>
  <si>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</si>
  <si>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</si>
  <si>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</si>
  <si>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</si>
  <si>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</si>
  <si>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</si>
  <si>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</si>
  <si>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</si>
  <si>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</si>
  <si>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</si>
  <si>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</si>
  <si>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</si>
  <si>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</si>
  <si>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</si>
  <si>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</si>
  <si>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</si>
  <si>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</si>
  <si>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</si>
  <si>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</si>
  <si>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</si>
  <si>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</si>
  <si>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</si>
  <si>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</si>
  <si>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</si>
  <si>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</si>
  <si>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</si>
  <si>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</si>
  <si>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</si>
  <si>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</si>
  <si>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</si>
  <si>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</si>
  <si>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</si>
  <si>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</si>
  <si>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</si>
  <si>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</si>
  <si>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</si>
  <si>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</si>
  <si>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</si>
  <si>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</si>
  <si>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</si>
  <si>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</si>
  <si>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</si>
  <si>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</si>
  <si>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</si>
  <si>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</si>
  <si>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</si>
  <si>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</si>
  <si>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</si>
  <si>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</si>
  <si>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</si>
  <si>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</si>
  <si>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</si>
  <si>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</si>
  <si>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</si>
  <si>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</si>
  <si>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</si>
  <si>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</si>
  <si>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</si>
  <si>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</si>
  <si>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</si>
  <si>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</si>
  <si>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</si>
  <si>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</si>
  <si>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</si>
  <si>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</si>
  <si>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</si>
  <si>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</si>
  <si>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</si>
  <si>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</si>
  <si>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</si>
  <si>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</si>
  <si>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</si>
  <si>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</si>
  <si>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</si>
  <si>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</si>
  <si>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</si>
  <si>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</si>
  <si>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</si>
  <si>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</si>
  <si>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</si>
  <si>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</si>
  <si>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</si>
  <si>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</si>
  <si>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</si>
  <si>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</si>
  <si>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</si>
  <si>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</si>
  <si>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</si>
  <si>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</si>
  <si>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</si>
  <si>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</si>
  <si>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</si>
  <si>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</si>
  <si>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</si>
  <si>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</si>
  <si>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</si>
  <si>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</si>
  <si>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</si>
  <si>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</si>
  <si>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</si>
  <si>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</si>
  <si>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</si>
  <si>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</si>
  <si>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</si>
  <si>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</si>
  <si>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</si>
  <si>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</si>
  <si>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</si>
  <si>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</si>
  <si>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</si>
  <si>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</si>
  <si>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</si>
  <si>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</si>
  <si>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</si>
  <si>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</si>
  <si>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</si>
  <si>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</si>
  <si>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</si>
  <si>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</si>
  <si>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</si>
  <si>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</si>
  <si>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</si>
  <si>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</si>
  <si>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</si>
  <si>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</si>
  <si>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</si>
  <si>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</si>
  <si>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</si>
  <si>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</si>
  <si>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</si>
  <si>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</si>
  <si>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</si>
  <si>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</si>
  <si>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</si>
  <si>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</si>
  <si>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</si>
  <si>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</si>
  <si>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</si>
  <si>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</si>
  <si>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</si>
  <si>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</si>
  <si>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</si>
  <si>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</si>
  <si>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</si>
  <si>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</si>
  <si>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</si>
  <si>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</si>
  <si>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</si>
  <si>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</si>
  <si>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</si>
  <si>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</si>
  <si>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</si>
  <si>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</si>
  <si>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</si>
  <si>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</si>
  <si>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</si>
  <si>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</si>
  <si>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</si>
  <si>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</si>
  <si>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</si>
  <si>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</si>
  <si>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</si>
  <si>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</si>
  <si>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</si>
  <si>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</si>
  <si>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</si>
  <si>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</si>
  <si>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</si>
  <si>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</si>
  <si>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</si>
  <si>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</si>
  <si>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</si>
  <si>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</si>
  <si>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</si>
  <si>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</si>
  <si>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</si>
  <si>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</si>
  <si>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</si>
  <si>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</si>
  <si>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</si>
  <si>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</si>
  <si>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</si>
  <si>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</si>
  <si>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</si>
  <si>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</si>
  <si>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</si>
  <si>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</si>
  <si>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</si>
  <si>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</si>
  <si>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</si>
  <si>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</si>
  <si>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</si>
  <si>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</si>
  <si>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</si>
  <si>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</si>
  <si>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</si>
  <si>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</si>
  <si>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</si>
  <si>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</si>
  <si>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</si>
  <si>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</si>
  <si>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</si>
  <si>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</si>
  <si>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</si>
  <si>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</si>
  <si>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</si>
  <si>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</si>
  <si>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</si>
  <si>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</si>
  <si>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</si>
  <si>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</si>
  <si>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</si>
  <si>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</si>
  <si>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</si>
  <si>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</si>
  <si>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</si>
  <si>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</si>
  <si>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</si>
  <si>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</si>
  <si>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</si>
  <si>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</si>
  <si>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</si>
  <si>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</si>
  <si>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</si>
  <si>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</si>
  <si>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</si>
  <si>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</si>
  <si>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</si>
  <si>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</si>
  <si>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</si>
  <si>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</si>
  <si>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</si>
  <si>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</si>
  <si>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</si>
  <si>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</si>
  <si>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</si>
  <si>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</si>
  <si>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</si>
  <si>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</si>
  <si>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</si>
  <si>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</si>
  <si>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</si>
  <si>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</si>
  <si>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</si>
  <si>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</si>
  <si>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</si>
  <si>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</si>
  <si>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</si>
  <si>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</si>
  <si>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</si>
  <si>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</si>
  <si>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</si>
  <si>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</si>
  <si>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</si>
  <si>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</si>
  <si>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</si>
  <si>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</si>
  <si>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</si>
  <si>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</si>
  <si>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</si>
  <si>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</si>
  <si>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</si>
  <si>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</si>
  <si>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</si>
  <si>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</si>
  <si>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</si>
  <si>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</si>
  <si>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</si>
  <si>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</si>
  <si>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</si>
  <si>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</si>
  <si>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</si>
  <si>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</si>
  <si>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</si>
  <si>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</si>
  <si>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</si>
  <si>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</si>
  <si>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</si>
  <si>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</si>
  <si>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</si>
  <si>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</si>
  <si>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</si>
  <si>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</si>
  <si>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</si>
  <si>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</si>
  <si>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</si>
  <si>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</si>
  <si>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</si>
  <si>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</si>
  <si>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</si>
  <si>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</si>
  <si>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</si>
  <si>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</si>
  <si>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</si>
  <si>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</si>
  <si>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</si>
  <si>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</si>
  <si>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</si>
  <si>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</si>
  <si>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</si>
  <si>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</si>
  <si>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</si>
  <si>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</si>
  <si>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</si>
  <si>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</si>
  <si>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</si>
  <si>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</si>
  <si>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</si>
  <si>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</si>
  <si>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</si>
  <si>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</si>
  <si>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</si>
  <si>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</si>
  <si>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</si>
  <si>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</si>
  <si>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</si>
  <si>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</si>
  <si>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</si>
  <si>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</si>
  <si>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</si>
  <si>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</si>
  <si>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</si>
  <si>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</si>
  <si>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</si>
  <si>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</si>
  <si>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</si>
  <si>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</si>
  <si>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</si>
  <si>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</si>
  <si>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</si>
  <si>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</si>
  <si>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</si>
  <si>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</si>
  <si>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</si>
  <si>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</si>
  <si>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</si>
  <si>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</si>
  <si>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</si>
  <si>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</si>
  <si>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</si>
  <si>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</si>
  <si>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</si>
  <si>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</si>
  <si>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</si>
  <si>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</si>
  <si>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</si>
  <si>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</si>
  <si>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</si>
  <si>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</si>
  <si>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</si>
  <si>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</si>
  <si>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</si>
  <si>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</si>
  <si>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</si>
  <si>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</si>
  <si>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</si>
  <si>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</si>
  <si>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</si>
  <si>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</si>
  <si>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</si>
  <si>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</si>
  <si>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</si>
  <si>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</si>
  <si>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</si>
  <si>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</si>
  <si>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</si>
  <si>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</si>
  <si>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</si>
  <si>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</si>
  <si>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</si>
  <si>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</si>
  <si>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</si>
  <si>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</si>
  <si>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</si>
  <si>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</si>
  <si>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</si>
  <si>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</si>
  <si>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</si>
  <si>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</si>
  <si>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</si>
  <si>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</si>
  <si>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</si>
  <si>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</si>
  <si>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</si>
  <si>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</si>
  <si>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</si>
  <si>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</si>
  <si>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</si>
  <si>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</si>
  <si>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</si>
  <si>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</si>
  <si>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</si>
  <si>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</si>
  <si>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</si>
  <si>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</si>
  <si>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</si>
  <si>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</si>
  <si>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</si>
  <si>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</si>
  <si>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</si>
  <si>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</si>
  <si>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</si>
  <si>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</si>
  <si>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</si>
  <si>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</si>
  <si>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</si>
  <si>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</si>
  <si>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</si>
  <si>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</si>
  <si>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</si>
  <si>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</si>
  <si>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</si>
  <si>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</si>
  <si>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</si>
  <si>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</si>
  <si>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</si>
  <si>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</si>
  <si>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</si>
  <si>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</si>
  <si>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</si>
  <si>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</si>
  <si>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</si>
  <si>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</si>
  <si>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</si>
  <si>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</si>
  <si>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</si>
  <si>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</si>
  <si>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</si>
  <si>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</si>
  <si>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</si>
  <si>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</si>
  <si>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</si>
  <si>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</si>
  <si>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</si>
  <si>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</si>
  <si>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</si>
  <si>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</si>
  <si>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</si>
  <si>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</si>
  <si>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</si>
  <si>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</si>
  <si>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</si>
  <si>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</si>
  <si>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</si>
  <si>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</si>
  <si>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</si>
  <si>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</si>
  <si>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</si>
  <si>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</si>
  <si>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</si>
  <si>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</si>
  <si>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</si>
  <si>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</si>
  <si>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</si>
  <si>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</si>
  <si>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</si>
  <si>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</si>
  <si>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</si>
  <si>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</si>
  <si>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</si>
  <si>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</si>
  <si>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</si>
  <si>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</si>
  <si>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</si>
  <si>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</si>
  <si>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</si>
  <si>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</si>
  <si>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</si>
  <si>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</si>
  <si>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</si>
  <si>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</si>
  <si>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</si>
  <si>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</si>
  <si>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</si>
  <si>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</si>
  <si>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</si>
  <si>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</si>
  <si>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</si>
  <si>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</si>
  <si>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</si>
  <si>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</si>
  <si>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</si>
  <si>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</si>
  <si>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</si>
  <si>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</si>
  <si>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</si>
  <si>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</si>
  <si>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</si>
  <si>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</si>
  <si>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</si>
  <si>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</si>
  <si>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</si>
  <si>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</si>
  <si>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</si>
  <si>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</si>
  <si>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</si>
  <si>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</si>
  <si>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</si>
  <si>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</si>
  <si>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</si>
  <si>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</si>
  <si>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</si>
  <si>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</si>
  <si>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</si>
  <si>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</si>
  <si>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</si>
  <si>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</si>
  <si>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</si>
  <si>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</si>
  <si>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</si>
  <si>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</si>
  <si>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</si>
  <si>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</si>
  <si>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</si>
  <si>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</si>
  <si>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</si>
  <si>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</si>
  <si>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</si>
  <si>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</si>
  <si>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</si>
  <si>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</si>
  <si>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</si>
  <si>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</si>
  <si>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</si>
  <si>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</si>
  <si>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</si>
  <si>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</si>
  <si>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</si>
  <si>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</si>
  <si>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</si>
  <si>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</si>
  <si>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</si>
  <si>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</si>
  <si>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</si>
  <si>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</si>
  <si>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</si>
  <si>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</si>
  <si>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</si>
  <si>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</si>
  <si>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</si>
  <si>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</si>
  <si>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</si>
  <si>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</si>
  <si>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</si>
  <si>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</si>
  <si>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</si>
  <si>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</si>
  <si>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</si>
  <si>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</si>
  <si>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</si>
  <si>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</si>
  <si>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</si>
  <si>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</si>
  <si>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</si>
  <si>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</si>
  <si>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</si>
  <si>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</si>
  <si>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</si>
  <si>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</si>
  <si>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</si>
  <si>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</si>
  <si>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</si>
  <si>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</si>
  <si>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</si>
  <si>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</si>
  <si>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</si>
  <si>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</si>
  <si>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</si>
  <si>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</si>
  <si>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</si>
  <si>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</si>
  <si>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</si>
  <si>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</si>
  <si>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</si>
  <si>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</si>
  <si>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</si>
  <si>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</si>
  <si>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</si>
  <si>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</si>
  <si>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</si>
  <si>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</si>
  <si>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</si>
  <si>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</si>
  <si>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</si>
  <si>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</si>
  <si>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</si>
  <si>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</si>
  <si>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</si>
  <si>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</si>
  <si>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</si>
  <si>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</si>
  <si>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</si>
  <si>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</si>
  <si>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</si>
  <si>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</si>
  <si>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</si>
  <si>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</si>
  <si>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</si>
  <si>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</si>
  <si>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</si>
  <si>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</si>
  <si>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</si>
  <si>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</si>
  <si>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</si>
  <si>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</si>
  <si>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</si>
  <si>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</si>
  <si>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</si>
  <si>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</si>
  <si>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</si>
  <si>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</si>
  <si>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</si>
  <si>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</si>
  <si>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</si>
  <si>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</si>
  <si>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</si>
  <si>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</si>
  <si>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</si>
  <si>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</si>
  <si>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</si>
  <si>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</si>
  <si>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</si>
  <si>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</si>
  <si>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</si>
  <si>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</si>
  <si>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</si>
  <si>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</si>
  <si>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</si>
  <si>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</si>
  <si>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</si>
  <si>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</si>
  <si>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</si>
  <si>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</si>
  <si>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</si>
  <si>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</si>
  <si>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</si>
  <si>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</si>
  <si>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</si>
  <si>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</si>
  <si>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</si>
  <si>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</si>
  <si>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</si>
  <si>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</si>
  <si>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</si>
  <si>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</si>
  <si>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</si>
  <si>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</si>
  <si>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</si>
  <si>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</si>
  <si>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</si>
  <si>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</si>
  <si>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</si>
  <si>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</si>
  <si>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</si>
  <si>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</si>
  <si>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</si>
  <si>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</si>
  <si>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</si>
  <si>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</si>
  <si>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</si>
  <si>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</si>
  <si>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</si>
  <si>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</si>
  <si>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</si>
  <si>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</si>
  <si>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</si>
  <si>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</si>
  <si>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</si>
  <si>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</si>
  <si>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</si>
  <si>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</si>
  <si>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</si>
  <si>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</si>
  <si>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</si>
  <si>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</si>
  <si>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</si>
  <si>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</si>
  <si>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</si>
  <si>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</si>
  <si>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</si>
  <si>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</si>
  <si>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</si>
  <si>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</si>
  <si>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</si>
  <si>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</si>
  <si>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</si>
  <si>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</si>
  <si>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</si>
  <si>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</si>
  <si>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</si>
  <si>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</si>
  <si>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</si>
  <si>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</si>
  <si>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</si>
  <si>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</si>
  <si>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</si>
  <si>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</si>
  <si>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</si>
  <si>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</si>
  <si>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</si>
  <si>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</si>
  <si>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</si>
  <si>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</si>
  <si>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</si>
  <si>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</si>
  <si>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</si>
  <si>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</si>
  <si>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</si>
  <si>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</si>
  <si>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</si>
  <si>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</si>
  <si>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</si>
  <si>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</si>
  <si>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</si>
  <si>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</si>
  <si>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</si>
  <si>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</si>
  <si>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</si>
  <si>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</si>
  <si>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</si>
  <si>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</si>
  <si>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</si>
  <si>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</si>
  <si>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</si>
  <si>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</si>
  <si>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</si>
  <si>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</si>
  <si>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</si>
  <si>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</si>
  <si>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</si>
  <si>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</si>
  <si>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</si>
  <si>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</si>
  <si>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</si>
  <si>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</si>
  <si>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</si>
  <si>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</si>
  <si>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</si>
  <si>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</si>
  <si>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</si>
  <si>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</si>
  <si>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</si>
  <si>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</si>
  <si>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</si>
  <si>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</si>
  <si>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</si>
  <si>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</si>
  <si>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</si>
  <si>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</si>
  <si>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</si>
  <si>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</si>
  <si>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</si>
  <si>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</si>
  <si>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</si>
  <si>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</si>
  <si>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</si>
  <si>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</si>
  <si>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</si>
  <si>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</si>
  <si>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</si>
  <si>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</si>
  <si>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</si>
  <si>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</si>
  <si>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</si>
  <si>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</si>
  <si>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</si>
  <si>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</si>
  <si>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</si>
  <si>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</si>
  <si>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</si>
  <si>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</si>
  <si>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</si>
  <si>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</si>
  <si>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</si>
  <si>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</si>
  <si>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</si>
  <si>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</si>
  <si>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</si>
  <si>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</si>
  <si>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</si>
  <si>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</si>
  <si>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</si>
  <si>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</si>
  <si>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</si>
  <si>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</si>
  <si>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</si>
  <si>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</si>
  <si>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</si>
  <si>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</si>
  <si>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</si>
  <si>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</si>
  <si>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</si>
  <si>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</si>
  <si>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</si>
  <si>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</si>
  <si>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</si>
  <si>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</si>
  <si>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</si>
  <si>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</si>
  <si>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</si>
  <si>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</si>
  <si>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</si>
  <si>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</si>
  <si>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</si>
  <si>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</si>
  <si>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</si>
  <si>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</si>
  <si>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</si>
  <si>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</si>
  <si>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</si>
  <si>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</si>
  <si>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</si>
  <si>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</si>
  <si>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</si>
  <si>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</si>
  <si>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</si>
  <si>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</si>
  <si>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</si>
  <si>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</si>
  <si>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</si>
  <si>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</si>
  <si>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</si>
  <si>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</si>
  <si>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</si>
  <si>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</si>
  <si>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</si>
  <si>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</si>
  <si>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</si>
  <si>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</si>
  <si>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</si>
  <si>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</si>
  <si>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</si>
  <si>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</si>
  <si>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</si>
  <si>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</si>
  <si>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</si>
  <si>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</si>
  <si>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</si>
  <si>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</si>
  <si>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</si>
  <si>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</si>
  <si>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</si>
  <si>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</si>
  <si>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</si>
  <si>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</si>
  <si>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</si>
  <si>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</si>
  <si>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</si>
  <si>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</si>
  <si>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</si>
  <si>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</si>
  <si>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</si>
  <si>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</si>
  <si>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</si>
  <si>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</si>
  <si>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</si>
  <si>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</si>
  <si>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</si>
  <si>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</si>
  <si>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</si>
  <si>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</si>
  <si>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</si>
  <si>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</si>
  <si>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</si>
  <si>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</si>
  <si>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</si>
  <si>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</si>
  <si>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</si>
  <si>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</si>
  <si>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</si>
  <si>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</si>
  <si>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</si>
  <si>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</si>
  <si>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</si>
  <si>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</si>
  <si>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</si>
  <si>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</si>
  <si>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</si>
  <si>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</si>
  <si>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</si>
  <si>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</si>
  <si>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</si>
  <si>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</si>
  <si>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</si>
  <si>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</si>
  <si>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</si>
  <si>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</si>
  <si>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</si>
  <si>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</si>
  <si>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</si>
  <si>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</si>
  <si>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</si>
  <si>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</si>
  <si>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</si>
  <si>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</si>
  <si>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</si>
  <si>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</si>
  <si>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</si>
  <si>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</si>
  <si>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</si>
  <si>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</si>
  <si>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</si>
  <si>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</si>
  <si>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</si>
  <si>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</si>
  <si>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</si>
  <si>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</si>
  <si>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</si>
  <si>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</si>
  <si>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</si>
  <si>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</si>
  <si>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</si>
  <si>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</si>
  <si>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</si>
  <si>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</si>
  <si>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</si>
  <si>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</si>
  <si>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</si>
  <si>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</si>
  <si>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</si>
  <si>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</si>
  <si>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</si>
  <si>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</si>
  <si>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</si>
  <si>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</si>
  <si>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</si>
  <si>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</si>
  <si>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</si>
  <si>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</si>
  <si>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</si>
  <si>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</si>
  <si>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</si>
  <si>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</si>
  <si>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</si>
  <si>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</si>
  <si>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</si>
  <si>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</si>
  <si>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</si>
  <si>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</si>
  <si>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</si>
  <si>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</si>
  <si>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</si>
  <si>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</si>
  <si>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</si>
  <si>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</si>
  <si>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</si>
  <si>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</si>
  <si>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</si>
  <si>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</si>
  <si>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</si>
  <si>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</si>
  <si>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</si>
  <si>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</si>
  <si>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</si>
  <si>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</si>
  <si>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</si>
  <si>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</si>
  <si>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</si>
  <si>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</si>
  <si>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</si>
  <si>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</si>
  <si>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</si>
  <si>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</si>
  <si>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</si>
  <si>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</si>
  <si>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</si>
  <si>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</si>
  <si>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</si>
  <si>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</si>
  <si>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</si>
  <si>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</si>
  <si>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</si>
  <si>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</si>
  <si>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</si>
  <si>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</si>
  <si>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</si>
  <si>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</si>
  <si>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</si>
  <si>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</si>
  <si>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</si>
  <si>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</si>
  <si>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</si>
  <si>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</si>
  <si>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</si>
  <si>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</si>
  <si>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</si>
  <si>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</si>
  <si>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</si>
  <si>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</si>
  <si>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</si>
  <si>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</si>
  <si>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</si>
  <si>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</si>
  <si>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</si>
  <si>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</si>
  <si>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</si>
  <si>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</si>
  <si>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</si>
  <si>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</si>
  <si>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</si>
  <si>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</si>
  <si>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</si>
  <si>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</si>
  <si>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</si>
  <si>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</si>
  <si>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</si>
  <si>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</si>
  <si>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</si>
  <si>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</si>
  <si>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</si>
  <si>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</si>
  <si>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</si>
  <si>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</si>
  <si>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</si>
  <si>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</si>
  <si>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</si>
  <si>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</si>
  <si>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</si>
  <si>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</si>
  <si>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</si>
  <si>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</si>
  <si>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</si>
  <si>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</si>
  <si>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</si>
  <si>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</si>
  <si>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</si>
  <si>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</si>
  <si>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</si>
  <si>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</si>
  <si>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</si>
  <si>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</si>
  <si>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</si>
  <si>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</si>
  <si>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</si>
  <si>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</si>
  <si>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</si>
  <si>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</si>
  <si>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</si>
  <si>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</si>
  <si>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</si>
  <si>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</si>
  <si>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</si>
  <si>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</si>
  <si>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</si>
  <si>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</si>
  <si>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</si>
  <si>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</si>
  <si>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</si>
  <si>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</si>
  <si>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</si>
  <si>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</si>
  <si>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</si>
  <si>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</si>
  <si>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</si>
  <si>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</si>
  <si>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</si>
  <si>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</si>
  <si>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</si>
  <si>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</si>
  <si>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</si>
  <si>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</si>
  <si>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</si>
  <si>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</si>
  <si>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</si>
  <si>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</si>
  <si>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</si>
  <si>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</si>
  <si>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</si>
  <si>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</si>
  <si>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</si>
  <si>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</si>
  <si>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</si>
  <si>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</si>
  <si>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</si>
  <si>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</si>
  <si>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</si>
  <si>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</si>
  <si>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</si>
  <si>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</si>
  <si>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</si>
  <si>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</si>
  <si>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</si>
  <si>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</si>
  <si>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</si>
  <si>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</si>
  <si>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</si>
  <si>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</si>
  <si>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</si>
  <si>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</si>
  <si>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</si>
  <si>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</si>
  <si>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</si>
  <si>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</si>
  <si>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</si>
  <si>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</si>
  <si>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</si>
  <si>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</si>
  <si>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</si>
  <si>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</si>
  <si>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</si>
  <si>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</si>
  <si>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</si>
  <si>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</si>
  <si>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</si>
  <si>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</si>
  <si>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</si>
  <si>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</si>
  <si>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</si>
  <si>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</si>
  <si>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</si>
  <si>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</si>
  <si>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</si>
  <si>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</si>
  <si>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</si>
  <si>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</si>
  <si>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</si>
  <si>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</si>
  <si>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</si>
  <si>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</si>
  <si>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</si>
  <si>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</si>
  <si>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</si>
  <si>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</si>
  <si>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</si>
  <si>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</si>
  <si>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</si>
  <si>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</si>
  <si>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</si>
  <si>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</si>
  <si>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</si>
  <si>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</si>
  <si>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</si>
  <si>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</si>
  <si>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</si>
  <si>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</si>
  <si>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</si>
  <si>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</si>
  <si>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</si>
  <si>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</si>
  <si>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</si>
  <si>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</si>
  <si>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</si>
  <si>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</si>
  <si>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</si>
  <si>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</si>
  <si>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</si>
  <si>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</si>
  <si>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</si>
  <si>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</si>
  <si>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</si>
  <si>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</si>
  <si>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</si>
  <si>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</si>
  <si>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</si>
  <si>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</si>
  <si>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</si>
  <si>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</si>
  <si>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</si>
  <si>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</si>
  <si>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</si>
  <si>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</si>
  <si>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</si>
  <si>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</si>
  <si>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</si>
  <si>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</si>
  <si>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</si>
  <si>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</si>
  <si>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</si>
  <si>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</si>
  <si>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</si>
  <si>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</si>
  <si>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</si>
  <si>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</si>
  <si>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</si>
  <si>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</si>
  <si>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</si>
  <si>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</si>
  <si>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</si>
  <si>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</si>
  <si>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</si>
  <si>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</si>
  <si>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</si>
  <si>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</si>
  <si>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</si>
  <si>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</si>
  <si>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</si>
  <si>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</si>
  <si>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</si>
  <si>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</si>
  <si>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</si>
  <si>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</si>
  <si>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</si>
  <si>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</si>
  <si>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</si>
  <si>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</si>
  <si>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</si>
  <si>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</si>
  <si>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</si>
  <si>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</si>
  <si>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</si>
  <si>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</si>
  <si>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</si>
  <si>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</si>
  <si>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</si>
  <si>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</si>
  <si>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</si>
  <si>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</si>
  <si>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</si>
  <si>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</si>
  <si>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</si>
  <si>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</si>
  <si>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</si>
  <si>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</si>
  <si>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</si>
  <si>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</si>
  <si>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</si>
  <si>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</si>
  <si>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</si>
  <si>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</si>
  <si>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</si>
  <si>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</si>
  <si>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</si>
  <si>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</si>
  <si>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</si>
  <si>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</si>
  <si>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</si>
  <si>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</si>
  <si>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</si>
  <si>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</si>
  <si>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</si>
  <si>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</si>
  <si>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</si>
  <si>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</si>
  <si>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</si>
  <si>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</si>
  <si>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</si>
  <si>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</si>
  <si>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</si>
  <si>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</si>
  <si>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</si>
  <si>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</si>
  <si>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</si>
  <si>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</si>
  <si>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</si>
  <si>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</si>
  <si>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</si>
  <si>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</si>
  <si>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</si>
  <si>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</si>
  <si>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</si>
  <si>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</si>
  <si>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</si>
  <si>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</si>
  <si>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</si>
  <si>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</si>
  <si>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</si>
  <si>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</si>
  <si>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</si>
  <si>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</si>
  <si>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</si>
  <si>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</si>
  <si>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</si>
  <si>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</si>
  <si>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</si>
  <si>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</si>
  <si>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</si>
  <si>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</si>
  <si>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</si>
  <si>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</si>
  <si>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</si>
  <si>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</si>
  <si>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</si>
  <si>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</si>
  <si>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</si>
  <si>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</si>
  <si>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</si>
  <si>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</si>
  <si>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</si>
  <si>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</si>
  <si>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</si>
  <si>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</si>
  <si>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</si>
  <si>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</si>
  <si>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</si>
  <si>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</si>
  <si>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</si>
  <si>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</si>
  <si>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</si>
  <si>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</si>
  <si>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</si>
  <si>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</si>
  <si>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</si>
  <si>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</si>
  <si>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</si>
  <si>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</si>
  <si>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</si>
  <si>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</si>
  <si>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</si>
  <si>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</si>
  <si>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</si>
  <si>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</si>
  <si>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</si>
  <si>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</si>
  <si>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</si>
  <si>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</si>
  <si>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</si>
  <si>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</si>
  <si>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</si>
  <si>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</si>
  <si>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</si>
  <si>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</si>
  <si>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</si>
  <si>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</si>
  <si>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</si>
  <si>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</si>
  <si>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</si>
  <si>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</si>
  <si>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</si>
  <si>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</si>
  <si>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</si>
  <si>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</si>
  <si>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</si>
  <si>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</si>
  <si>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</si>
  <si>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</si>
  <si>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</si>
  <si>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</si>
  <si>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</si>
  <si>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</si>
  <si>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</si>
  <si>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</si>
  <si>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</si>
  <si>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</si>
  <si>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</si>
  <si>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</si>
  <si>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</si>
  <si>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</si>
  <si>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</si>
  <si>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</si>
  <si>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</si>
  <si>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</si>
  <si>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</si>
  <si>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</si>
  <si>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</si>
  <si>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</si>
  <si>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</si>
  <si>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</si>
  <si>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</si>
  <si>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</si>
  <si>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</si>
  <si>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</si>
  <si>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</si>
  <si>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</si>
  <si>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</si>
  <si>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</si>
  <si>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</si>
  <si>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</si>
  <si>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</si>
  <si>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</si>
  <si>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</si>
  <si>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</si>
  <si>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</si>
  <si>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</si>
  <si>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</si>
  <si>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</si>
  <si>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</si>
  <si>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</si>
  <si>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</si>
  <si>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</si>
  <si>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</si>
  <si>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</si>
  <si>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</si>
  <si>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</si>
  <si>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</si>
  <si>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</si>
  <si>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</si>
  <si>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</si>
  <si>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</si>
  <si>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</si>
  <si>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</si>
  <si>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</si>
  <si>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</si>
  <si>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</si>
  <si>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</si>
  <si>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</si>
  <si>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</si>
  <si>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</si>
  <si>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</si>
  <si>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</si>
  <si>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</si>
  <si>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</si>
  <si>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</si>
  <si>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</si>
  <si>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</si>
  <si>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</si>
  <si>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</si>
  <si>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</si>
  <si>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</si>
  <si>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</si>
  <si>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</si>
  <si>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</si>
  <si>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</si>
  <si>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</si>
  <si>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</si>
  <si>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</si>
  <si>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</si>
  <si>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</si>
  <si>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</si>
  <si>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</si>
  <si>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</si>
  <si>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</si>
  <si>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</si>
  <si>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</si>
  <si>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</si>
  <si>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</si>
  <si>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</si>
  <si>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</si>
  <si>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</si>
  <si>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</si>
  <si>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</si>
  <si>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</si>
  <si>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</si>
  <si>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</si>
  <si>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</si>
  <si>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</si>
  <si>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</si>
  <si>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</si>
  <si>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</si>
  <si>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</si>
  <si>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</si>
  <si>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</si>
  <si>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</si>
  <si>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</si>
  <si>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</si>
  <si>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</si>
  <si>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</si>
  <si>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</si>
  <si>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</si>
  <si>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</si>
  <si>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</si>
  <si>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</si>
  <si>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</si>
  <si>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</si>
  <si>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</si>
  <si>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</si>
  <si>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</si>
  <si>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</si>
  <si>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</si>
  <si>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</si>
  <si>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</si>
  <si>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</si>
  <si>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</si>
  <si>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</si>
  <si>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</si>
  <si>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</si>
  <si>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</si>
  <si>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</si>
  <si>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</si>
  <si>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</si>
  <si>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</si>
  <si>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</si>
  <si>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</si>
  <si>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</si>
  <si>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</si>
  <si>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</si>
  <si>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</si>
  <si>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</si>
  <si>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</si>
  <si>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</si>
  <si>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</si>
  <si>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</si>
  <si>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</si>
  <si>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</si>
  <si>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</si>
  <si>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</si>
  <si>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</si>
  <si>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</si>
  <si>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</si>
  <si>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</si>
  <si>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</si>
  <si>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</si>
  <si>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</si>
  <si>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</si>
  <si>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</si>
  <si>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</si>
  <si>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</si>
  <si>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</si>
  <si>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</si>
  <si>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</si>
  <si>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</si>
  <si>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</si>
  <si>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</si>
  <si>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</si>
  <si>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</si>
  <si>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</si>
  <si>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</si>
  <si>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</si>
  <si>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</si>
  <si>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</si>
  <si>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</si>
  <si>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</si>
  <si>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</si>
  <si>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</si>
  <si>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</si>
  <si>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</si>
  <si>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</si>
  <si>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</si>
  <si>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</si>
  <si>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</si>
  <si>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</si>
  <si>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</si>
  <si>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</si>
  <si>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</si>
  <si>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</si>
  <si>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</si>
  <si>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</si>
  <si>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</si>
  <si>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</si>
  <si>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</si>
  <si>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</si>
  <si>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</si>
  <si>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</si>
  <si>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</si>
  <si>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</si>
  <si>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</si>
  <si>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</si>
  <si>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</si>
  <si>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</si>
  <si>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</si>
  <si>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</si>
  <si>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</si>
  <si>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</si>
  <si>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</si>
  <si>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</si>
  <si>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</si>
  <si>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</si>
  <si>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</si>
  <si>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</si>
  <si>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</si>
  <si>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</si>
  <si>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</si>
  <si>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</si>
  <si>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</si>
  <si>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</si>
  <si>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</si>
  <si>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</si>
  <si>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</si>
  <si>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</si>
  <si>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</si>
  <si>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</si>
  <si>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</si>
  <si>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</si>
  <si>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</si>
  <si>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</si>
  <si>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</si>
  <si>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</si>
  <si>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</si>
  <si>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</si>
  <si>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</si>
  <si>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</si>
  <si>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</si>
  <si>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</si>
  <si>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</si>
  <si>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</si>
  <si>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</si>
  <si>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</si>
  <si>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</si>
  <si>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</si>
  <si>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</si>
  <si>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</si>
  <si>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</si>
  <si>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</si>
  <si>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</si>
  <si>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</si>
  <si>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</si>
  <si>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</si>
  <si>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</si>
  <si>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</si>
  <si>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</si>
  <si>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</si>
  <si>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</si>
  <si>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</si>
  <si>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</si>
  <si>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</si>
  <si>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</si>
  <si>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</si>
  <si>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</si>
  <si>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</si>
  <si>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</si>
  <si>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</si>
  <si>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</si>
  <si>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</si>
  <si>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</si>
  <si>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</si>
  <si>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</si>
  <si>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</si>
  <si>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</si>
  <si>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</si>
  <si>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</si>
  <si>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</si>
  <si>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</si>
  <si>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</si>
  <si>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</si>
  <si>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</si>
  <si>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</si>
  <si>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</si>
  <si>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</si>
  <si>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</si>
  <si>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</si>
  <si>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</si>
  <si>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</si>
  <si>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</si>
  <si>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</si>
  <si>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</si>
  <si>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</si>
  <si>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</si>
  <si>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</si>
  <si>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</si>
  <si>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</si>
  <si>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</si>
  <si>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</si>
  <si>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</si>
  <si>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</si>
  <si>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</si>
  <si>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</si>
  <si>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</si>
  <si>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</si>
  <si>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</si>
  <si>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</si>
  <si>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</si>
  <si>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</si>
  <si>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</si>
  <si>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</si>
  <si>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</si>
  <si>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</si>
  <si>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</si>
  <si>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</si>
  <si>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</si>
  <si>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</si>
  <si>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</si>
  <si>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</si>
  <si>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</si>
  <si>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</si>
  <si>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</si>
  <si>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</si>
  <si>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</si>
  <si>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</si>
  <si>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</si>
  <si>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</si>
  <si>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</si>
  <si>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</si>
  <si>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</si>
  <si>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</si>
  <si>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</si>
  <si>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</si>
  <si>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</si>
  <si>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</si>
  <si>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</si>
  <si>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</si>
  <si>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</si>
  <si>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</si>
  <si>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</si>
  <si>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</si>
  <si>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</si>
  <si>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</si>
  <si>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</si>
  <si>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</si>
  <si>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</si>
  <si>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</si>
  <si>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</si>
  <si>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</si>
  <si>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</si>
  <si>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</si>
  <si>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</si>
  <si>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</si>
  <si>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</si>
  <si>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</si>
  <si>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</si>
  <si>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</si>
  <si>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</si>
  <si>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</si>
  <si>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</si>
  <si>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</si>
  <si>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</si>
  <si>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</si>
  <si>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</si>
  <si>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</si>
  <si>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</si>
  <si>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</si>
  <si>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</si>
  <si>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</si>
  <si>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</si>
  <si>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</si>
  <si>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</si>
  <si>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</si>
  <si>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</si>
  <si>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</si>
  <si>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</si>
  <si>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</si>
  <si>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</si>
  <si>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</si>
  <si>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</si>
  <si>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</si>
  <si>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</si>
  <si>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</si>
  <si>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</si>
  <si>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</si>
  <si>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</si>
  <si>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</si>
  <si>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</si>
  <si>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</si>
  <si>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</si>
  <si>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</si>
  <si>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</si>
  <si>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</si>
  <si>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</si>
  <si>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</si>
  <si>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</si>
  <si>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</si>
  <si>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</si>
  <si>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</si>
  <si>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</si>
  <si>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</si>
  <si>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</si>
  <si>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</si>
  <si>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</si>
  <si>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</si>
  <si>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</si>
  <si>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</si>
  <si>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</si>
  <si>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</si>
  <si>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</si>
  <si>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</si>
  <si>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</si>
  <si>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</si>
  <si>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</si>
  <si>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</si>
  <si>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</si>
  <si>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</si>
  <si>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</si>
  <si>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</si>
  <si>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</si>
  <si>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</si>
  <si>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</si>
  <si>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</si>
  <si>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</si>
  <si>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</si>
  <si>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</si>
  <si>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</si>
  <si>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</si>
  <si>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</si>
  <si>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</si>
  <si>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</si>
  <si>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</si>
  <si>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</si>
  <si>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</si>
  <si>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</si>
  <si>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</si>
  <si>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</si>
  <si>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</si>
  <si>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</si>
  <si>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</si>
  <si>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</si>
  <si>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</si>
  <si>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</si>
  <si>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</si>
  <si>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</si>
  <si>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</si>
  <si>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</si>
  <si>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</si>
  <si>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</si>
  <si>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</si>
  <si>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</si>
  <si>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</si>
  <si>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</si>
  <si>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</si>
  <si>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</si>
  <si>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</si>
  <si>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</si>
  <si>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</si>
  <si>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</si>
  <si>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</si>
  <si>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</si>
  <si>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</si>
  <si>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</si>
  <si>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</si>
  <si>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</si>
  <si>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</si>
  <si>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</si>
  <si>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</si>
  <si>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</si>
  <si>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</si>
  <si>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</si>
  <si>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</si>
  <si>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</si>
  <si>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</si>
  <si>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</si>
  <si>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</si>
  <si>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</si>
  <si>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</si>
  <si>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</si>
  <si>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</si>
  <si>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</si>
  <si>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</si>
  <si>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</si>
  <si>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</si>
  <si>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</si>
  <si>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</si>
  <si>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</si>
  <si>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</si>
  <si>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</si>
  <si>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</si>
  <si>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</si>
  <si>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</si>
  <si>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</si>
  <si>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</si>
  <si>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</si>
  <si>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</si>
  <si>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</si>
  <si>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</si>
  <si>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</si>
  <si>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</si>
  <si>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</si>
  <si>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</si>
  <si>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</si>
  <si>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</si>
  <si>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</si>
  <si>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</si>
  <si>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</si>
  <si>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</si>
  <si>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</si>
  <si>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</si>
  <si>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</si>
  <si>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</si>
  <si>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</si>
  <si>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</si>
  <si>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</si>
  <si>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</si>
  <si>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</si>
  <si>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</si>
  <si>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</si>
  <si>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</si>
  <si>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</si>
  <si>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</si>
  <si>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</si>
  <si>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</si>
  <si>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</si>
  <si>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</si>
  <si>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</si>
  <si>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</si>
  <si>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</si>
  <si>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</si>
  <si>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</si>
  <si>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</si>
  <si>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</si>
  <si>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</si>
  <si>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</si>
  <si>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</si>
  <si>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</si>
  <si>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</si>
  <si>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</si>
  <si>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</si>
  <si>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</si>
  <si>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</si>
  <si>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</si>
  <si>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</si>
  <si>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</si>
  <si>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</si>
  <si>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</si>
  <si>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</si>
  <si>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</si>
  <si>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</si>
  <si>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</si>
  <si>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</si>
  <si>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</si>
  <si>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</si>
  <si>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</si>
  <si>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</si>
  <si>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</si>
  <si>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</si>
  <si>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</si>
  <si>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</si>
  <si>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</si>
  <si>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</si>
  <si>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</si>
  <si>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</si>
  <si>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</si>
  <si>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</si>
  <si>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</si>
  <si>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</si>
  <si>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</si>
  <si>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</si>
  <si>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</si>
  <si>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</si>
  <si>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</si>
  <si>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</si>
  <si>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</si>
  <si>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</si>
  <si>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</si>
  <si>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</si>
  <si>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</si>
  <si>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</si>
  <si>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</si>
  <si>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</si>
  <si>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</si>
  <si>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</si>
  <si>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</si>
  <si>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</si>
  <si>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</si>
  <si>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</si>
  <si>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</si>
  <si>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</si>
  <si>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</si>
  <si>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</si>
  <si>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</si>
  <si>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</si>
  <si>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</si>
  <si>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</si>
  <si>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</si>
  <si>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</si>
  <si>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</si>
  <si>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</si>
  <si>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</si>
  <si>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</si>
  <si>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</si>
  <si>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</si>
  <si>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</si>
  <si>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</si>
  <si>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</si>
  <si>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</si>
  <si>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</si>
  <si>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</si>
  <si>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</si>
  <si>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</si>
  <si>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</si>
  <si>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</si>
  <si>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</si>
  <si>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</si>
  <si>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</si>
  <si>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</si>
  <si>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</si>
  <si>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</si>
  <si>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</si>
  <si>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</si>
  <si>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</si>
  <si>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</si>
  <si>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</si>
  <si>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</si>
  <si>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</si>
  <si>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</si>
  <si>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</si>
  <si>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</si>
  <si>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</si>
  <si>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</si>
  <si>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</si>
  <si>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</si>
  <si>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</si>
  <si>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</si>
  <si>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</si>
  <si>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</si>
  <si>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</si>
  <si>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</si>
  <si>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</si>
  <si>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</si>
  <si>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</si>
  <si>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</si>
  <si>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</si>
  <si>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</si>
  <si>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</si>
  <si>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</si>
  <si>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</si>
  <si>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</si>
  <si>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</si>
  <si>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</si>
  <si>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</si>
  <si>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</si>
  <si>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</si>
  <si>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</si>
  <si>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</si>
  <si>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</si>
  <si>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</si>
  <si>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</si>
  <si>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</si>
  <si>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</si>
  <si>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</si>
  <si>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</si>
  <si>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</si>
  <si>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</si>
  <si>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</si>
  <si>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</si>
  <si>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</si>
  <si>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</si>
  <si>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</si>
  <si>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</si>
  <si>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</si>
  <si>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</si>
  <si>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</si>
  <si>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</si>
  <si>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</si>
  <si>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</si>
  <si>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</si>
  <si>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</si>
  <si>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</si>
  <si>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</si>
  <si>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</si>
  <si>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</si>
  <si>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</si>
  <si>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</si>
  <si>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</si>
  <si>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</si>
  <si>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</si>
  <si>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</si>
  <si>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</si>
  <si>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</si>
  <si>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</si>
  <si>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</si>
  <si>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</si>
  <si>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</si>
  <si>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</si>
  <si>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</si>
  <si>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</si>
  <si>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</si>
  <si>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</si>
  <si>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</si>
  <si>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</si>
  <si>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</si>
  <si>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</si>
  <si>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</si>
  <si>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</si>
  <si>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</si>
  <si>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</si>
  <si>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</si>
  <si>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</si>
  <si>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</si>
  <si>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</si>
  <si>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</si>
  <si>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</si>
  <si>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</si>
  <si>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</si>
  <si>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</si>
  <si>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</si>
  <si>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</si>
  <si>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</si>
  <si>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</si>
  <si>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</si>
  <si>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</si>
  <si>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</si>
  <si>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</si>
  <si>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</si>
  <si>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</si>
  <si>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</si>
  <si>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</si>
  <si>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</si>
  <si>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</si>
  <si>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</si>
  <si>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</si>
  <si>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</si>
  <si>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</si>
  <si>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</si>
  <si>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</si>
  <si>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</si>
  <si>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</si>
  <si>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</si>
  <si>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</si>
  <si>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</si>
  <si>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</si>
  <si>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</si>
  <si>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</si>
  <si>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</si>
  <si>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</si>
  <si>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</si>
  <si>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</si>
  <si>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</si>
  <si>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</si>
  <si>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</si>
  <si>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</si>
  <si>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</si>
  <si>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</si>
  <si>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</si>
  <si>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</si>
  <si>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</si>
  <si>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</si>
  <si>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</si>
  <si>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</si>
  <si>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</si>
  <si>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</si>
  <si>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</si>
  <si>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</si>
  <si>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</si>
  <si>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</si>
  <si>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</si>
  <si>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</si>
  <si>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</si>
  <si>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</si>
  <si>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</si>
  <si>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</si>
  <si>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</si>
  <si>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</si>
  <si>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</si>
  <si>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</si>
  <si>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</si>
  <si>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</si>
  <si>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</si>
  <si>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</si>
  <si>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</si>
  <si>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</si>
  <si>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</si>
  <si>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</si>
  <si>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</si>
  <si>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</si>
  <si>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</si>
  <si>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</si>
  <si>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</si>
  <si>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</si>
  <si>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</si>
  <si>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</si>
  <si>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</si>
  <si>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</si>
  <si>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</si>
  <si>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</si>
  <si>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</si>
  <si>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</si>
  <si>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</si>
  <si>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</si>
  <si>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</si>
  <si>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</si>
  <si>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</si>
  <si>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</si>
  <si>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</si>
  <si>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</si>
  <si>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</si>
  <si>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</si>
  <si>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</si>
  <si>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</si>
  <si>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</si>
  <si>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</si>
  <si>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</si>
  <si>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</si>
  <si>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</si>
  <si>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</si>
  <si>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</si>
  <si>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</si>
  <si>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</si>
  <si>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</si>
  <si>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</si>
  <si>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</si>
  <si>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</si>
  <si>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</si>
  <si>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</si>
  <si>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</si>
  <si>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</si>
  <si>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</si>
  <si>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</si>
  <si>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</si>
  <si>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</si>
  <si>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</si>
  <si>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</si>
  <si>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</si>
  <si>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</si>
  <si>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</si>
  <si>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</si>
  <si>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</si>
  <si>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</si>
  <si>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</si>
  <si>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</si>
  <si>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</si>
  <si>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</si>
  <si>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</si>
  <si>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</si>
  <si>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</si>
  <si>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</si>
  <si>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</si>
  <si>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</si>
  <si>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</si>
  <si>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</si>
  <si>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</si>
  <si>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</si>
  <si>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</si>
  <si>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</si>
  <si>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</si>
  <si>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</si>
  <si>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</si>
  <si>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</si>
  <si>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</si>
  <si>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</si>
  <si>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</si>
  <si>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</si>
  <si>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</si>
  <si>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</si>
  <si>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</si>
  <si>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</si>
  <si>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</si>
  <si>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</si>
  <si>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</si>
  <si>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</si>
  <si>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</si>
  <si>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</si>
  <si>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</si>
  <si>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</si>
  <si>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</si>
  <si>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</si>
  <si>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</si>
  <si>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</si>
  <si>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</si>
  <si>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</si>
  <si>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</si>
  <si>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</si>
  <si>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</si>
  <si>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</si>
  <si>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</si>
  <si>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</si>
  <si>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</si>
  <si>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</si>
  <si>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</si>
  <si>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</si>
  <si>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</si>
  <si>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</si>
  <si>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</si>
  <si>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</si>
  <si>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</si>
  <si>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</si>
  <si>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</si>
  <si>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</si>
  <si>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</si>
  <si>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</si>
  <si>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</si>
  <si>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</si>
  <si>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</si>
  <si>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</si>
  <si>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</si>
  <si>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</si>
  <si>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</si>
  <si>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</si>
  <si>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</si>
  <si>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</si>
  <si>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</si>
  <si>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</si>
  <si>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</si>
  <si>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</si>
  <si>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</si>
  <si>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</si>
  <si>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</si>
  <si>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</si>
  <si>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</si>
  <si>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</si>
  <si>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</si>
  <si>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</si>
  <si>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</si>
  <si>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</si>
  <si>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</si>
  <si>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</si>
  <si>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</si>
  <si>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</si>
  <si>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</si>
  <si>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</si>
  <si>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</si>
  <si>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</si>
  <si>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</si>
  <si>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</si>
  <si>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</si>
  <si>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</si>
  <si>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</si>
  <si>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</si>
  <si>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</si>
  <si>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</si>
  <si>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</si>
  <si>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</si>
  <si>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</si>
  <si>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</si>
  <si>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</si>
  <si>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</si>
  <si>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</si>
  <si>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</si>
  <si>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</si>
  <si>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</si>
  <si>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</si>
  <si>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</si>
  <si>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</si>
  <si>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</si>
  <si>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</si>
  <si>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</si>
  <si>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</si>
  <si>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</si>
  <si>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</si>
  <si>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</si>
  <si>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</si>
  <si>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</si>
  <si>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</si>
  <si>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</si>
  <si>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</si>
  <si>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</si>
  <si>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</si>
  <si>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</si>
  <si>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</si>
  <si>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</si>
  <si>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</si>
  <si>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</si>
  <si>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</si>
  <si>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</si>
  <si>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</si>
  <si>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</si>
  <si>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</si>
  <si>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</si>
  <si>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</si>
  <si>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</si>
  <si>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</si>
  <si>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</si>
  <si>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</si>
  <si>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</si>
  <si>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</si>
  <si>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</si>
  <si>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</si>
  <si>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</si>
  <si>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</si>
  <si>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</si>
  <si>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</si>
  <si>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</si>
  <si>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</si>
  <si>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</si>
  <si>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</si>
  <si>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</si>
  <si>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</si>
  <si>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</si>
  <si>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</si>
  <si>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</si>
  <si>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</si>
  <si>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</si>
  <si>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</si>
  <si>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</si>
  <si>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</si>
  <si>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</si>
  <si>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</si>
  <si>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</si>
  <si>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</si>
  <si>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</si>
  <si>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</si>
  <si>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</si>
  <si>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</si>
  <si>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</si>
  <si>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</si>
  <si>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</si>
  <si>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</si>
  <si>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</si>
  <si>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</si>
  <si>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</si>
  <si>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</si>
  <si>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</si>
  <si>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</si>
  <si>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</si>
  <si>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</si>
  <si>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</si>
  <si>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</si>
  <si>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</si>
  <si>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</si>
  <si>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</si>
  <si>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</si>
  <si>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</si>
  <si>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</si>
  <si>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</si>
  <si>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</si>
  <si>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</si>
  <si>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</si>
  <si>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</si>
  <si>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</si>
  <si>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</si>
  <si>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</si>
  <si>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</si>
  <si>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</si>
  <si>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</si>
  <si>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</si>
  <si>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</si>
  <si>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</si>
  <si>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</si>
  <si>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</si>
  <si>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</si>
  <si>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</si>
  <si>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</si>
  <si>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</si>
  <si>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</si>
  <si>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</si>
  <si>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</si>
  <si>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</si>
  <si>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</si>
  <si>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</si>
  <si>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</si>
  <si>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</si>
  <si>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</si>
  <si>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</si>
  <si>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</si>
  <si>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</si>
  <si>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</si>
  <si>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</si>
  <si>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</si>
  <si>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</si>
  <si>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</si>
  <si>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</si>
  <si>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</si>
  <si>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</si>
  <si>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</si>
  <si>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</si>
  <si>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</si>
  <si>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</si>
  <si>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</si>
  <si>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</si>
  <si>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</si>
  <si>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</si>
  <si>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</si>
  <si>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</si>
  <si>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</si>
  <si>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</si>
  <si>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</si>
  <si>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</si>
  <si>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</si>
  <si>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</si>
  <si>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</si>
  <si>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</si>
  <si>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</si>
  <si>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</si>
  <si>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</si>
  <si>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</si>
  <si>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</si>
  <si>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</si>
  <si>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</si>
  <si>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</si>
  <si>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</si>
  <si>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</si>
  <si>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</si>
  <si>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</si>
  <si>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</si>
  <si>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</si>
  <si>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</si>
  <si>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</si>
  <si>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</si>
  <si>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</si>
  <si>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</si>
  <si>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</si>
  <si>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</si>
  <si>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</si>
  <si>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</si>
  <si>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</si>
  <si>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</si>
  <si>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</si>
  <si>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</si>
  <si>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</si>
  <si>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</si>
  <si>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</si>
  <si>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</si>
  <si>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</si>
  <si>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</si>
  <si>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</si>
  <si>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</si>
  <si>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</si>
  <si>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</si>
  <si>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</si>
  <si>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</si>
  <si>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</si>
  <si>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</si>
  <si>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</si>
  <si>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</si>
  <si>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</si>
  <si>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</si>
  <si>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</si>
  <si>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</si>
  <si>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</si>
  <si>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</si>
  <si>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</si>
  <si>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</si>
  <si>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</si>
  <si>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</si>
  <si>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</si>
  <si>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</si>
  <si>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</si>
  <si>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</si>
  <si>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</si>
  <si>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</si>
  <si>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</si>
  <si>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</si>
  <si>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</si>
  <si>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</si>
  <si>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</si>
  <si>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</si>
  <si>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</si>
  <si>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</si>
  <si>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</si>
  <si>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</si>
  <si>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</si>
  <si>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</si>
  <si>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</si>
  <si>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</si>
  <si>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</si>
  <si>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</si>
  <si>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</si>
  <si>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</si>
  <si>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</si>
  <si>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</si>
  <si>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</si>
  <si>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</si>
  <si>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</si>
  <si>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</si>
  <si>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</si>
  <si>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</si>
  <si>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</si>
  <si>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</si>
  <si>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</si>
  <si>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</si>
  <si>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</si>
  <si>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</si>
  <si>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</si>
  <si>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</si>
  <si>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</si>
  <si>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</si>
  <si>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</si>
  <si>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</si>
  <si>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</si>
  <si>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</si>
  <si>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</si>
  <si>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</si>
  <si>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</si>
  <si>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</si>
  <si>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</si>
  <si>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</si>
  <si>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</si>
  <si>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</si>
  <si>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</si>
  <si>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</si>
  <si>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</si>
  <si>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</si>
  <si>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</si>
  <si>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</si>
  <si>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</si>
  <si>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</si>
  <si>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</si>
  <si>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</si>
  <si>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</si>
  <si>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</si>
  <si>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</si>
  <si>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</si>
  <si>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</si>
  <si>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</si>
  <si>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</si>
  <si>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</si>
  <si>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</si>
  <si>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</si>
  <si>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</si>
  <si>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</si>
  <si>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</si>
  <si>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</si>
  <si>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</si>
  <si>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</si>
  <si>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</si>
  <si>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</si>
  <si>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</si>
  <si>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</si>
  <si>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</si>
  <si>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</si>
  <si>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</si>
  <si>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</si>
  <si>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</si>
  <si>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</si>
  <si>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</si>
  <si>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</si>
  <si>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</si>
  <si>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</si>
  <si>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</si>
  <si>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</si>
  <si>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</si>
  <si>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</si>
  <si>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</si>
  <si>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</si>
  <si>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</si>
  <si>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</si>
  <si>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</si>
  <si>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</si>
  <si>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</si>
  <si>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</si>
  <si>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</si>
  <si>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</si>
  <si>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</si>
  <si>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</si>
  <si>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</si>
  <si>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</si>
  <si>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</si>
  <si>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</si>
  <si>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</si>
  <si>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</si>
  <si>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</si>
  <si>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</si>
  <si>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</si>
  <si>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</si>
  <si>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</si>
  <si>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</si>
  <si>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</si>
  <si>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</si>
  <si>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</si>
  <si>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</si>
  <si>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</si>
  <si>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</si>
  <si>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</si>
  <si>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</si>
  <si>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</si>
  <si>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</si>
  <si>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</si>
  <si>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</si>
  <si>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</si>
  <si>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</si>
  <si>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</si>
  <si>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</si>
  <si>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</si>
  <si>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</si>
  <si>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</si>
  <si>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</si>
  <si>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</si>
  <si>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</si>
  <si>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</si>
  <si>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</si>
  <si>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</si>
  <si>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</si>
  <si>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</si>
  <si>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</si>
  <si>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</si>
  <si>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</si>
  <si>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</si>
  <si>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</si>
  <si>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</si>
  <si>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</si>
  <si>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</si>
  <si>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</si>
  <si>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</si>
  <si>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</si>
  <si>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</si>
  <si>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</si>
  <si>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</si>
  <si>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</si>
  <si>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</si>
  <si>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</si>
  <si>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</si>
  <si>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</si>
  <si>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</si>
  <si>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</si>
  <si>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</si>
  <si>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</si>
  <si>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</si>
  <si>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</si>
  <si>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</si>
  <si>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</si>
  <si>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</si>
  <si>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</si>
  <si>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</si>
  <si>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</si>
  <si>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</si>
  <si>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</si>
  <si>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</si>
  <si>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</si>
  <si>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</si>
  <si>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</si>
  <si>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</si>
  <si>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</si>
  <si>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</si>
  <si>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</si>
  <si>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</si>
  <si>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</si>
  <si>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</si>
  <si>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</si>
  <si>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</si>
  <si>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</si>
  <si>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</si>
  <si>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</si>
  <si>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</si>
  <si>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</si>
  <si>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</si>
  <si>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</si>
  <si>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</si>
  <si>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</si>
  <si>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</si>
  <si>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</si>
  <si>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</si>
  <si>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</si>
  <si>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</si>
  <si>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</si>
  <si>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</si>
  <si>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</si>
  <si>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</si>
  <si>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</si>
  <si>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</si>
  <si>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</si>
  <si>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</si>
  <si>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</si>
  <si>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</si>
  <si>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</si>
  <si>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</si>
  <si>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</si>
  <si>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</si>
  <si>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</si>
  <si>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</si>
  <si>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</si>
  <si>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</si>
  <si>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</si>
  <si>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</si>
  <si>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</si>
  <si>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</si>
  <si>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</si>
  <si>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</si>
  <si>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</si>
  <si>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</si>
  <si>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</si>
  <si>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</si>
  <si>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</si>
  <si>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</si>
  <si>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</si>
  <si>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</si>
  <si>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</si>
  <si>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</si>
  <si>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</si>
  <si>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</si>
  <si>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</si>
  <si>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</si>
  <si>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</si>
  <si>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</si>
  <si>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</si>
  <si>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</si>
  <si>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</si>
  <si>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</si>
  <si>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</si>
  <si>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</si>
  <si>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</si>
  <si>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</si>
  <si>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</si>
  <si>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</si>
  <si>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</si>
  <si>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</si>
  <si>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</si>
  <si>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</si>
  <si>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</si>
  <si>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</si>
  <si>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</si>
  <si>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</si>
  <si>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</si>
  <si>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</si>
  <si>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</si>
  <si>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</si>
  <si>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</si>
  <si>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</si>
  <si>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</si>
  <si>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</si>
  <si>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</si>
  <si>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</si>
  <si>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</si>
  <si>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</si>
  <si>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</si>
  <si>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</si>
  <si>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</si>
  <si>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</si>
  <si>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</si>
  <si>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</si>
  <si>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</si>
  <si>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</si>
  <si>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</si>
  <si>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</si>
  <si>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</si>
  <si>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</si>
  <si>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</si>
  <si>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</si>
  <si>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</si>
  <si>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</si>
  <si>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</si>
  <si>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</si>
  <si>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</si>
  <si>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</si>
  <si>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</si>
  <si>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</si>
  <si>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</si>
  <si>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</si>
  <si>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</si>
  <si>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</si>
  <si>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</si>
  <si>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</si>
  <si>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</si>
  <si>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</si>
  <si>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</si>
  <si>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</si>
  <si>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</si>
  <si>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</si>
  <si>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</si>
  <si>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</si>
  <si>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</si>
  <si>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</si>
  <si>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</si>
  <si>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</si>
  <si>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</si>
  <si>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</si>
  <si>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</si>
  <si>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</si>
  <si>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</si>
  <si>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</si>
  <si>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</si>
  <si>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</si>
  <si>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</si>
  <si>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</si>
  <si>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</si>
  <si>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</si>
  <si>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</si>
  <si>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</si>
  <si>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</si>
  <si>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</si>
  <si>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</si>
  <si>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</si>
  <si>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</si>
  <si>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</si>
  <si>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</si>
  <si>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</si>
  <si>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</si>
  <si>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</si>
  <si>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</si>
  <si>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</si>
  <si>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</si>
  <si>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</si>
  <si>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</si>
  <si>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</si>
  <si>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</si>
  <si>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</si>
  <si>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</si>
  <si>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</si>
  <si>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</si>
  <si>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</si>
  <si>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</si>
  <si>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</si>
  <si>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</si>
  <si>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</si>
  <si>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</si>
  <si>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</si>
  <si>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</si>
  <si>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</si>
  <si>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</si>
  <si>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</si>
  <si>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</si>
  <si>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</si>
  <si>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</si>
  <si>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</si>
  <si>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</si>
  <si>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</si>
  <si>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</si>
  <si>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</si>
  <si>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</si>
  <si>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</si>
  <si>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</si>
  <si>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</si>
  <si>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</si>
  <si>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</si>
  <si>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</si>
  <si>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</si>
  <si>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</si>
  <si>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</si>
  <si>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</si>
  <si>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</si>
  <si>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</si>
  <si>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</si>
  <si>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</si>
  <si>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</si>
  <si>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</si>
  <si>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</si>
  <si>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</si>
  <si>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</si>
  <si>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</si>
  <si>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</si>
  <si>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</si>
  <si>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</si>
  <si>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</si>
  <si>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</si>
  <si>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</si>
  <si>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</si>
  <si>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</si>
  <si>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</si>
  <si>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</si>
  <si>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</si>
  <si>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</si>
  <si>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</si>
  <si>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</si>
  <si>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</si>
  <si>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</si>
  <si>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</si>
  <si>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</si>
  <si>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</si>
  <si>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</si>
  <si>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</si>
  <si>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</si>
  <si>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</si>
  <si>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国有建设用地使用权出让合同</t>
    <phoneticPr fontId="135" type="noConversion"/>
  </si>
  <si>
    <t>受让人</t>
    <phoneticPr fontId="135" type="noConversion"/>
  </si>
  <si>
    <t>绵阳天宜上佳新材料有限公司</t>
    <phoneticPr fontId="135" type="noConversion"/>
  </si>
  <si>
    <t>宗地面积</t>
    <phoneticPr fontId="135" type="noConversion"/>
  </si>
  <si>
    <t>交付</t>
    <phoneticPr fontId="135" type="noConversion"/>
  </si>
  <si>
    <t>交付标准</t>
    <phoneticPr fontId="135" type="noConversion"/>
  </si>
  <si>
    <t>地上无构建筑物</t>
    <phoneticPr fontId="135" type="noConversion"/>
  </si>
  <si>
    <t>通路</t>
    <phoneticPr fontId="135" type="noConversion"/>
  </si>
  <si>
    <t>通电</t>
    <phoneticPr fontId="135" type="noConversion"/>
  </si>
  <si>
    <t>通讯</t>
    <phoneticPr fontId="135" type="noConversion"/>
  </si>
  <si>
    <t>年期</t>
    <phoneticPr fontId="135" type="noConversion"/>
  </si>
  <si>
    <t>地价款</t>
    <phoneticPr fontId="135" type="noConversion"/>
  </si>
  <si>
    <t xml:space="preserve"> </t>
    <phoneticPr fontId="135" type="noConversion"/>
  </si>
  <si>
    <t>地面单价</t>
    <phoneticPr fontId="135" type="noConversion"/>
  </si>
  <si>
    <t>限高</t>
    <phoneticPr fontId="135" type="noConversion"/>
  </si>
  <si>
    <t>密度</t>
    <phoneticPr fontId="135" type="noConversion"/>
  </si>
  <si>
    <t>绿地率</t>
    <phoneticPr fontId="135" type="noConversion"/>
  </si>
  <si>
    <t>开工</t>
    <phoneticPr fontId="135" type="noConversion"/>
  </si>
  <si>
    <t>竣工</t>
    <phoneticPr fontId="135" type="noConversion"/>
  </si>
  <si>
    <t>工业用地</t>
    <phoneticPr fontId="135" type="noConversion"/>
  </si>
  <si>
    <t>用途</t>
    <phoneticPr fontId="135" type="noConversion"/>
  </si>
  <si>
    <t>签订</t>
    <phoneticPr fontId="135" type="noConversion"/>
  </si>
  <si>
    <t>土地证</t>
    <phoneticPr fontId="135" type="noConversion"/>
  </si>
  <si>
    <t>大证</t>
    <phoneticPr fontId="135" type="noConversion"/>
  </si>
  <si>
    <t>一期</t>
    <phoneticPr fontId="135" type="noConversion"/>
  </si>
  <si>
    <t>二期</t>
    <phoneticPr fontId="135" type="noConversion"/>
  </si>
  <si>
    <t>三期</t>
    <phoneticPr fontId="135" type="noConversion"/>
  </si>
  <si>
    <t>已建成</t>
    <phoneticPr fontId="135" type="noConversion"/>
  </si>
  <si>
    <t>快建成</t>
    <phoneticPr fontId="135" type="noConversion"/>
  </si>
  <si>
    <t>房地产市场价值</t>
  </si>
  <si>
    <t>房地产抵押价值</t>
  </si>
  <si>
    <t>其他：</t>
  </si>
  <si>
    <t>企业</t>
  </si>
  <si>
    <t>地上</t>
  </si>
  <si>
    <t>地下</t>
  </si>
  <si>
    <t>一期</t>
    <phoneticPr fontId="4" type="noConversion"/>
  </si>
  <si>
    <r>
      <t>1</t>
    </r>
    <r>
      <rPr>
        <sz val="10"/>
        <color indexed="8"/>
        <rFont val="宋体"/>
        <family val="3"/>
        <charset val="134"/>
      </rPr>
      <t>号厂房</t>
    </r>
    <phoneticPr fontId="4" type="noConversion"/>
  </si>
  <si>
    <t>1-2</t>
    <phoneticPr fontId="4" type="noConversion"/>
  </si>
  <si>
    <r>
      <t>4</t>
    </r>
    <r>
      <rPr>
        <sz val="10"/>
        <color indexed="8"/>
        <rFont val="宋体"/>
        <family val="3"/>
        <charset val="134"/>
      </rPr>
      <t>号厂房</t>
    </r>
    <phoneticPr fontId="4" type="noConversion"/>
  </si>
  <si>
    <r>
      <t>1-4</t>
    </r>
    <r>
      <rPr>
        <sz val="10"/>
        <color indexed="8"/>
        <rFont val="宋体"/>
        <family val="3"/>
        <charset val="134"/>
      </rPr>
      <t>号厂房连廊</t>
    </r>
    <phoneticPr fontId="4" type="noConversion"/>
  </si>
  <si>
    <t>门卫与消防泵房</t>
    <phoneticPr fontId="4" type="noConversion"/>
  </si>
  <si>
    <t>-1-1</t>
    <phoneticPr fontId="4" type="noConversion"/>
  </si>
  <si>
    <t>二期</t>
    <phoneticPr fontId="4" type="noConversion"/>
  </si>
  <si>
    <r>
      <rPr>
        <sz val="10"/>
        <color indexed="8"/>
        <rFont val="宋体"/>
        <family val="3"/>
        <charset val="134"/>
      </rPr>
      <t>厂房</t>
    </r>
    <r>
      <rPr>
        <sz val="10"/>
        <color indexed="8"/>
        <rFont val="Arial"/>
        <family val="2"/>
      </rPr>
      <t>2</t>
    </r>
    <phoneticPr fontId="4" type="noConversion"/>
  </si>
  <si>
    <r>
      <rPr>
        <sz val="11"/>
        <color indexed="8"/>
        <rFont val="宋体"/>
        <family val="3"/>
        <charset val="134"/>
      </rPr>
      <t>厂房</t>
    </r>
    <r>
      <rPr>
        <sz val="11"/>
        <color indexed="8"/>
        <rFont val="Arial"/>
        <family val="2"/>
      </rPr>
      <t>3</t>
    </r>
    <phoneticPr fontId="4" type="noConversion"/>
  </si>
  <si>
    <r>
      <rPr>
        <sz val="11"/>
        <color indexed="8"/>
        <rFont val="宋体"/>
        <family val="3"/>
        <charset val="134"/>
      </rPr>
      <t>厂房</t>
    </r>
    <r>
      <rPr>
        <sz val="11"/>
        <color indexed="8"/>
        <rFont val="Arial"/>
        <family val="2"/>
      </rPr>
      <t>5</t>
    </r>
    <phoneticPr fontId="4" type="noConversion"/>
  </si>
  <si>
    <r>
      <rPr>
        <sz val="11"/>
        <color indexed="8"/>
        <rFont val="宋体"/>
        <family val="3"/>
        <charset val="134"/>
      </rPr>
      <t>厂房</t>
    </r>
    <r>
      <rPr>
        <sz val="11"/>
        <color indexed="8"/>
        <rFont val="Arial"/>
        <family val="2"/>
      </rPr>
      <t>6</t>
    </r>
    <r>
      <rPr>
        <sz val="11"/>
        <color theme="1"/>
        <rFont val="宋体"/>
        <family val="2"/>
        <charset val="134"/>
        <scheme val="minor"/>
      </rPr>
      <t/>
    </r>
  </si>
  <si>
    <r>
      <rPr>
        <sz val="11"/>
        <color indexed="8"/>
        <rFont val="宋体"/>
        <family val="3"/>
        <charset val="134"/>
      </rPr>
      <t>厂房</t>
    </r>
    <r>
      <rPr>
        <sz val="11"/>
        <color indexed="8"/>
        <rFont val="Arial"/>
        <family val="2"/>
      </rPr>
      <t>7</t>
    </r>
    <r>
      <rPr>
        <sz val="11"/>
        <color theme="1"/>
        <rFont val="宋体"/>
        <family val="2"/>
        <charset val="134"/>
        <scheme val="minor"/>
      </rPr>
      <t/>
    </r>
  </si>
  <si>
    <r>
      <rPr>
        <sz val="11"/>
        <color indexed="8"/>
        <rFont val="宋体"/>
        <family val="3"/>
        <charset val="134"/>
      </rPr>
      <t>厂房</t>
    </r>
    <r>
      <rPr>
        <sz val="11"/>
        <color indexed="8"/>
        <rFont val="Arial"/>
        <family val="2"/>
      </rPr>
      <t>8</t>
    </r>
    <r>
      <rPr>
        <sz val="11"/>
        <color theme="1"/>
        <rFont val="宋体"/>
        <family val="2"/>
        <charset val="134"/>
        <scheme val="minor"/>
      </rPr>
      <t/>
    </r>
  </si>
  <si>
    <r>
      <rPr>
        <sz val="11"/>
        <color indexed="8"/>
        <rFont val="宋体"/>
        <family val="3"/>
        <charset val="134"/>
      </rPr>
      <t>厂房</t>
    </r>
    <r>
      <rPr>
        <sz val="11"/>
        <color indexed="8"/>
        <rFont val="Arial"/>
        <family val="2"/>
      </rPr>
      <t>9</t>
    </r>
    <r>
      <rPr>
        <sz val="11"/>
        <color theme="1"/>
        <rFont val="宋体"/>
        <family val="2"/>
        <charset val="134"/>
        <scheme val="minor"/>
      </rPr>
      <t/>
    </r>
  </si>
  <si>
    <t>1-3</t>
    <phoneticPr fontId="4" type="noConversion"/>
  </si>
  <si>
    <r>
      <rPr>
        <sz val="11"/>
        <color indexed="8"/>
        <rFont val="宋体"/>
        <family val="3"/>
        <charset val="134"/>
      </rPr>
      <t>库房</t>
    </r>
    <r>
      <rPr>
        <sz val="11"/>
        <color indexed="8"/>
        <rFont val="Arial"/>
        <family val="2"/>
      </rPr>
      <t>1</t>
    </r>
    <phoneticPr fontId="4" type="noConversion"/>
  </si>
  <si>
    <r>
      <rPr>
        <sz val="11"/>
        <color indexed="8"/>
        <rFont val="宋体"/>
        <family val="3"/>
        <charset val="134"/>
      </rPr>
      <t>库房</t>
    </r>
    <r>
      <rPr>
        <sz val="11"/>
        <color indexed="8"/>
        <rFont val="Arial"/>
        <family val="2"/>
      </rPr>
      <t>2</t>
    </r>
    <r>
      <rPr>
        <sz val="11"/>
        <color theme="1"/>
        <rFont val="宋体"/>
        <family val="2"/>
        <charset val="134"/>
        <scheme val="minor"/>
      </rPr>
      <t/>
    </r>
  </si>
  <si>
    <r>
      <rPr>
        <sz val="11"/>
        <color indexed="8"/>
        <rFont val="宋体"/>
        <family val="3"/>
        <charset val="134"/>
      </rPr>
      <t>库房</t>
    </r>
    <r>
      <rPr>
        <sz val="11"/>
        <color indexed="8"/>
        <rFont val="Arial"/>
        <family val="2"/>
      </rPr>
      <t>3</t>
    </r>
    <r>
      <rPr>
        <sz val="11"/>
        <color theme="1"/>
        <rFont val="宋体"/>
        <family val="2"/>
        <charset val="134"/>
        <scheme val="minor"/>
      </rPr>
      <t/>
    </r>
  </si>
  <si>
    <t>研发楼</t>
    <phoneticPr fontId="4" type="noConversion"/>
  </si>
  <si>
    <t>食堂活动中心</t>
    <phoneticPr fontId="4" type="noConversion"/>
  </si>
  <si>
    <t>倒班房</t>
    <phoneticPr fontId="4" type="noConversion"/>
  </si>
  <si>
    <t>门卫二</t>
    <phoneticPr fontId="4" type="noConversion"/>
  </si>
  <si>
    <t>三期</t>
    <phoneticPr fontId="4" type="noConversion"/>
  </si>
  <si>
    <r>
      <rPr>
        <sz val="11"/>
        <color indexed="8"/>
        <rFont val="宋体"/>
        <family val="3"/>
        <charset val="134"/>
      </rPr>
      <t>厂房</t>
    </r>
    <r>
      <rPr>
        <sz val="11"/>
        <color indexed="8"/>
        <rFont val="Arial"/>
        <family val="2"/>
      </rPr>
      <t>10</t>
    </r>
    <phoneticPr fontId="4" type="noConversion"/>
  </si>
  <si>
    <r>
      <rPr>
        <sz val="11"/>
        <color indexed="8"/>
        <rFont val="宋体"/>
        <family val="3"/>
        <charset val="134"/>
      </rPr>
      <t>厂房</t>
    </r>
    <r>
      <rPr>
        <sz val="11"/>
        <color indexed="8"/>
        <rFont val="Arial"/>
        <family val="2"/>
      </rPr>
      <t>11</t>
    </r>
    <r>
      <rPr>
        <sz val="11"/>
        <color theme="1"/>
        <rFont val="宋体"/>
        <family val="2"/>
        <charset val="134"/>
        <scheme val="minor"/>
      </rPr>
      <t/>
    </r>
  </si>
  <si>
    <r>
      <rPr>
        <sz val="11"/>
        <color indexed="8"/>
        <rFont val="宋体"/>
        <family val="3"/>
        <charset val="134"/>
      </rPr>
      <t>厂房</t>
    </r>
    <r>
      <rPr>
        <sz val="11"/>
        <color indexed="8"/>
        <rFont val="Arial"/>
        <family val="2"/>
      </rPr>
      <t>12</t>
    </r>
    <r>
      <rPr>
        <sz val="11"/>
        <color theme="1"/>
        <rFont val="宋体"/>
        <family val="2"/>
        <charset val="134"/>
        <scheme val="minor"/>
      </rPr>
      <t/>
    </r>
  </si>
  <si>
    <r>
      <rPr>
        <sz val="11"/>
        <color indexed="8"/>
        <rFont val="宋体"/>
        <family val="3"/>
        <charset val="134"/>
      </rPr>
      <t>厂房</t>
    </r>
    <r>
      <rPr>
        <sz val="11"/>
        <color indexed="8"/>
        <rFont val="Arial"/>
        <family val="2"/>
      </rPr>
      <t>13</t>
    </r>
    <r>
      <rPr>
        <sz val="11"/>
        <color theme="1"/>
        <rFont val="宋体"/>
        <family val="2"/>
        <charset val="134"/>
        <scheme val="minor"/>
      </rPr>
      <t/>
    </r>
  </si>
  <si>
    <r>
      <rPr>
        <sz val="11"/>
        <color indexed="8"/>
        <rFont val="宋体"/>
        <family val="3"/>
        <charset val="134"/>
      </rPr>
      <t>门卫</t>
    </r>
    <r>
      <rPr>
        <sz val="11"/>
        <color indexed="8"/>
        <rFont val="Arial"/>
        <family val="2"/>
      </rPr>
      <t>3</t>
    </r>
    <phoneticPr fontId="4" type="noConversion"/>
  </si>
  <si>
    <r>
      <rPr>
        <sz val="11"/>
        <color indexed="8"/>
        <rFont val="宋体"/>
        <family val="3"/>
        <charset val="134"/>
      </rPr>
      <t>门卫</t>
    </r>
    <r>
      <rPr>
        <sz val="11"/>
        <color indexed="8"/>
        <rFont val="Arial"/>
        <family val="2"/>
      </rPr>
      <t>4</t>
    </r>
    <phoneticPr fontId="4" type="noConversion"/>
  </si>
  <si>
    <r>
      <rPr>
        <sz val="11"/>
        <color indexed="8"/>
        <rFont val="宋体"/>
        <family val="3"/>
        <charset val="134"/>
      </rPr>
      <t>库房</t>
    </r>
    <r>
      <rPr>
        <sz val="11"/>
        <color indexed="8"/>
        <rFont val="Arial"/>
        <family val="2"/>
      </rPr>
      <t>4</t>
    </r>
    <phoneticPr fontId="4" type="noConversion"/>
  </si>
  <si>
    <r>
      <rPr>
        <sz val="11"/>
        <color indexed="8"/>
        <rFont val="宋体"/>
        <family val="3"/>
        <charset val="134"/>
      </rPr>
      <t>库房</t>
    </r>
    <r>
      <rPr>
        <sz val="11"/>
        <color indexed="8"/>
        <rFont val="Arial"/>
        <family val="2"/>
      </rPr>
      <t>5</t>
    </r>
    <phoneticPr fontId="4" type="noConversion"/>
  </si>
  <si>
    <r>
      <rPr>
        <sz val="11"/>
        <color indexed="8"/>
        <rFont val="宋体"/>
        <family val="3"/>
        <charset val="134"/>
      </rPr>
      <t>库房</t>
    </r>
    <r>
      <rPr>
        <sz val="11"/>
        <color indexed="8"/>
        <rFont val="Arial"/>
        <family val="2"/>
      </rPr>
      <t>6</t>
    </r>
    <phoneticPr fontId="4" type="noConversion"/>
  </si>
  <si>
    <t>余热发电机房</t>
    <phoneticPr fontId="4" type="noConversion"/>
  </si>
  <si>
    <t>余热发电泵房</t>
    <phoneticPr fontId="4" type="noConversion"/>
  </si>
  <si>
    <t>1-4</t>
    <phoneticPr fontId="4" type="noConversion"/>
  </si>
  <si>
    <t>是</t>
  </si>
  <si>
    <t>工业</t>
    <phoneticPr fontId="8" type="noConversion"/>
  </si>
  <si>
    <t>一期</t>
    <phoneticPr fontId="4" type="noConversion"/>
  </si>
  <si>
    <t>二期</t>
    <phoneticPr fontId="4" type="noConversion"/>
  </si>
  <si>
    <t>三期</t>
    <phoneticPr fontId="4" type="noConversion"/>
  </si>
  <si>
    <t>工程进度</t>
  </si>
  <si>
    <t>收益法</t>
  </si>
  <si>
    <t>厂房</t>
    <phoneticPr fontId="4" type="noConversion"/>
  </si>
  <si>
    <t>库房</t>
    <phoneticPr fontId="4" type="noConversion"/>
  </si>
  <si>
    <t>研发</t>
    <phoneticPr fontId="4" type="noConversion"/>
  </si>
  <si>
    <t>其他</t>
    <phoneticPr fontId="4" type="noConversion"/>
  </si>
  <si>
    <t>面积</t>
    <phoneticPr fontId="4" type="noConversion"/>
  </si>
  <si>
    <t>租金</t>
    <phoneticPr fontId="4" type="noConversion"/>
  </si>
  <si>
    <t>在建（套用方法）</t>
  </si>
  <si>
    <t>自定义</t>
  </si>
  <si>
    <t>钢混</t>
  </si>
  <si>
    <t>生产用房</t>
  </si>
  <si>
    <t>地块名称</t>
  </si>
  <si>
    <t>城市</t>
  </si>
  <si>
    <t>省份</t>
  </si>
  <si>
    <t>区县</t>
  </si>
  <si>
    <t>土地位置</t>
  </si>
  <si>
    <t>用地性质</t>
  </si>
  <si>
    <t>建设用地面积(㎡)</t>
  </si>
  <si>
    <t>规划建筑面积(㎡)</t>
  </si>
  <si>
    <t>容积率</t>
  </si>
  <si>
    <t>容积率上限</t>
  </si>
  <si>
    <t>详细规划</t>
  </si>
  <si>
    <t>成交时间</t>
  </si>
  <si>
    <t>成交状态</t>
  </si>
  <si>
    <t>受让单位</t>
  </si>
  <si>
    <t>成交价(万元)</t>
  </si>
  <si>
    <t>成交土地单价(元/㎡)</t>
  </si>
  <si>
    <t>成交每亩价(万元/亩)</t>
  </si>
  <si>
    <t>成交楼面价(元/㎡)</t>
  </si>
  <si>
    <t>溢价率(%)</t>
  </si>
  <si>
    <t>出让年限(年)</t>
  </si>
  <si>
    <t>开工进度</t>
  </si>
  <si>
    <t>武都镇南塔村</t>
  </si>
  <si>
    <t>绵阳市</t>
  </si>
  <si>
    <t xml:space="preserve"> 四川省</t>
  </si>
  <si>
    <t xml:space="preserve"> 江油市</t>
  </si>
  <si>
    <t xml:space="preserve"> --</t>
  </si>
  <si>
    <t xml:space="preserve"> 武都镇南塔村</t>
  </si>
  <si>
    <t xml:space="preserve"> 工业用地</t>
  </si>
  <si>
    <t xml:space="preserve"> 1.000≤ 并且 ≤2.000</t>
  </si>
  <si>
    <t xml:space="preserve"> -- </t>
  </si>
  <si>
    <t xml:space="preserve"> 未成交</t>
  </si>
  <si>
    <t xml:space="preserve"> 50年</t>
  </si>
  <si>
    <t xml:space="preserve"> 未开工</t>
  </si>
  <si>
    <t>战旗镇瓦子村</t>
  </si>
  <si>
    <t xml:space="preserve"> 战旗镇瓦子村</t>
  </si>
  <si>
    <t xml:space="preserve"> 0.500≤</t>
  </si>
  <si>
    <t xml:space="preserve"> 已成交</t>
  </si>
  <si>
    <t xml:space="preserve"> 江油中科绵投环境科技有限公司  </t>
  </si>
  <si>
    <t xml:space="preserve"> 已开工</t>
  </si>
  <si>
    <t>含增镇石材产业园南北干道以东</t>
  </si>
  <si>
    <t xml:space="preserve"> 含增镇石材产业园南北干道以东</t>
  </si>
  <si>
    <t xml:space="preserve"> 1.000≤ 并且 ≤5.000</t>
  </si>
  <si>
    <t xml:space="preserve"> 江油市宏维矿业有限公司  </t>
  </si>
  <si>
    <t>北邻龙云村5组、东邻龙云村5组、7组、南邻规划道路、西邻龙云村5、6、7组</t>
  </si>
  <si>
    <t xml:space="preserve"> 北邻龙云村5组、东邻龙云村5组、7组、南邻规划道路、西邻龙云村5、6、7组</t>
  </si>
  <si>
    <t xml:space="preserve"> 四川勇丰环保新材料有限公司  </t>
  </si>
  <si>
    <t>北邻界池村7组、东邻界池村7组、南邻界池村7组、西邻界池村7组</t>
  </si>
  <si>
    <t xml:space="preserve"> 北邻界池村7组、东邻界池村7组、南邻界池村7组、西邻界池村7组</t>
  </si>
  <si>
    <t xml:space="preserve"> 江油均伟环保科技有限公司  </t>
  </si>
  <si>
    <t>北邻绵阳优丰磊德新型建材公司、东邻东山路、南邻三合镇广新村十一组、西邻绵阳优丰磊德新型建材公司</t>
  </si>
  <si>
    <t xml:space="preserve"> 北邻绵阳优丰磊德新型建材公司、东邻东山路、南邻三合镇广新村十一组、西邻绵阳优丰磊德新型建材公司</t>
  </si>
  <si>
    <t xml:space="preserve"> 绵阳优丰磊德新型建材有限公司  </t>
  </si>
  <si>
    <t xml:space="preserve"> 34年</t>
  </si>
  <si>
    <t>龙凤镇龙云村、凤凤村</t>
  </si>
  <si>
    <t xml:space="preserve"> 龙凤镇龙云村、凤凤村</t>
  </si>
  <si>
    <t xml:space="preserve"> 大于或等于1</t>
  </si>
  <si>
    <t xml:space="preserve"> 四川富临兴建材科技有限公司  </t>
  </si>
  <si>
    <t>马角镇龙宫村</t>
  </si>
  <si>
    <t xml:space="preserve"> 马角镇龙宫村</t>
  </si>
  <si>
    <t xml:space="preserve"> 大于或等于1并且小于或等于1.5</t>
  </si>
  <si>
    <t xml:space="preserve"> 江油日昌升新材料有限公司  </t>
  </si>
  <si>
    <t>中雁路以南、工业大道以东</t>
  </si>
  <si>
    <t xml:space="preserve"> 中雁路以南、工业大道以东</t>
  </si>
  <si>
    <t xml:space="preserve"> 大于或等于0.8并且小于或等于3</t>
  </si>
  <si>
    <t xml:space="preserve"> 江油市江明建材有限公司  </t>
  </si>
  <si>
    <t>小溪坝镇人民村</t>
  </si>
  <si>
    <t xml:space="preserve"> 小溪坝镇人民村</t>
  </si>
  <si>
    <t xml:space="preserve"> 大于或等于1并且小于或等于2</t>
  </si>
  <si>
    <t xml:space="preserve"> 绵阳圆会新型环保建材有限公司  </t>
  </si>
  <si>
    <t>重华镇灵溪村</t>
  </si>
  <si>
    <t xml:space="preserve"> 重华镇灵溪村</t>
  </si>
  <si>
    <t xml:space="preserve"> 大于或等于1并且小于或等于3</t>
  </si>
  <si>
    <t xml:space="preserve"> 江油市越华食品有限公司  </t>
  </si>
  <si>
    <t>攀羊路以北</t>
  </si>
  <si>
    <t xml:space="preserve"> 攀羊路以北</t>
  </si>
  <si>
    <t xml:space="preserve"> 绵阳融通高科先进材料有限公司  </t>
  </si>
  <si>
    <t>铁东路以东、羊河路以北</t>
  </si>
  <si>
    <t xml:space="preserve"> 铁东路以东、羊河路以北</t>
  </si>
  <si>
    <t xml:space="preserve"> 江油市产城融合建设发展有限公司  </t>
  </si>
  <si>
    <t>羊河路以南、宝羊路以东</t>
  </si>
  <si>
    <t xml:space="preserve"> 羊河路以南、宝羊路以东</t>
  </si>
  <si>
    <t xml:space="preserve"> 四川新润鑫铝业制品有限公司  </t>
  </si>
  <si>
    <t>大鹏路东段以南、东山路以西</t>
  </si>
  <si>
    <t xml:space="preserve"> 大鹏路东段以南、东山路以西</t>
  </si>
  <si>
    <t xml:space="preserve"> 江油市创元开发建设投资有限公司  </t>
  </si>
  <si>
    <t>大鹏路东段以北、宝羊路以西</t>
  </si>
  <si>
    <t xml:space="preserve"> 大鹏路东段以北、宝羊路以西</t>
  </si>
  <si>
    <t>羊河路以南、铁东路以东</t>
  </si>
  <si>
    <t xml:space="preserve"> 羊河路以南、铁东路以东</t>
  </si>
  <si>
    <t>攀羊路以北、东山路以西</t>
  </si>
  <si>
    <t xml:space="preserve"> 攀羊路以北、东山路以西</t>
  </si>
  <si>
    <t>西屏镇石材产业园香水水电站北侧</t>
  </si>
  <si>
    <t xml:space="preserve"> 西屏镇石材产业园香水水电站北侧</t>
  </si>
  <si>
    <t xml:space="preserve"> 小于或等于0.8</t>
  </si>
  <si>
    <t xml:space="preserve"> 四川省江油市丰宇塑编有限责任公司  </t>
  </si>
  <si>
    <t>宝成铁路以东、铁东路以西</t>
  </si>
  <si>
    <t xml:space="preserve"> 宝成铁路以东、铁东路以西</t>
  </si>
  <si>
    <t xml:space="preserve"> 四川九红教学设备有限公司  </t>
  </si>
  <si>
    <t>喻火路以北</t>
  </si>
  <si>
    <t xml:space="preserve"> 喻火路以北</t>
  </si>
  <si>
    <t xml:space="preserve"> 四川省再生新废旧物资回收有限公司  </t>
  </si>
  <si>
    <t>龙凤镇</t>
  </si>
  <si>
    <t xml:space="preserve"> 龙凤镇</t>
  </si>
  <si>
    <t xml:space="preserve"> 四川省交通建设集团股份有限公司  </t>
  </si>
  <si>
    <t>东山路以西、攀羊路以南</t>
  </si>
  <si>
    <t xml:space="preserve"> 东山路以西、攀羊路以南</t>
  </si>
  <si>
    <t xml:space="preserve"> 江油星创联精密电子科技有限公司  </t>
  </si>
  <si>
    <t xml:space="preserve"> 已竣工</t>
  </si>
  <si>
    <t>铁东路以东、宝轮路以南</t>
  </si>
  <si>
    <t xml:space="preserve"> 铁东路以东、宝轮路以南</t>
  </si>
  <si>
    <t xml:space="preserve"> 四川越洋长特新材料科技有限公司  </t>
  </si>
  <si>
    <t>大鹏路以北</t>
  </si>
  <si>
    <t xml:space="preserve"> 大鹏路以北</t>
  </si>
  <si>
    <t xml:space="preserve"> 绵阳九方环保节能科技有限公司  </t>
  </si>
  <si>
    <t>含增镇界池村、谭庄村一组</t>
  </si>
  <si>
    <t xml:space="preserve"> 含增镇界池村、谭庄村一组</t>
  </si>
  <si>
    <t xml:space="preserve"> 四川省江油市蜀玉实业有限公司  </t>
  </si>
  <si>
    <t>桂香村三组(大鹏路以北)</t>
  </si>
  <si>
    <t xml:space="preserve"> 桂香村三组(大鹏路以北)</t>
  </si>
  <si>
    <t xml:space="preserve"> 四川省华盛鑫线缆制造有限公司  </t>
  </si>
  <si>
    <t>含增镇界池村、太平镇青龙村</t>
  </si>
  <si>
    <t xml:space="preserve"> 含增镇界池村、太平镇青龙村</t>
  </si>
  <si>
    <t>双河镇(原新兴乡新红村2组)</t>
  </si>
  <si>
    <t xml:space="preserve"> 双河镇(原新兴乡新红村2组)</t>
  </si>
  <si>
    <t xml:space="preserve"> 流拍</t>
  </si>
  <si>
    <t>东山路西侧、喻攀路北侧</t>
  </si>
  <si>
    <t xml:space="preserve"> 东山路西侧、喻攀路北侧</t>
  </si>
  <si>
    <t>创元路以东、羊河路以北</t>
  </si>
  <si>
    <t xml:space="preserve"> 创元路以东、羊河路以北</t>
  </si>
  <si>
    <t>大堰高速出入口、江油大道北侧</t>
  </si>
  <si>
    <t xml:space="preserve"> 大堰高速出入口、江油大道北侧</t>
  </si>
  <si>
    <t xml:space="preserve"> 仓储用地</t>
  </si>
  <si>
    <t xml:space="preserve"> 江油市方孝商贸有限公司 、大堰加气站  </t>
  </si>
  <si>
    <t>南一环以北、东河以西</t>
  </si>
  <si>
    <t xml:space="preserve"> 南一环以北、东河以西</t>
  </si>
  <si>
    <t>未包含在土地购买价格中</t>
  </si>
  <si>
    <t>已包含在土地取得成本中</t>
  </si>
  <si>
    <t>成本法</t>
  </si>
  <si>
    <t>假设开发法</t>
  </si>
  <si>
    <t>在建</t>
  </si>
  <si>
    <t>项目全部</t>
  </si>
  <si>
    <t>单位面积地价</t>
  </si>
  <si>
    <t>总价</t>
  </si>
  <si>
    <t>四川省绵阳市江油市工业用房</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</si>
</sst>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2"/>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cellStyleXfs>
  <cellXfs count="380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0" applyFont="1">
      <alignment vertical="center"/>
    </xf>
    <xf numFmtId="14" fontId="0" fillId="0" borderId="0" xfId="0" applyNumberFormat="1">
      <alignment vertical="center"/>
    </xf>
    <xf numFmtId="9" fontId="0" fillId="0" borderId="0" xfId="0" applyNumberFormat="1">
      <alignment vertical="center"/>
    </xf>
    <xf numFmtId="49" fontId="223" fillId="12" borderId="4" xfId="0" applyNumberFormat="1" applyFont="1" applyFill="1" applyBorder="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1" xfId="0" applyFont="1" applyBorder="1" applyAlignment="1" applyProtection="1">
      <alignment horizontal="center" vertical="center" wrapText="1"/>
      <protection locked="0"/>
    </xf>
    <xf numFmtId="49" fontId="45" fillId="0" borderId="2" xfId="0" applyNumberFormat="1" applyFont="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270" fillId="0" borderId="0" xfId="0" applyFont="1" applyFill="1">
      <alignment vertical="center"/>
    </xf>
    <xf numFmtId="0" fontId="270" fillId="0" borderId="0" xfId="0" applyFon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6"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45" fillId="6" borderId="54" xfId="0" applyFont="1" applyFill="1" applyBorder="1" applyAlignment="1" applyProtection="1">
      <alignment horizontal="center" vertical="center"/>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textRotation="255"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center" vertical="center" textRotation="255"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4" fontId="271" fillId="0" borderId="0" xfId="19" applyNumberFormat="1"/>
    <xf numFmtId="0" fontId="271" fillId="0" borderId="0" xfId="19" applyNumberFormat="1"/>
    <xf numFmtId="14" fontId="249" fillId="0" borderId="0" xfId="19" applyNumberFormat="1" applyFont="1"/>
    <xf numFmtId="0" fontId="272" fillId="0" borderId="0" xfId="19" applyNumberFormat="1" applyFont="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10</xdr:col>
      <xdr:colOff>332819</xdr:colOff>
      <xdr:row>3</xdr:row>
      <xdr:rowOff>9481</xdr:rowOff>
    </xdr:to>
    <xdr:pic>
      <xdr:nvPicPr>
        <xdr:cNvPr id="2" name="图片 1"/>
        <xdr:cNvPicPr>
          <a:picLocks noChangeAspect="1"/>
        </xdr:cNvPicPr>
      </xdr:nvPicPr>
      <xdr:blipFill>
        <a:blip xmlns:r="http://schemas.openxmlformats.org/officeDocument/2006/relationships" r:embed="rId1"/>
        <a:stretch>
          <a:fillRect/>
        </a:stretch>
      </xdr:blipFill>
      <xdr:spPr>
        <a:xfrm>
          <a:off x="2971800" y="171450"/>
          <a:ext cx="4447619" cy="352381"/>
        </a:xfrm>
        <a:prstGeom prst="rect">
          <a:avLst/>
        </a:prstGeom>
      </xdr:spPr>
    </xdr:pic>
    <xdr:clientData/>
  </xdr:twoCellAnchor>
  <xdr:twoCellAnchor editAs="oneCell">
    <xdr:from>
      <xdr:col>6</xdr:col>
      <xdr:colOff>0</xdr:colOff>
      <xdr:row>4</xdr:row>
      <xdr:rowOff>0</xdr:rowOff>
    </xdr:from>
    <xdr:to>
      <xdr:col>11</xdr:col>
      <xdr:colOff>580524</xdr:colOff>
      <xdr:row>39</xdr:row>
      <xdr:rowOff>123060</xdr:rowOff>
    </xdr:to>
    <xdr:pic>
      <xdr:nvPicPr>
        <xdr:cNvPr id="3" name="图片 2"/>
        <xdr:cNvPicPr>
          <a:picLocks noChangeAspect="1"/>
        </xdr:cNvPicPr>
      </xdr:nvPicPr>
      <xdr:blipFill>
        <a:blip xmlns:r="http://schemas.openxmlformats.org/officeDocument/2006/relationships" r:embed="rId2"/>
        <a:stretch>
          <a:fillRect/>
        </a:stretch>
      </xdr:blipFill>
      <xdr:spPr>
        <a:xfrm>
          <a:off x="4343400" y="685800"/>
          <a:ext cx="4009524" cy="6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114300</xdr:colOff>
      <xdr:row>16</xdr:row>
      <xdr:rowOff>32173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600700" cy="2775372"/>
        </a:xfrm>
        <a:prstGeom prst="rect">
          <a:avLst/>
        </a:prstGeom>
      </xdr:spPr>
    </xdr:pic>
    <xdr:clientData/>
  </xdr:twoCellAnchor>
  <xdr:twoCellAnchor editAs="oneCell">
    <xdr:from>
      <xdr:col>0</xdr:col>
      <xdr:colOff>0</xdr:colOff>
      <xdr:row>16</xdr:row>
      <xdr:rowOff>85725</xdr:rowOff>
    </xdr:from>
    <xdr:to>
      <xdr:col>9</xdr:col>
      <xdr:colOff>305630</xdr:colOff>
      <xdr:row>41</xdr:row>
      <xdr:rowOff>46821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28925"/>
          <a:ext cx="6477830" cy="4247346"/>
        </a:xfrm>
        <a:prstGeom prst="rect">
          <a:avLst/>
        </a:prstGeom>
      </xdr:spPr>
    </xdr:pic>
    <xdr:clientData/>
  </xdr:twoCellAnchor>
  <xdr:twoCellAnchor editAs="oneCell">
    <xdr:from>
      <xdr:col>10</xdr:col>
      <xdr:colOff>571500</xdr:colOff>
      <xdr:row>0</xdr:row>
      <xdr:rowOff>0</xdr:rowOff>
    </xdr:from>
    <xdr:to>
      <xdr:col>19</xdr:col>
      <xdr:colOff>446428</xdr:colOff>
      <xdr:row>22</xdr:row>
      <xdr:rowOff>42177</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0" y="0"/>
          <a:ext cx="6047128" cy="3814077"/>
        </a:xfrm>
        <a:prstGeom prst="rect">
          <a:avLst/>
        </a:prstGeom>
      </xdr:spPr>
    </xdr:pic>
    <xdr:clientData/>
  </xdr:twoCellAnchor>
  <xdr:twoCellAnchor editAs="oneCell">
    <xdr:from>
      <xdr:col>10</xdr:col>
      <xdr:colOff>609600</xdr:colOff>
      <xdr:row>22</xdr:row>
      <xdr:rowOff>131432</xdr:rowOff>
    </xdr:from>
    <xdr:to>
      <xdr:col>22</xdr:col>
      <xdr:colOff>27388</xdr:colOff>
      <xdr:row>46</xdr:row>
      <xdr:rowOff>8905</xdr:rowOff>
    </xdr:to>
    <xdr:pic>
      <xdr:nvPicPr>
        <xdr:cNvPr id="5" name="图片 4"/>
        <xdr:cNvPicPr>
          <a:picLocks noChangeAspect="1"/>
        </xdr:cNvPicPr>
      </xdr:nvPicPr>
      <xdr:blipFill>
        <a:blip xmlns:r="http://schemas.openxmlformats.org/officeDocument/2006/relationships" r:embed="rId4"/>
        <a:stretch>
          <a:fillRect/>
        </a:stretch>
      </xdr:blipFill>
      <xdr:spPr>
        <a:xfrm>
          <a:off x="7467600" y="3903332"/>
          <a:ext cx="7647388" cy="3992273"/>
        </a:xfrm>
        <a:prstGeom prst="rect">
          <a:avLst/>
        </a:prstGeom>
      </xdr:spPr>
    </xdr:pic>
    <xdr:clientData/>
  </xdr:twoCellAnchor>
  <xdr:twoCellAnchor editAs="oneCell">
    <xdr:from>
      <xdr:col>0</xdr:col>
      <xdr:colOff>0</xdr:colOff>
      <xdr:row>42</xdr:row>
      <xdr:rowOff>0</xdr:rowOff>
    </xdr:from>
    <xdr:to>
      <xdr:col>13</xdr:col>
      <xdr:colOff>103648</xdr:colOff>
      <xdr:row>80</xdr:row>
      <xdr:rowOff>65853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9019048" cy="6580953"/>
        </a:xfrm>
        <a:prstGeom prst="rect">
          <a:avLst/>
        </a:prstGeom>
      </xdr:spPr>
    </xdr:pic>
    <xdr:clientData/>
  </xdr:twoCellAnchor>
  <xdr:twoCellAnchor editAs="oneCell">
    <xdr:from>
      <xdr:col>0</xdr:col>
      <xdr:colOff>0</xdr:colOff>
      <xdr:row>81</xdr:row>
      <xdr:rowOff>0</xdr:rowOff>
    </xdr:from>
    <xdr:to>
      <xdr:col>13</xdr:col>
      <xdr:colOff>589363</xdr:colOff>
      <xdr:row>91</xdr:row>
      <xdr:rowOff>28357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887450"/>
          <a:ext cx="9504763"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四川省绵阳市江油市工业用房出让国有建设用地使用权及在建建筑物房地产市场价值预评估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受贵公司委托，我公司对四川省绵阳市江油市工业用房出让国有建设用地使用权及在建建筑物房地产抵押价值进行了预评估。</v>
      </c>
    </row>
    <row r="7" spans="1:2" s="1203" customFormat="1">
      <c r="A7" s="1201" t="s">
        <v>566</v>
      </c>
      <c r="B7" s="1202" t="str">
        <f>'预评函-1'!A7</f>
        <v>估价对象为四川省绵阳市江油市工业用房出让国有建设用地使用权及在建建筑物房地产，为所有。根据《国有土地使用证》[]，估价对象（分摊）出让国有建设用地使用权面积为368153.3平方米，建筑面积为253739.7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四川省绵阳市江油市工业用房出让国有建设用地使用权及在建建筑物房地产,为开发建设的，该项目尚在开发建设中。根据《国有土地使用证》[]，估价对象（分摊）出让国有建设用地使用权面积为368153.3平方米，规划建筑面积为253739.7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2023年12月14日（评估专业人员实地查勘之日）</v>
      </c>
    </row>
    <row r="13" spans="1:2" s="1203" customFormat="1">
      <c r="A13" s="1201" t="s">
        <v>529</v>
      </c>
      <c r="B13" s="1202" t="str">
        <f>'预评函-1'!A18</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74631</v>
      </c>
    </row>
    <row r="21" spans="1:2" s="1203" customFormat="1">
      <c r="A21" s="1201" t="s">
        <v>537</v>
      </c>
      <c r="B21" s="1202">
        <f ca="1">'预评函-2'!D7</f>
        <v>2941</v>
      </c>
    </row>
    <row r="22" spans="1:2" s="1203" customFormat="1">
      <c r="A22" s="1201" t="s">
        <v>538</v>
      </c>
      <c r="B22" s="1202" t="str">
        <f ca="1">'预评函-2'!D6</f>
        <v>柒亿肆仟陆佰叁拾壹万元整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74631</v>
      </c>
    </row>
    <row r="31" spans="1:2" s="1203" customFormat="1">
      <c r="A31" s="1201" t="s">
        <v>576</v>
      </c>
      <c r="B31" s="1202">
        <f ca="1">'预评函-2'!D15</f>
        <v>2941</v>
      </c>
    </row>
    <row r="32" spans="1:2" s="1203" customFormat="1">
      <c r="A32" s="1201" t="s">
        <v>543</v>
      </c>
      <c r="B32" s="1202" t="str">
        <f ca="1">'预评函-2'!D14</f>
        <v>柒亿肆仟陆佰叁拾壹万元整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四川省绵阳市江油市工业用房出让国有建设用地使用权及在建建筑物房地产</v>
      </c>
    </row>
    <row r="42" spans="1:2" s="1203" customFormat="1">
      <c r="A42" s="1201" t="s">
        <v>590</v>
      </c>
      <c r="B42" s="1202" t="str">
        <f>'预评函-3'!B2</f>
        <v>建筑面积</v>
      </c>
    </row>
    <row r="43" spans="1:2" s="1203" customFormat="1">
      <c r="A43" s="1201" t="s">
        <v>591</v>
      </c>
      <c r="B43" s="1202">
        <f>'预评函-3'!B4</f>
        <v>253739.7</v>
      </c>
    </row>
    <row r="44" spans="1:2" s="1203" customFormat="1">
      <c r="A44" s="1201" t="s">
        <v>575</v>
      </c>
      <c r="B44" s="1202" t="str">
        <f>'预评函-3'!C2</f>
        <v>(分摊)土地面积</v>
      </c>
    </row>
    <row r="45" spans="1:2" s="1203" customFormat="1">
      <c r="A45" s="1201" t="s">
        <v>547</v>
      </c>
      <c r="B45" s="1202">
        <f>'预评函-3'!C4</f>
        <v>368153.3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1" t="s">
        <v>2583</v>
      </c>
      <c r="J2" s="3501"/>
      <c r="K2" s="3501"/>
      <c r="L2" s="3501"/>
      <c r="M2" s="3501"/>
      <c r="N2" s="3501"/>
      <c r="O2" s="3501"/>
      <c r="P2" s="3501"/>
      <c r="Q2" s="3501"/>
      <c r="R2" s="3501"/>
    </row>
    <row r="3" spans="1:18">
      <c r="A3" s="3019" t="s">
        <v>2504</v>
      </c>
      <c r="B3" s="3020">
        <f>项目基本情况!D3</f>
        <v>45274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3.01</v>
      </c>
      <c r="D5" s="3024">
        <f>IF(ISERROR(ROUND(POWER(1+E5,A5-C5)*(POWER(1+E5,C5)-1)/(POWER(1+E5,A5)-1),3)),0,ROUND(POWER(1+E5,A5-C5)*(POWER(1+E5,C5)-1)/(POWER(1+E5,A5)-1),4))</f>
        <v>0.1406</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13.02</v>
      </c>
      <c r="D6" s="3024">
        <f>IF(ISERROR(ROUND(POWER(1+E6,A6-C6)*(POWER(1+E6,C6)-1)/(POWER(1+E6,A6)-1),3)),0,ROUND(POWER(1+E6,A6-C6)*(POWER(1+E6,C6)-1)/(POWER(1+E6,A6)-1),4))</f>
        <v>0.46539999999999998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33.03</v>
      </c>
      <c r="D7" s="3024">
        <f>IF(ISERROR(ROUND(POWER(1+E7,A7-C7)*(POWER(1+E7,C7)-1)/(POWER(1+E7,A7)-1),3)),0,ROUND(POWER(1+E7,A7-C7)*(POWER(1+E7,C7)-1)/(POWER(1+E7,A7)-1),4))</f>
        <v>0.77610000000000001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0" t="str">
        <f>IF(B10="北京市","北京市",C10)&amp;F10&amp;IF(结果表!G1="在建","出让国有建设用地使用权及在建建筑物",IF(结果表!G1="土地","出让国有建设用地使用权",))&amp;B9&amp;"预评估"</f>
        <v>四川省绵阳市江油市工业用房出让国有建设用地使用权及在建建筑物房地产市场价值预评估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四川省绵阳市江油市工业用房出让国有建设用地使用权及在建建筑物房地产抵押价值</v>
      </c>
      <c r="T1" s="1745"/>
      <c r="U1" s="1745"/>
      <c r="V1" s="1745"/>
      <c r="W1" s="1745"/>
      <c r="X1" s="1745"/>
      <c r="Y1" s="1745"/>
      <c r="Z1" s="1745"/>
      <c r="AA1" s="1745"/>
      <c r="AB1" s="1745"/>
    </row>
    <row r="2" spans="1:30">
      <c r="A2" s="2367" t="s">
        <v>2168</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四川省绵阳市江油市工业用房出让国有建设用地使用权及在建建筑物房地产</v>
      </c>
      <c r="T2" s="1745"/>
      <c r="U2" s="1745"/>
      <c r="V2" s="1745"/>
      <c r="W2" s="1745"/>
      <c r="X2" s="1745"/>
      <c r="Y2" s="1745"/>
      <c r="Z2" s="1745"/>
      <c r="AA2" s="1745"/>
      <c r="AB2" s="1745"/>
    </row>
    <row r="3" spans="1:30">
      <c r="A3" s="302" t="s">
        <v>2169</v>
      </c>
      <c r="B3" s="2373">
        <v>45274</v>
      </c>
      <c r="C3" s="2374" t="s">
        <v>2170</v>
      </c>
      <c r="D3" s="2373">
        <f>B3</f>
        <v>45274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3382</v>
      </c>
      <c r="C8" s="2390"/>
      <c r="D8" s="3513" t="s">
        <v>2176</v>
      </c>
      <c r="E8" s="2391" t="s">
        <v>3413</v>
      </c>
      <c r="F8" s="2392"/>
      <c r="G8" s="2663"/>
      <c r="H8" s="2663"/>
      <c r="I8" s="2663"/>
      <c r="J8" s="2439"/>
      <c r="K8" s="2614"/>
      <c r="L8" s="2613"/>
      <c r="M8" s="2613"/>
      <c r="N8" s="2439"/>
      <c r="O8" s="2450"/>
      <c r="P8" s="2439"/>
      <c r="Q8" s="2439"/>
      <c r="R8" s="2439"/>
    </row>
    <row r="9" spans="1:30" ht="13.5" thickBot="1">
      <c r="A9" s="2393" t="s">
        <v>2177</v>
      </c>
      <c r="B9" s="2394" t="s">
        <v>3412</v>
      </c>
      <c r="C9" s="2395"/>
      <c r="D9" s="3514"/>
      <c r="E9" s="2394" t="s">
        <v>43</v>
      </c>
      <c r="F9" s="2396"/>
      <c r="G9" s="2665"/>
      <c r="H9" s="2665"/>
      <c r="I9" s="2665"/>
      <c r="J9" s="2439"/>
      <c r="K9" s="2616"/>
      <c r="L9" s="2613"/>
      <c r="M9" s="2613"/>
      <c r="N9" s="2439"/>
      <c r="O9" s="2450"/>
      <c r="P9" s="2439"/>
      <c r="Q9" s="2439"/>
      <c r="R9" s="2439"/>
    </row>
    <row r="10" spans="1:30" ht="13.5" thickTop="1">
      <c r="A10" s="2397" t="s">
        <v>2178</v>
      </c>
      <c r="B10" s="2398" t="s">
        <v>3414</v>
      </c>
      <c r="C10" s="2399"/>
      <c r="D10" s="2382"/>
      <c r="E10" s="2400" t="s">
        <v>2179</v>
      </c>
      <c r="F10" s="3451" t="s">
        <v>3614</v>
      </c>
      <c r="G10" s="2666"/>
      <c r="H10" s="2667"/>
      <c r="I10" s="2668"/>
      <c r="J10" s="2439"/>
      <c r="K10" s="2616"/>
      <c r="L10" s="2613"/>
      <c r="M10" s="2613"/>
      <c r="N10" s="2439"/>
      <c r="O10" s="2450"/>
      <c r="P10" s="2439"/>
      <c r="Q10" s="2439"/>
      <c r="R10" s="2439"/>
    </row>
    <row r="11" spans="1:30">
      <c r="A11" s="2401" t="s">
        <v>2180</v>
      </c>
      <c r="B11" s="2402" t="s">
        <v>3415</v>
      </c>
      <c r="C11" s="2403"/>
      <c r="D11" s="2404"/>
      <c r="E11" s="2370"/>
      <c r="F11" s="2370"/>
      <c r="G11" s="2370"/>
      <c r="H11" s="2370"/>
      <c r="I11" s="2370"/>
      <c r="J11" s="3060"/>
      <c r="K11" s="3059"/>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2579</v>
      </c>
      <c r="J12" s="3061"/>
      <c r="K12" s="2613"/>
      <c r="L12" s="2613"/>
      <c r="M12" s="2439"/>
      <c r="N12" s="2450"/>
      <c r="O12" s="2439"/>
      <c r="P12" s="2439"/>
      <c r="Q12" s="2439"/>
      <c r="AD12" s="1745"/>
    </row>
    <row r="13" spans="1:30">
      <c r="A13" s="3422" t="s">
        <v>3335</v>
      </c>
      <c r="B13" s="2407" t="s">
        <v>2189</v>
      </c>
      <c r="C13" s="856"/>
      <c r="D13" s="856"/>
      <c r="E13" s="856"/>
      <c r="F13" s="856"/>
      <c r="G13" s="856"/>
      <c r="H13" s="856">
        <v>62616</v>
      </c>
      <c r="I13" s="856"/>
      <c r="J13" s="3061"/>
      <c r="K13" s="2613"/>
      <c r="L13" s="2613"/>
      <c r="M13" s="2439"/>
      <c r="N13" s="2450"/>
      <c r="O13" s="2439"/>
      <c r="P13" s="2439"/>
      <c r="Q13" s="2439"/>
      <c r="AD13" s="1745"/>
    </row>
    <row r="14" spans="1:30">
      <c r="A14" s="1081"/>
      <c r="B14" s="2407" t="s">
        <v>2190</v>
      </c>
      <c r="C14" s="2408"/>
      <c r="D14" s="2408"/>
      <c r="E14" s="2408"/>
      <c r="F14" s="2408"/>
      <c r="G14" s="2408"/>
      <c r="H14" s="2408">
        <v>50</v>
      </c>
      <c r="I14" s="2408"/>
      <c r="J14" s="3062"/>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47.51</v>
      </c>
      <c r="I15" s="2410" t="str">
        <f>IF(A13="出让",IF(I13="","",ROUNDDOWN(MIN((I13-$D$3)/365,I14),2)),I14)</f>
        <v/>
      </c>
      <c r="J15" s="3063"/>
      <c r="K15" s="2451"/>
      <c r="L15" s="2451"/>
      <c r="M15" s="2509"/>
      <c r="N15" s="2451"/>
      <c r="O15" s="2509"/>
      <c r="P15" s="2439"/>
      <c r="Q15" s="2439"/>
      <c r="AD15" s="1745"/>
    </row>
    <row r="16" spans="1:30">
      <c r="A16" s="2400" t="s">
        <v>2192</v>
      </c>
      <c r="B16" s="3520"/>
      <c r="C16" s="3521"/>
      <c r="D16" s="3522"/>
      <c r="E16" s="2413" t="s">
        <v>2193</v>
      </c>
      <c r="F16" s="3523"/>
      <c r="G16" s="3524"/>
      <c r="H16" s="3524"/>
      <c r="I16" s="3525"/>
      <c r="J16" s="2439"/>
      <c r="K16" s="2617"/>
      <c r="L16" s="2451"/>
      <c r="M16" s="2451"/>
      <c r="N16" s="2509"/>
      <c r="O16" s="2451"/>
      <c r="P16" s="2509"/>
      <c r="Q16" s="2439"/>
      <c r="R16" s="2439"/>
    </row>
    <row r="17" spans="1:28">
      <c r="A17" s="313" t="s">
        <v>2194</v>
      </c>
      <c r="B17" s="302" t="s">
        <v>2195</v>
      </c>
      <c r="C17" s="8">
        <f>'数据-汇总表'!E3</f>
        <v>253739.7</v>
      </c>
      <c r="D17" s="2322" t="s">
        <v>2196</v>
      </c>
      <c r="E17" s="3526" t="s">
        <v>2197</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368153.3</v>
      </c>
      <c r="D18" s="1092" t="s">
        <v>2200</v>
      </c>
      <c r="E18" s="3529" t="s">
        <v>2201</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6" t="s">
        <v>2205</v>
      </c>
      <c r="C20" s="3517"/>
      <c r="D20" s="3518" t="s">
        <v>2206</v>
      </c>
      <c r="E20" s="3519"/>
      <c r="F20" s="2647" t="s">
        <v>1056</v>
      </c>
      <c r="G20" s="2664"/>
      <c r="H20" s="2664"/>
      <c r="I20" s="2664"/>
      <c r="J20" s="2439"/>
      <c r="K20" s="351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3"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3"/>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3"/>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4"/>
      <c r="B30" s="302" t="s">
        <v>2217</v>
      </c>
      <c r="C30" s="3505"/>
      <c r="D30" s="3506"/>
      <c r="E30" s="2664"/>
      <c r="F30" s="2664"/>
      <c r="G30" s="2664"/>
      <c r="H30" s="2664"/>
      <c r="I30" s="2664"/>
      <c r="J30" s="2439"/>
      <c r="K30" s="2616"/>
      <c r="L30" s="2613"/>
      <c r="M30" s="2613"/>
      <c r="N30" s="2439"/>
      <c r="O30" s="2450"/>
      <c r="P30" s="2439"/>
      <c r="Q30" s="2439"/>
      <c r="R30" s="2439"/>
      <c r="S30" s="2439"/>
      <c r="T30" s="2439"/>
      <c r="U30" s="2439"/>
      <c r="V30" s="2439"/>
    </row>
    <row r="31" spans="1:28">
      <c r="A31" s="3507"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2" t="s">
        <v>2227</v>
      </c>
      <c r="T34" s="2428" t="str">
        <f>NUMBERSTRING(7-K34,1)&amp;"通"</f>
        <v>七通</v>
      </c>
      <c r="U34" s="2439"/>
      <c r="V34" s="2439"/>
    </row>
    <row r="35" spans="1:30">
      <c r="A35" s="2429"/>
      <c r="B35" s="3509" t="s">
        <v>2228</v>
      </c>
      <c r="C35" s="3509"/>
      <c r="D35" s="3509"/>
      <c r="E35" s="350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368153.3</v>
      </c>
      <c r="B3" s="11">
        <f>IF(C3="否",G5-AT5,G5)</f>
        <v>253739.7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253739.7</v>
      </c>
      <c r="H5" s="13">
        <f t="shared" ref="H5:AT5" si="0">SUM(H13:H656)</f>
        <v>253739.7</v>
      </c>
      <c r="I5" s="13">
        <f t="shared" si="0"/>
        <v>253546.02500000002</v>
      </c>
      <c r="J5" s="13">
        <f t="shared" si="0"/>
        <v>0</v>
      </c>
      <c r="K5" s="13">
        <f t="shared" si="0"/>
        <v>193.67500000000001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253739.7</v>
      </c>
      <c r="BA5" s="15">
        <f t="shared" si="1"/>
        <v>253739.7</v>
      </c>
      <c r="BB5" s="15">
        <f t="shared" si="1"/>
        <v>253546.02500000002</v>
      </c>
      <c r="BC5" s="15">
        <f t="shared" si="1"/>
        <v>193.67500000000001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368153.3</v>
      </c>
      <c r="F6" s="13" t="s">
        <v>0</v>
      </c>
      <c r="G6" s="13" t="s">
        <v>1</v>
      </c>
      <c r="H6" s="17">
        <f>SUMIF(I$12:AB$12,"总值",I6:AB6)</f>
        <v>368153.3</v>
      </c>
      <c r="I6" s="13">
        <f t="shared" ref="I6:AB6" si="2">ROUND($A$3*I5/$B$3,2)</f>
        <v>367872.3</v>
      </c>
      <c r="J6" s="13">
        <f t="shared" si="2"/>
        <v>0</v>
      </c>
      <c r="K6" s="13">
        <f t="shared" si="2"/>
        <v>281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368153.3</v>
      </c>
      <c r="AZ6" s="13" t="s">
        <v>2</v>
      </c>
      <c r="BA6" s="13">
        <f>ROUND($AY$6*BA5/$AZ$5,2)</f>
        <v>368153.3</v>
      </c>
      <c r="BB6" s="13">
        <f>ROUND($AY$6*BB5/$AZ$5,2)</f>
        <v>367872.3</v>
      </c>
      <c r="BC6" s="13">
        <f t="shared" ref="BC6:BH6" si="4">ROUND($AY$6*BC5/$AZ$5,2)</f>
        <v>281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3416</v>
      </c>
      <c r="J9" s="809"/>
      <c r="K9" s="1603" t="s">
        <v>3417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3452" t="s">
        <v>3418</v>
      </c>
      <c r="B13" s="1051" t="s">
        <v>3419</v>
      </c>
      <c r="C13" s="2438" t="s">
        <v>3420</v>
      </c>
      <c r="D13" s="1625" t="s">
        <v>3454</v>
      </c>
      <c r="E13" s="13">
        <f>IF($C$3="是",ROUND($A$3*G13/$B$3,2),ROUND($A$3*(G13-AT13)/$B$3,2))</f>
        <v>37069.47</v>
      </c>
      <c r="F13" s="29"/>
      <c r="G13" s="30">
        <f>H13+AC13+AT13</f>
        <v>25549.13</v>
      </c>
      <c r="H13" s="17">
        <f>SUMIF(I$12:AB$12,"总值",I13:AB13)</f>
        <v>25549.13</v>
      </c>
      <c r="I13" s="1626">
        <v>25549.13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一期</v>
      </c>
      <c r="AW13" s="8" t="str">
        <f t="shared" si="6"/>
        <v>1号厂房</v>
      </c>
      <c r="AX13" s="8" t="str">
        <f t="shared" si="6"/>
        <v>1-2</v>
      </c>
      <c r="AY13" s="1349">
        <f>ROUND($AY$6*AZ13/$AZ$5,2)</f>
        <v>37069.47</v>
      </c>
      <c r="AZ13" s="13">
        <f>BA13+BL13</f>
        <v>25549.13</v>
      </c>
      <c r="BA13" s="13">
        <f>SUM(BB13:BK13)</f>
        <v>25549.13</v>
      </c>
      <c r="BB13" s="13">
        <f>IF($D13="是",I13-J13,0)</f>
        <v>25549.13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47218.12</v>
      </c>
      <c r="B14" s="1051" t="s">
        <v>3421</v>
      </c>
      <c r="C14" s="2438" t="s">
        <v>3420</v>
      </c>
      <c r="D14" s="1625" t="s">
        <v>3454</v>
      </c>
      <c r="E14" s="13">
        <f>IF($C$3="是",ROUND($A$3*G14/$B$3,2),ROUND($A$3*(G14-AT14)/$B$3,2))</f>
        <v>30638.16</v>
      </c>
      <c r="F14" s="29"/>
      <c r="G14" s="30">
        <f>H14+AC14+AT14</f>
        <v>21116.52</v>
      </c>
      <c r="H14" s="17">
        <f>SUMIF(I$12:AB$12,"总值",I14:AB14)</f>
        <v>21116.52</v>
      </c>
      <c r="I14" s="1626">
        <v>21116.52</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47218.12</v>
      </c>
      <c r="AW14" s="8" t="str">
        <f t="shared" si="6"/>
        <v>4号厂房</v>
      </c>
      <c r="AX14" s="8" t="str">
        <f t="shared" si="6"/>
        <v>1-2</v>
      </c>
      <c r="AY14" s="1349">
        <f>ROUND($AY$6*AZ14/$AZ$5,2)</f>
        <v>30638.16</v>
      </c>
      <c r="AZ14" s="13">
        <f>BA14+BL14</f>
        <v>21116.52</v>
      </c>
      <c r="BA14" s="13">
        <f>SUM(BB14:BK14)</f>
        <v>21116.52</v>
      </c>
      <c r="BB14" s="13">
        <f>IF($D14="是",I14-J14,0)</f>
        <v>21116.52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
        <v>3422</v>
      </c>
      <c r="C15" s="1570">
        <v>1</v>
      </c>
      <c r="D15" s="1625" t="s">
        <v>3454</v>
      </c>
      <c r="E15" s="13">
        <f>IF($C$3="是",ROUND($A$3*G15/$B$3,2),ROUND($A$3*(G15-AT15)/$B$3,2))</f>
        <v>239.57</v>
      </c>
      <c r="F15" s="29"/>
      <c r="G15" s="30">
        <f>H15+AC15+AT15</f>
        <v>165.12</v>
      </c>
      <c r="H15" s="17">
        <f>SUMIF(I$12:AB$12,"总值",I15:AB15)</f>
        <v>165.12</v>
      </c>
      <c r="I15" s="1626">
        <v>165.12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1-4号厂房连廊</v>
      </c>
      <c r="AX15" s="8">
        <f t="shared" si="6"/>
        <v>1</v>
      </c>
      <c r="AY15" s="1349">
        <f>ROUND($AY$6*AZ15/$AZ$5,2)</f>
        <v>239.57</v>
      </c>
      <c r="AZ15" s="13">
        <f>BA15+BL15</f>
        <v>165.12</v>
      </c>
      <c r="BA15" s="13">
        <f>SUM(BB15:BK15)</f>
        <v>165.12</v>
      </c>
      <c r="BB15" s="13">
        <f>IF($D15="是",I15-J15,0)</f>
        <v>165.12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3452" t="s">
        <v>3423</v>
      </c>
      <c r="C16" s="2438" t="s">
        <v>3424</v>
      </c>
      <c r="D16" s="1625" t="s">
        <v>3454</v>
      </c>
      <c r="E16" s="13">
        <f>IF($C$3="是",ROUND($A$3*G16/$B$3,2),ROUND($A$3*(G16-AT16)/$B$3,2))</f>
        <v>562.01</v>
      </c>
      <c r="F16" s="29"/>
      <c r="G16" s="30">
        <f>H16+AC16+AT16</f>
        <v>387.35</v>
      </c>
      <c r="H16" s="17">
        <f>SUMIF(I$12:AB$12,"总值",I16:AB16)</f>
        <v>387.35</v>
      </c>
      <c r="I16" s="1626">
        <f>387.35/2</f>
        <v>193.67500000000001</v>
      </c>
      <c r="J16" s="1626"/>
      <c r="K16" s="1626">
        <f>I16</f>
        <v>193.67500000000001</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门卫与消防泵房</v>
      </c>
      <c r="AX16" s="8" t="str">
        <f t="shared" si="6"/>
        <v>-1-1</v>
      </c>
      <c r="AY16" s="1349">
        <f>ROUND($AY$6*AZ16/$AZ$5,2)</f>
        <v>562.01</v>
      </c>
      <c r="AZ16" s="13">
        <f>BA16+BL16</f>
        <v>387.35</v>
      </c>
      <c r="BA16" s="13">
        <f>SUM(BB16:BK16)</f>
        <v>387.35</v>
      </c>
      <c r="BB16" s="13">
        <f>IF($D16="是",I16-J16,0)</f>
        <v>193.67500000000001</v>
      </c>
      <c r="BC16" s="13">
        <f>IF($D16="是",K16-L16,0)</f>
        <v>193.67500000000001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3452" t="s">
        <v>3425</v>
      </c>
      <c r="B17" s="1051" t="s">
        <v>3426</v>
      </c>
      <c r="C17" s="1570">
        <v>1</v>
      </c>
      <c r="D17" s="1625" t="s">
        <v>3454</v>
      </c>
      <c r="E17" s="13">
        <f>IF($C$3="是",ROUND($A$3*G17/$B$3,2),ROUND($A$3*(G17-AT17)/$B$3,2))</f>
        <v>28880.7</v>
      </c>
      <c r="F17" s="29"/>
      <c r="G17" s="30">
        <f>H17+AC17+AT17</f>
        <v>19905.240000000002</v>
      </c>
      <c r="H17" s="17">
        <f>SUMIF(I$12:AB$12,"总值",I17:AB17)</f>
        <v>19905.240000000002</v>
      </c>
      <c r="I17" s="1626">
        <v>19905.240000000002</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t="str">
        <f t="shared" si="6"/>
        <v>二期</v>
      </c>
      <c r="AW17" s="8" t="str">
        <f t="shared" si="6"/>
        <v>厂房2</v>
      </c>
      <c r="AX17" s="8">
        <f t="shared" si="6"/>
        <v>1</v>
      </c>
      <c r="AY17" s="1349">
        <f>ROUND($AY$6*AZ17/$AZ$5,2)</f>
        <v>28880.7</v>
      </c>
      <c r="AZ17" s="13">
        <f>BA17+BL17</f>
        <v>19905.240000000002</v>
      </c>
      <c r="BA17" s="13">
        <f>SUM(BB17:BK17)</f>
        <v>19905.240000000002</v>
      </c>
      <c r="BB17" s="13">
        <f>IF($D17="是",I17-J17,0)</f>
        <v>19905.240000000002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v>131836.94</v>
      </c>
      <c r="B18" s="31" t="s">
        <v>3427</v>
      </c>
      <c r="C18" s="31">
        <v>1</v>
      </c>
      <c r="D18" s="1625" t="s">
        <v>3454</v>
      </c>
      <c r="E18" s="32">
        <f t="shared" ref="E18:E112" si="7">IF($C$3="是",ROUND($A$3*G18/$B$3,2),ROUND($A$3*(G18-AT18)/$B$3,2))</f>
        <v>23547.65</v>
      </c>
      <c r="F18" s="33"/>
      <c r="G18" s="34">
        <f t="shared" ref="G18:G109" si="8">H18+AC18+AT18</f>
        <v>16229.58</v>
      </c>
      <c r="H18" s="35">
        <f t="shared" ref="H18:H109" si="9">SUMIF(I$12:AB$12,"总值",I18:AB18)</f>
        <v>16229.58</v>
      </c>
      <c r="I18" s="36">
        <v>16229.58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131836.94</v>
      </c>
      <c r="AW18" s="1343" t="str">
        <f t="shared" ref="AW18:AW112" si="12">B18</f>
        <v>厂房3</v>
      </c>
      <c r="AX18" s="1343">
        <f t="shared" ref="AX18:AX112" si="13">C18</f>
        <v>1</v>
      </c>
      <c r="AY18" s="39">
        <f t="shared" ref="AY18:AY109" si="14">ROUND($AY$6*AZ18/$AZ$5,2)</f>
        <v>23547.65</v>
      </c>
      <c r="AZ18" s="32">
        <f t="shared" ref="AZ18:AZ109" si="15">BA18+BL18</f>
        <v>16229.58</v>
      </c>
      <c r="BA18" s="32">
        <f t="shared" ref="BA18:BA109" si="16">SUM(BB18:BK18)</f>
        <v>16229.58</v>
      </c>
      <c r="BB18" s="32">
        <f t="shared" ref="BB18:BB109" si="17">IF($D18="是",I18-J18,0)</f>
        <v>16229.58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t="s">
        <v>3428</v>
      </c>
      <c r="C19" s="2438" t="s">
        <v>3420</v>
      </c>
      <c r="D19" s="1625" t="s">
        <v>3454</v>
      </c>
      <c r="E19" s="32">
        <f t="shared" si="7"/>
        <v>28574.5</v>
      </c>
      <c r="F19" s="33"/>
      <c r="G19" s="34">
        <f t="shared" si="8"/>
        <v>19694.2</v>
      </c>
      <c r="H19" s="35">
        <f t="shared" si="9"/>
        <v>19694.2</v>
      </c>
      <c r="I19" s="36">
        <v>19694.2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厂房5</v>
      </c>
      <c r="AX19" s="1343" t="str">
        <f t="shared" si="13"/>
        <v>1-2</v>
      </c>
      <c r="AY19" s="39">
        <f t="shared" si="14"/>
        <v>28574.5</v>
      </c>
      <c r="AZ19" s="32">
        <f t="shared" si="15"/>
        <v>19694.2</v>
      </c>
      <c r="BA19" s="32">
        <f t="shared" si="16"/>
        <v>19694.2</v>
      </c>
      <c r="BB19" s="32">
        <f t="shared" si="17"/>
        <v>19694.2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t="s">
        <v>3429</v>
      </c>
      <c r="C20" s="31">
        <v>1</v>
      </c>
      <c r="D20" s="1625" t="s">
        <v>3454</v>
      </c>
      <c r="E20" s="32">
        <f t="shared" si="7"/>
        <v>21683.43</v>
      </c>
      <c r="F20" s="33"/>
      <c r="G20" s="34">
        <f t="shared" si="8"/>
        <v>14944.72</v>
      </c>
      <c r="H20" s="35">
        <f t="shared" si="9"/>
        <v>14944.72</v>
      </c>
      <c r="I20" s="36">
        <v>14944.72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t="str">
        <f t="shared" si="12"/>
        <v>厂房6</v>
      </c>
      <c r="AX20" s="1343">
        <f t="shared" si="13"/>
        <v>1</v>
      </c>
      <c r="AY20" s="39">
        <f t="shared" si="14"/>
        <v>21683.43</v>
      </c>
      <c r="AZ20" s="32">
        <f t="shared" si="15"/>
        <v>14944.72</v>
      </c>
      <c r="BA20" s="32">
        <f t="shared" si="16"/>
        <v>14944.72</v>
      </c>
      <c r="BB20" s="32">
        <f t="shared" si="17"/>
        <v>14944.72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3430</v>
      </c>
      <c r="C21" s="2438" t="s">
        <v>3433</v>
      </c>
      <c r="D21" s="1625" t="s">
        <v>3454</v>
      </c>
      <c r="E21" s="32">
        <f t="shared" si="7"/>
        <v>37145.410000000003</v>
      </c>
      <c r="F21" s="33"/>
      <c r="G21" s="34">
        <f t="shared" si="8"/>
        <v>25601.47</v>
      </c>
      <c r="H21" s="35">
        <f t="shared" si="9"/>
        <v>25601.47</v>
      </c>
      <c r="I21" s="36">
        <v>25601.47</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t="str">
        <f t="shared" si="12"/>
        <v>厂房7</v>
      </c>
      <c r="AX21" s="1343" t="str">
        <f t="shared" si="13"/>
        <v>1-3</v>
      </c>
      <c r="AY21" s="39">
        <f t="shared" si="14"/>
        <v>37145.410000000003</v>
      </c>
      <c r="AZ21" s="32">
        <f t="shared" si="15"/>
        <v>25601.47</v>
      </c>
      <c r="BA21" s="32">
        <f t="shared" si="16"/>
        <v>25601.47</v>
      </c>
      <c r="BB21" s="32">
        <f t="shared" si="17"/>
        <v>25601.47</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t="s">
        <v>3431</v>
      </c>
      <c r="C22" s="31">
        <v>1</v>
      </c>
      <c r="D22" s="1625" t="s">
        <v>3454</v>
      </c>
      <c r="E22" s="32">
        <f t="shared" si="7"/>
        <v>23966.6</v>
      </c>
      <c r="F22" s="33"/>
      <c r="G22" s="34">
        <f t="shared" si="8"/>
        <v>16518.330000000002</v>
      </c>
      <c r="H22" s="35">
        <f t="shared" si="9"/>
        <v>16518.330000000002</v>
      </c>
      <c r="I22" s="36">
        <v>16518.330000000002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t="str">
        <f t="shared" si="12"/>
        <v>厂房8</v>
      </c>
      <c r="AX22" s="1343">
        <f t="shared" si="13"/>
        <v>1</v>
      </c>
      <c r="AY22" s="39">
        <f t="shared" si="14"/>
        <v>23966.6</v>
      </c>
      <c r="AZ22" s="32">
        <f t="shared" si="15"/>
        <v>16518.330000000002</v>
      </c>
      <c r="BA22" s="32">
        <f t="shared" si="16"/>
        <v>16518.330000000002</v>
      </c>
      <c r="BB22" s="32">
        <f t="shared" si="17"/>
        <v>16518.330000000002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t="s">
        <v>3432</v>
      </c>
      <c r="C23" s="31">
        <v>1</v>
      </c>
      <c r="D23" s="1625" t="s">
        <v>3454</v>
      </c>
      <c r="E23" s="32">
        <f t="shared" si="7"/>
        <v>7170.84</v>
      </c>
      <c r="F23" s="33"/>
      <c r="G23" s="34">
        <f t="shared" si="8"/>
        <v>4942.3100000000004</v>
      </c>
      <c r="H23" s="35">
        <f t="shared" si="9"/>
        <v>4942.3100000000004</v>
      </c>
      <c r="I23" s="36">
        <v>4942.3100000000004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t="str">
        <f t="shared" si="12"/>
        <v>厂房9</v>
      </c>
      <c r="AX23" s="1343">
        <f t="shared" si="13"/>
        <v>1</v>
      </c>
      <c r="AY23" s="39">
        <f t="shared" si="14"/>
        <v>7170.84</v>
      </c>
      <c r="AZ23" s="32">
        <f t="shared" si="15"/>
        <v>4942.3100000000004</v>
      </c>
      <c r="BA23" s="32">
        <f t="shared" si="16"/>
        <v>4942.3100000000004</v>
      </c>
      <c r="BB23" s="32">
        <f t="shared" si="17"/>
        <v>4942.3100000000004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t="s">
        <v>3434</v>
      </c>
      <c r="C24" s="31">
        <v>1</v>
      </c>
      <c r="D24" s="1625" t="s">
        <v>3454</v>
      </c>
      <c r="E24" s="32">
        <f t="shared" si="7"/>
        <v>1267.82</v>
      </c>
      <c r="F24" s="33"/>
      <c r="G24" s="34">
        <f t="shared" si="8"/>
        <v>873.81</v>
      </c>
      <c r="H24" s="35">
        <f t="shared" si="9"/>
        <v>873.81</v>
      </c>
      <c r="I24" s="36">
        <v>873.81</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t="str">
        <f t="shared" si="12"/>
        <v>库房1</v>
      </c>
      <c r="AX24" s="1343">
        <f t="shared" si="13"/>
        <v>1</v>
      </c>
      <c r="AY24" s="39">
        <f t="shared" si="14"/>
        <v>1267.82</v>
      </c>
      <c r="AZ24" s="32">
        <f t="shared" si="15"/>
        <v>873.81</v>
      </c>
      <c r="BA24" s="32">
        <f t="shared" si="16"/>
        <v>873.81</v>
      </c>
      <c r="BB24" s="32">
        <f t="shared" si="17"/>
        <v>873.81</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t="s">
        <v>3435</v>
      </c>
      <c r="C25" s="31">
        <v>1</v>
      </c>
      <c r="D25" s="1625" t="s">
        <v>3454</v>
      </c>
      <c r="E25" s="32">
        <f t="shared" si="7"/>
        <v>1959.69</v>
      </c>
      <c r="F25" s="33"/>
      <c r="G25" s="34">
        <f t="shared" si="8"/>
        <v>1350.66</v>
      </c>
      <c r="H25" s="35">
        <f t="shared" si="9"/>
        <v>1350.66</v>
      </c>
      <c r="I25" s="36">
        <v>1350.66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t="str">
        <f t="shared" si="12"/>
        <v>库房2</v>
      </c>
      <c r="AX25" s="1343">
        <f t="shared" si="13"/>
        <v>1</v>
      </c>
      <c r="AY25" s="39">
        <f t="shared" si="14"/>
        <v>1959.69</v>
      </c>
      <c r="AZ25" s="32">
        <f t="shared" si="15"/>
        <v>1350.66</v>
      </c>
      <c r="BA25" s="32">
        <f t="shared" si="16"/>
        <v>1350.66</v>
      </c>
      <c r="BB25" s="32">
        <f t="shared" si="17"/>
        <v>1350.66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t="s">
        <v>3436</v>
      </c>
      <c r="C26" s="31">
        <v>1</v>
      </c>
      <c r="D26" s="1625" t="s">
        <v>3454</v>
      </c>
      <c r="E26" s="32">
        <f t="shared" si="7"/>
        <v>823.52</v>
      </c>
      <c r="F26" s="33"/>
      <c r="G26" s="34">
        <f t="shared" si="8"/>
        <v>567.59</v>
      </c>
      <c r="H26" s="35">
        <f t="shared" si="9"/>
        <v>567.59</v>
      </c>
      <c r="I26" s="36">
        <v>567.59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t="str">
        <f t="shared" si="12"/>
        <v>库房3</v>
      </c>
      <c r="AX26" s="1343">
        <f t="shared" si="13"/>
        <v>1</v>
      </c>
      <c r="AY26" s="39">
        <f t="shared" si="14"/>
        <v>823.52</v>
      </c>
      <c r="AZ26" s="32">
        <f t="shared" si="15"/>
        <v>567.59</v>
      </c>
      <c r="BA26" s="32">
        <f t="shared" si="16"/>
        <v>567.59</v>
      </c>
      <c r="BB26" s="32">
        <f t="shared" si="17"/>
        <v>567.59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53" t="s">
        <v>3437</v>
      </c>
      <c r="C27" s="31">
        <v>5</v>
      </c>
      <c r="D27" s="1625" t="s">
        <v>3454</v>
      </c>
      <c r="E27" s="32">
        <f t="shared" si="7"/>
        <v>5727.9</v>
      </c>
      <c r="F27" s="33"/>
      <c r="G27" s="34">
        <f t="shared" si="8"/>
        <v>3947.8</v>
      </c>
      <c r="H27" s="35">
        <f t="shared" si="9"/>
        <v>3947.8</v>
      </c>
      <c r="I27" s="36">
        <v>3947.8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t="str">
        <f t="shared" si="12"/>
        <v>研发楼</v>
      </c>
      <c r="AX27" s="1343">
        <f t="shared" si="13"/>
        <v>5</v>
      </c>
      <c r="AY27" s="39">
        <f t="shared" si="14"/>
        <v>5727.9</v>
      </c>
      <c r="AZ27" s="32">
        <f t="shared" si="15"/>
        <v>3947.8</v>
      </c>
      <c r="BA27" s="32">
        <f t="shared" si="16"/>
        <v>3947.8</v>
      </c>
      <c r="BB27" s="32">
        <f t="shared" si="17"/>
        <v>3947.8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28.5">
      <c r="A28" s="6"/>
      <c r="B28" s="3453" t="s">
        <v>3438</v>
      </c>
      <c r="C28" s="31">
        <v>2</v>
      </c>
      <c r="D28" s="1625" t="s">
        <v>3454</v>
      </c>
      <c r="E28" s="32">
        <f t="shared" si="7"/>
        <v>4230.07</v>
      </c>
      <c r="F28" s="33"/>
      <c r="G28" s="34">
        <f t="shared" si="8"/>
        <v>2915.46</v>
      </c>
      <c r="H28" s="35">
        <f t="shared" si="9"/>
        <v>2915.46</v>
      </c>
      <c r="I28" s="36">
        <v>2915.46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t="str">
        <f t="shared" si="12"/>
        <v>食堂活动中心</v>
      </c>
      <c r="AX28" s="1343">
        <f t="shared" si="13"/>
        <v>2</v>
      </c>
      <c r="AY28" s="39">
        <f t="shared" si="14"/>
        <v>4230.07</v>
      </c>
      <c r="AZ28" s="32">
        <f t="shared" si="15"/>
        <v>2915.46</v>
      </c>
      <c r="BA28" s="32">
        <f t="shared" si="16"/>
        <v>2915.46</v>
      </c>
      <c r="BB28" s="32">
        <f t="shared" si="17"/>
        <v>2915.46</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453" t="s">
        <v>3439</v>
      </c>
      <c r="C29" s="31">
        <v>5</v>
      </c>
      <c r="D29" s="1625" t="s">
        <v>3454</v>
      </c>
      <c r="E29" s="32">
        <f t="shared" si="7"/>
        <v>6163.46</v>
      </c>
      <c r="F29" s="33"/>
      <c r="G29" s="34">
        <f t="shared" si="8"/>
        <v>4248</v>
      </c>
      <c r="H29" s="35">
        <f t="shared" si="9"/>
        <v>4248</v>
      </c>
      <c r="I29" s="36">
        <v>4248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t="str">
        <f t="shared" si="12"/>
        <v>倒班房</v>
      </c>
      <c r="AX29" s="1343">
        <f t="shared" si="13"/>
        <v>5</v>
      </c>
      <c r="AY29" s="39">
        <f t="shared" si="14"/>
        <v>6163.46</v>
      </c>
      <c r="AZ29" s="32">
        <f t="shared" si="15"/>
        <v>4248</v>
      </c>
      <c r="BA29" s="32">
        <f t="shared" si="16"/>
        <v>4248</v>
      </c>
      <c r="BB29" s="32">
        <f t="shared" si="17"/>
        <v>4248</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453" t="s">
        <v>3440</v>
      </c>
      <c r="C30" s="31">
        <v>1</v>
      </c>
      <c r="D30" s="1625" t="s">
        <v>3454</v>
      </c>
      <c r="E30" s="32">
        <f t="shared" si="7"/>
        <v>141.86000000000001</v>
      </c>
      <c r="F30" s="33"/>
      <c r="G30" s="34">
        <f t="shared" si="8"/>
        <v>97.77</v>
      </c>
      <c r="H30" s="35">
        <f t="shared" si="9"/>
        <v>97.77</v>
      </c>
      <c r="I30" s="36">
        <v>97.77</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t="str">
        <f t="shared" si="12"/>
        <v>门卫二</v>
      </c>
      <c r="AX30" s="1343">
        <f t="shared" si="13"/>
        <v>1</v>
      </c>
      <c r="AY30" s="39">
        <f t="shared" si="14"/>
        <v>141.86000000000001</v>
      </c>
      <c r="AZ30" s="32">
        <f t="shared" si="15"/>
        <v>97.77</v>
      </c>
      <c r="BA30" s="32">
        <f t="shared" si="16"/>
        <v>97.77</v>
      </c>
      <c r="BB30" s="32">
        <f t="shared" si="17"/>
        <v>97.77</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3454" t="s">
        <v>3441</v>
      </c>
      <c r="B31" s="31" t="s">
        <v>3442</v>
      </c>
      <c r="C31" s="31">
        <v>1</v>
      </c>
      <c r="D31" s="1625" t="s">
        <v>3454</v>
      </c>
      <c r="E31" s="32">
        <f t="shared" si="7"/>
        <v>23267.040000000001</v>
      </c>
      <c r="F31" s="33"/>
      <c r="G31" s="34">
        <f t="shared" si="8"/>
        <v>16036.18</v>
      </c>
      <c r="H31" s="35">
        <f t="shared" si="9"/>
        <v>16036.18</v>
      </c>
      <c r="I31" s="36">
        <v>16036.18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t="str">
        <f t="shared" si="11"/>
        <v>三期</v>
      </c>
      <c r="AW31" s="1343" t="str">
        <f t="shared" si="12"/>
        <v>厂房10</v>
      </c>
      <c r="AX31" s="1343">
        <f t="shared" si="13"/>
        <v>1</v>
      </c>
      <c r="AY31" s="39">
        <f t="shared" si="14"/>
        <v>23267.040000000001</v>
      </c>
      <c r="AZ31" s="32">
        <f t="shared" si="15"/>
        <v>16036.18</v>
      </c>
      <c r="BA31" s="32">
        <f t="shared" si="16"/>
        <v>16036.18</v>
      </c>
      <c r="BB31" s="32">
        <f t="shared" si="17"/>
        <v>16036.18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v>74684.639999999999</v>
      </c>
      <c r="B32" s="31" t="s">
        <v>3443</v>
      </c>
      <c r="C32" s="2438" t="s">
        <v>3433</v>
      </c>
      <c r="D32" s="1625" t="s">
        <v>3454</v>
      </c>
      <c r="E32" s="32">
        <f t="shared" si="7"/>
        <v>32972.32</v>
      </c>
      <c r="F32" s="33"/>
      <c r="G32" s="34">
        <f t="shared" si="8"/>
        <v>22725.279999999999</v>
      </c>
      <c r="H32" s="35">
        <f t="shared" si="9"/>
        <v>22725.279999999999</v>
      </c>
      <c r="I32" s="36">
        <v>22725.279999999999</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74684.639999999999</v>
      </c>
      <c r="AW32" s="1343" t="str">
        <f t="shared" si="12"/>
        <v>厂房11</v>
      </c>
      <c r="AX32" s="1343" t="str">
        <f t="shared" si="13"/>
        <v>1-3</v>
      </c>
      <c r="AY32" s="39">
        <f t="shared" si="14"/>
        <v>32972.32</v>
      </c>
      <c r="AZ32" s="32">
        <f t="shared" si="15"/>
        <v>22725.279999999999</v>
      </c>
      <c r="BA32" s="32">
        <f t="shared" si="16"/>
        <v>22725.279999999999</v>
      </c>
      <c r="BB32" s="32">
        <f t="shared" si="17"/>
        <v>22725.279999999999</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t="s">
        <v>3444</v>
      </c>
      <c r="C33" s="2438" t="s">
        <v>3433</v>
      </c>
      <c r="D33" s="1625" t="s">
        <v>3454</v>
      </c>
      <c r="E33" s="32">
        <f t="shared" si="7"/>
        <v>27147.65</v>
      </c>
      <c r="F33" s="33"/>
      <c r="G33" s="34">
        <f t="shared" si="8"/>
        <v>18710.78</v>
      </c>
      <c r="H33" s="35">
        <f t="shared" si="9"/>
        <v>18710.78</v>
      </c>
      <c r="I33" s="36">
        <v>18710.78</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t="str">
        <f t="shared" si="12"/>
        <v>厂房12</v>
      </c>
      <c r="AX33" s="1343" t="str">
        <f t="shared" si="13"/>
        <v>1-3</v>
      </c>
      <c r="AY33" s="39">
        <f t="shared" si="14"/>
        <v>27147.65</v>
      </c>
      <c r="AZ33" s="32">
        <f t="shared" si="15"/>
        <v>18710.78</v>
      </c>
      <c r="BA33" s="32">
        <f t="shared" si="16"/>
        <v>18710.78</v>
      </c>
      <c r="BB33" s="32">
        <f t="shared" si="17"/>
        <v>18710.78</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t="s">
        <v>3445</v>
      </c>
      <c r="C34" s="31">
        <v>1</v>
      </c>
      <c r="D34" s="1625" t="s">
        <v>3454</v>
      </c>
      <c r="E34" s="32">
        <f t="shared" si="7"/>
        <v>19401.2</v>
      </c>
      <c r="F34" s="33"/>
      <c r="G34" s="34">
        <f t="shared" si="8"/>
        <v>13371.75</v>
      </c>
      <c r="H34" s="35">
        <f t="shared" si="9"/>
        <v>13371.75</v>
      </c>
      <c r="I34" s="36">
        <v>13371.75</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t="str">
        <f t="shared" si="12"/>
        <v>厂房13</v>
      </c>
      <c r="AX34" s="1343">
        <f t="shared" si="13"/>
        <v>1</v>
      </c>
      <c r="AY34" s="39">
        <f t="shared" si="14"/>
        <v>19401.2</v>
      </c>
      <c r="AZ34" s="32">
        <f t="shared" si="15"/>
        <v>13371.75</v>
      </c>
      <c r="BA34" s="32">
        <f t="shared" si="16"/>
        <v>13371.75</v>
      </c>
      <c r="BB34" s="32">
        <f t="shared" si="17"/>
        <v>13371.75</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t="s">
        <v>3446</v>
      </c>
      <c r="C35" s="31">
        <v>1</v>
      </c>
      <c r="D35" s="1625" t="s">
        <v>3454</v>
      </c>
      <c r="E35" s="32">
        <f t="shared" si="7"/>
        <v>46.99</v>
      </c>
      <c r="F35" s="33"/>
      <c r="G35" s="34">
        <f t="shared" si="8"/>
        <v>32.39</v>
      </c>
      <c r="H35" s="35">
        <f t="shared" si="9"/>
        <v>32.39</v>
      </c>
      <c r="I35" s="36">
        <v>32.39</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t="str">
        <f t="shared" si="12"/>
        <v>门卫3</v>
      </c>
      <c r="AX35" s="1343">
        <f t="shared" si="13"/>
        <v>1</v>
      </c>
      <c r="AY35" s="39">
        <f t="shared" si="14"/>
        <v>46.99</v>
      </c>
      <c r="AZ35" s="32">
        <f t="shared" si="15"/>
        <v>32.39</v>
      </c>
      <c r="BA35" s="32">
        <f t="shared" si="16"/>
        <v>32.39</v>
      </c>
      <c r="BB35" s="32">
        <f t="shared" si="17"/>
        <v>32.39</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t="s">
        <v>3447</v>
      </c>
      <c r="C36" s="31">
        <v>1</v>
      </c>
      <c r="D36" s="1625" t="s">
        <v>3454</v>
      </c>
      <c r="E36" s="32">
        <f t="shared" si="7"/>
        <v>46.99</v>
      </c>
      <c r="F36" s="33"/>
      <c r="G36" s="34">
        <f t="shared" si="8"/>
        <v>32.39</v>
      </c>
      <c r="H36" s="35">
        <f t="shared" si="9"/>
        <v>32.39</v>
      </c>
      <c r="I36" s="36">
        <v>32.39</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t="str">
        <f t="shared" si="12"/>
        <v>门卫4</v>
      </c>
      <c r="AX36" s="1343">
        <f t="shared" si="13"/>
        <v>1</v>
      </c>
      <c r="AY36" s="39">
        <f t="shared" si="14"/>
        <v>46.99</v>
      </c>
      <c r="AZ36" s="32">
        <f t="shared" si="15"/>
        <v>32.39</v>
      </c>
      <c r="BA36" s="32">
        <f t="shared" si="16"/>
        <v>32.39</v>
      </c>
      <c r="BB36" s="32">
        <f t="shared" si="17"/>
        <v>32.39</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t="s">
        <v>3448</v>
      </c>
      <c r="C37" s="31">
        <v>1</v>
      </c>
      <c r="D37" s="1625" t="s">
        <v>3454</v>
      </c>
      <c r="E37" s="32">
        <f t="shared" si="7"/>
        <v>823.52</v>
      </c>
      <c r="F37" s="33"/>
      <c r="G37" s="34">
        <f t="shared" si="8"/>
        <v>567.59</v>
      </c>
      <c r="H37" s="35">
        <f t="shared" si="9"/>
        <v>567.59</v>
      </c>
      <c r="I37" s="36">
        <v>567.59</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t="str">
        <f t="shared" si="12"/>
        <v>库房4</v>
      </c>
      <c r="AX37" s="1343">
        <f t="shared" si="13"/>
        <v>1</v>
      </c>
      <c r="AY37" s="39">
        <f t="shared" si="14"/>
        <v>823.52</v>
      </c>
      <c r="AZ37" s="32">
        <f t="shared" si="15"/>
        <v>567.59</v>
      </c>
      <c r="BA37" s="32">
        <f t="shared" si="16"/>
        <v>567.59</v>
      </c>
      <c r="BB37" s="32">
        <f t="shared" si="17"/>
        <v>567.59</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t="s">
        <v>3449</v>
      </c>
      <c r="C38" s="31">
        <v>1</v>
      </c>
      <c r="D38" s="1625" t="s">
        <v>3454</v>
      </c>
      <c r="E38" s="32">
        <f t="shared" si="7"/>
        <v>554.70000000000005</v>
      </c>
      <c r="F38" s="33"/>
      <c r="G38" s="34">
        <f t="shared" si="8"/>
        <v>382.31</v>
      </c>
      <c r="H38" s="35">
        <f t="shared" si="9"/>
        <v>382.31</v>
      </c>
      <c r="I38" s="36">
        <v>382.31</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t="str">
        <f t="shared" si="12"/>
        <v>库房5</v>
      </c>
      <c r="AX38" s="1343">
        <f t="shared" si="13"/>
        <v>1</v>
      </c>
      <c r="AY38" s="39">
        <f t="shared" si="14"/>
        <v>554.70000000000005</v>
      </c>
      <c r="AZ38" s="32">
        <f t="shared" si="15"/>
        <v>382.31</v>
      </c>
      <c r="BA38" s="32">
        <f t="shared" si="16"/>
        <v>382.31</v>
      </c>
      <c r="BB38" s="32">
        <f t="shared" si="17"/>
        <v>382.31</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t="s">
        <v>3450</v>
      </c>
      <c r="C39" s="31">
        <v>1</v>
      </c>
      <c r="D39" s="1625" t="s">
        <v>3454</v>
      </c>
      <c r="E39" s="32">
        <f t="shared" si="7"/>
        <v>338.11</v>
      </c>
      <c r="F39" s="33"/>
      <c r="G39" s="34">
        <f t="shared" si="8"/>
        <v>233.03</v>
      </c>
      <c r="H39" s="35">
        <f t="shared" si="9"/>
        <v>233.03</v>
      </c>
      <c r="I39" s="36">
        <v>233.03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t="str">
        <f t="shared" si="12"/>
        <v>库房6</v>
      </c>
      <c r="AX39" s="1343">
        <f t="shared" si="13"/>
        <v>1</v>
      </c>
      <c r="AY39" s="39">
        <f t="shared" si="14"/>
        <v>338.11</v>
      </c>
      <c r="AZ39" s="32">
        <f t="shared" si="15"/>
        <v>233.03</v>
      </c>
      <c r="BA39" s="32">
        <f t="shared" si="16"/>
        <v>233.03</v>
      </c>
      <c r="BB39" s="32">
        <f t="shared" si="17"/>
        <v>233.03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ht="28.5">
      <c r="A40" s="6"/>
      <c r="B40" s="3453" t="s">
        <v>3451</v>
      </c>
      <c r="C40" s="3455" t="s">
        <v>3453</v>
      </c>
      <c r="D40" s="1625" t="s">
        <v>3454</v>
      </c>
      <c r="E40" s="32">
        <f t="shared" si="7"/>
        <v>2937.08</v>
      </c>
      <c r="F40" s="33"/>
      <c r="G40" s="34">
        <f t="shared" si="8"/>
        <v>2024.3</v>
      </c>
      <c r="H40" s="35">
        <f t="shared" si="9"/>
        <v>2024.3</v>
      </c>
      <c r="I40" s="36">
        <v>2024.3</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t="str">
        <f t="shared" si="12"/>
        <v>余热发电机房</v>
      </c>
      <c r="AX40" s="1343" t="str">
        <f t="shared" si="13"/>
        <v>1-4</v>
      </c>
      <c r="AY40" s="39">
        <f t="shared" si="14"/>
        <v>2937.08</v>
      </c>
      <c r="AZ40" s="32">
        <f t="shared" si="15"/>
        <v>2024.3</v>
      </c>
      <c r="BA40" s="32">
        <f t="shared" si="16"/>
        <v>2024.3</v>
      </c>
      <c r="BB40" s="32">
        <f t="shared" si="17"/>
        <v>2024.3</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28.5">
      <c r="A41" s="6"/>
      <c r="B41" s="3453" t="s">
        <v>3452</v>
      </c>
      <c r="C41" s="31">
        <v>2</v>
      </c>
      <c r="D41" s="1625" t="s">
        <v>3454</v>
      </c>
      <c r="E41" s="32">
        <f t="shared" si="7"/>
        <v>825.05</v>
      </c>
      <c r="F41" s="33"/>
      <c r="G41" s="34">
        <f t="shared" si="8"/>
        <v>568.64</v>
      </c>
      <c r="H41" s="35">
        <f t="shared" si="9"/>
        <v>568.64</v>
      </c>
      <c r="I41" s="36">
        <v>568.64</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t="str">
        <f t="shared" si="12"/>
        <v>余热发电泵房</v>
      </c>
      <c r="AX41" s="1343">
        <f t="shared" si="13"/>
        <v>2</v>
      </c>
      <c r="AY41" s="39">
        <f t="shared" si="14"/>
        <v>825.05</v>
      </c>
      <c r="AZ41" s="32">
        <f t="shared" si="15"/>
        <v>568.64</v>
      </c>
      <c r="BA41" s="32">
        <f t="shared" si="16"/>
        <v>568.64</v>
      </c>
      <c r="BB41" s="32">
        <f t="shared" si="17"/>
        <v>568.64</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9"/>
      <c r="G2" s="2650"/>
      <c r="H2" s="2651"/>
      <c r="I2" s="2325" t="s">
        <v>1132</v>
      </c>
      <c r="J2" s="2659"/>
      <c r="K2" s="2659"/>
      <c r="L2" s="2659"/>
      <c r="M2" s="2659"/>
      <c r="N2" s="2661"/>
      <c r="O2" s="2659"/>
      <c r="P2" s="2659"/>
    </row>
    <row r="3" spans="1:16" ht="15.75" thickBot="1">
      <c r="A3" s="3542" t="s">
        <v>1105</v>
      </c>
      <c r="B3" s="3542"/>
      <c r="C3" s="3542"/>
      <c r="D3" s="43">
        <f>'数据-基础表'!AY6</f>
        <v>368153.3</v>
      </c>
      <c r="E3" s="43">
        <f>'数据-基础表'!AZ5</f>
        <v>253739.7</v>
      </c>
      <c r="F3" s="2659"/>
      <c r="G3" s="1145"/>
      <c r="H3" s="1026" t="s">
        <v>1106</v>
      </c>
      <c r="I3" s="855">
        <f>ROUND('数据-基础表'!B3/'数据-基础表'!A3,2)</f>
        <v>0.69</v>
      </c>
      <c r="J3" s="2659"/>
      <c r="K3" s="2659"/>
      <c r="L3" s="2659"/>
      <c r="M3" s="2659"/>
      <c r="N3" s="2661"/>
      <c r="O3" s="2659"/>
      <c r="P3" s="2659"/>
    </row>
    <row r="4" spans="1:16" ht="15">
      <c r="A4" s="3543"/>
      <c r="B4" s="3544"/>
      <c r="C4" s="3545"/>
      <c r="D4" s="1641" t="s">
        <v>1107</v>
      </c>
      <c r="E4" s="1642" t="s">
        <v>1108</v>
      </c>
      <c r="F4" s="2659"/>
      <c r="G4" s="2652" t="s">
        <v>1133</v>
      </c>
      <c r="H4" s="1026" t="s">
        <v>1113</v>
      </c>
      <c r="I4" s="855">
        <f>ROUND(SUMIF('数据-基础表'!I9:AS9,"地上",'数据-基础表'!I5:AS5)/'数据-基础表'!A3,2)</f>
        <v>0.69</v>
      </c>
      <c r="J4" s="2659"/>
      <c r="K4" s="2659"/>
      <c r="L4" s="2659"/>
      <c r="M4" s="2659"/>
      <c r="N4" s="2661"/>
      <c r="O4" s="2659"/>
      <c r="P4" s="2659"/>
    </row>
    <row r="5" spans="1:16">
      <c r="A5" s="44" t="s">
        <v>1109</v>
      </c>
      <c r="B5" s="3546" t="s">
        <v>1110</v>
      </c>
      <c r="C5" s="3546"/>
      <c r="D5" s="45">
        <f>ROUND($D$3*E5/$E$3,2)</f>
        <v>0</v>
      </c>
      <c r="E5" s="46">
        <f>SUMIF('数据-基础表'!$11:$11,"住宅",'数据-基础表'!$5:$5)</f>
        <v>0</v>
      </c>
      <c r="F5" s="2659"/>
      <c r="G5" s="1145"/>
      <c r="H5" s="1026" t="s">
        <v>1106</v>
      </c>
      <c r="I5" s="855">
        <f>ROUND(E31/D31,2)</f>
        <v>0.69</v>
      </c>
      <c r="J5" s="2659"/>
      <c r="K5" s="2659"/>
      <c r="L5" s="2659"/>
      <c r="M5" s="2659"/>
      <c r="N5" s="2659"/>
      <c r="O5" s="2659"/>
      <c r="P5" s="2659"/>
    </row>
    <row r="6" spans="1:16" ht="15" thickBot="1">
      <c r="A6" s="1644"/>
      <c r="B6" s="3546" t="s">
        <v>1111</v>
      </c>
      <c r="C6" s="3546"/>
      <c r="D6" s="45">
        <f>ROUND($D$3*E6/$E$3,2)</f>
        <v>368153.3</v>
      </c>
      <c r="E6" s="46">
        <f>E3-E5</f>
        <v>253739.7</v>
      </c>
      <c r="F6" s="2659"/>
      <c r="G6" s="2653" t="s">
        <v>1112</v>
      </c>
      <c r="H6" s="1146" t="s">
        <v>1113</v>
      </c>
      <c r="I6" s="2654">
        <f>ROUND(F31/D31,2)</f>
        <v>0.69</v>
      </c>
      <c r="J6" s="2659"/>
      <c r="K6" s="2659"/>
      <c r="L6" s="2659"/>
      <c r="M6" s="2659"/>
      <c r="N6" s="2659"/>
      <c r="O6" s="2659"/>
      <c r="P6" s="2659"/>
    </row>
    <row r="7" spans="1:16" ht="15.75" thickBot="1">
      <c r="A7" s="3538"/>
      <c r="B7" s="3539"/>
      <c r="C7" s="354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367872.3</v>
      </c>
      <c r="E8" s="48">
        <f>SUMIF('数据-基础表'!BB10:BK10,"地上",'数据-基础表'!BB5:BK5)</f>
        <v>253546.02500000002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367872.3</v>
      </c>
      <c r="E16" s="50">
        <f>SUM(E8:E15)</f>
        <v>253546.02500000002</v>
      </c>
      <c r="F16" s="2659"/>
      <c r="G16" s="2660"/>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3455</v>
      </c>
      <c r="D19" s="45">
        <f>ROUND($D$3*E19/$E$3,2)</f>
        <v>368153.3</v>
      </c>
      <c r="E19" s="53">
        <f t="shared" ref="E19:E26" si="1">SUM(F19:G19)</f>
        <v>253739.7</v>
      </c>
      <c r="F19" s="2794">
        <f>'数据-基础表'!I5</f>
        <v>253546.02500000002</v>
      </c>
      <c r="G19" s="2795">
        <f>'数据-基础表'!K5</f>
        <v>193.67500000000001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368153.3</v>
      </c>
      <c r="S19" s="1027">
        <f t="shared" si="5"/>
        <v>253739.7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368153.3</v>
      </c>
      <c r="E27" s="1141">
        <f>IF(SUM(E19:E26)='数据-基础表'!BA5,SUM(E19:E26),IF(F27="地上面积有误","面积有误","地下面积有误"))</f>
        <v>253739.7</v>
      </c>
      <c r="F27" s="1140">
        <f>IF(SUM(F19:F26)=E8,SUM(F19:F26),"地上面积有误")</f>
        <v>253546.02500000002</v>
      </c>
      <c r="G27" s="1142">
        <f>SUM(G19:G26)</f>
        <v>193.67500000000001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368153.3</v>
      </c>
      <c r="S27" s="1026">
        <f>IF(SUM(S19:S26)=$E$3,SUM(S19:S26),SUM(S19:S26)&amp;"误差"&amp;ROUND(SUM(S19:S26)-E3,2))</f>
        <v>253739.7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368153.3</v>
      </c>
      <c r="E31" s="676">
        <f>E27+E30</f>
        <v>253739.7</v>
      </c>
      <c r="F31" s="677">
        <f>F27+F30</f>
        <v>253546.02500000002</v>
      </c>
      <c r="G31" s="678">
        <f>G27+G30</f>
        <v>193.67500000000001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9.8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62616</v>
      </c>
      <c r="F6" s="64">
        <f>SUMIF(项目基本情况!C$12:I$12,C6,项目基本情况!C$15:I$15)</f>
        <v>47.51</v>
      </c>
      <c r="G6" s="65">
        <f>IF(ISERROR(ROUND(POWER(1+H6,D6-F6)*(POWER(1+H6,F6)-1)/(POWER(1+H6,D6)-1),3)),0,ROUND(POWER(1+H6,D6-F6)*(POWER(1+H6,F6)-1)/(POWER(1+H6,D6)-1),3))</f>
        <v>0.98599999999999999</v>
      </c>
      <c r="H6" s="732">
        <v>4.4999999999999998E-2</v>
      </c>
      <c r="I6" s="732">
        <v>0.06</v>
      </c>
      <c r="J6" s="66">
        <v>7.0000000000000007E-2</v>
      </c>
      <c r="K6" s="1030">
        <f>SUMIF('数据-汇总表'!C$19:C$33,A6,'数据-汇总表'!E$19:E$33)</f>
        <v>253739.7</v>
      </c>
      <c r="L6" s="733">
        <v>2500</v>
      </c>
      <c r="M6" s="67">
        <f t="shared" ref="M6:M14" si="0">ROUND(K6*L6/10000,0)</f>
        <v>63435</v>
      </c>
      <c r="N6" s="731">
        <f>O21</f>
        <v>0.92</v>
      </c>
      <c r="O6" s="67">
        <f>IF($N$5="成新度","——",ROUND(M6*N6,0))</f>
        <v>58360</v>
      </c>
      <c r="P6" s="68">
        <f>IF($N$5="成新度","——",M6-O6)</f>
        <v>5075</v>
      </c>
      <c r="Q6" s="734">
        <v>0.05</v>
      </c>
      <c r="R6" s="69">
        <f ca="1">SUMIF('数据-汇总表'!C$19:C$33,A6,'数据-汇总表'!R$19:R$27)</f>
        <v>368153.3</v>
      </c>
      <c r="S6" s="51">
        <f>IF('数据-汇总表'!$I$17="按面积比例",SUMIF('数据-汇总表'!C$19:C$33,A6,'数据-汇总表'!K$19:K$33),SUMIF('数据-汇总表'!C$19:C$33,A6,'数据-汇总表'!N$19:N$33))</f>
        <v>0</v>
      </c>
      <c r="T6" s="1172">
        <f>ROUND($L$14*S6/10000,0)</f>
        <v>0</v>
      </c>
      <c r="U6" s="3427">
        <f>U24</f>
        <v>0.49</v>
      </c>
      <c r="V6" s="70">
        <v>0</v>
      </c>
      <c r="W6" s="70">
        <v>0.1</v>
      </c>
      <c r="X6" s="1040"/>
      <c r="Y6" s="71">
        <v>1</v>
      </c>
      <c r="Z6" s="72"/>
      <c r="AA6" s="66"/>
      <c r="AB6" s="66"/>
      <c r="AC6" s="1040"/>
      <c r="AD6" s="73"/>
      <c r="AE6" s="1041">
        <f ca="1">IF(AN6="",0,SUMIF(INDIRECT("'"&amp;AN6&amp;"'"&amp;"!E:E"),$AE$5,INDIRECT("'"&amp;AN6&amp;"'"&amp;"!F:F")))</f>
        <v>47.35</v>
      </c>
      <c r="AF6" s="1348"/>
      <c r="AG6" s="138">
        <f>IF(AF6="",0,AE6-AF6)</f>
        <v>0</v>
      </c>
      <c r="AH6" s="74"/>
      <c r="AI6" s="76">
        <v>365</v>
      </c>
      <c r="AJ6" s="77"/>
      <c r="AK6" s="78">
        <v>5.0000000000000001E-3</v>
      </c>
      <c r="AL6" s="79">
        <v>1E-3</v>
      </c>
      <c r="AM6" s="80">
        <v>5.0000000000000001E-3</v>
      </c>
      <c r="AN6" s="1715" t="s">
        <v>3460</v>
      </c>
      <c r="AO6" s="52">
        <f ca="1">SUMIF(INDIRECT("'"&amp;AN6&amp;"'"&amp;"!A:A"),"总价",INDIRECT("'"&amp;AN6&amp;"'"&amp;"!B:B"))</f>
        <v>78457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0.98599999999999999</v>
      </c>
      <c r="H16" s="90">
        <f>ROUND(SUMPRODUCT(H6:H13,K6:K13)/SUMPRODUCT((H6:H13&gt;0)*(K6:K13)),3)</f>
        <v>4.4999999999999998E-2</v>
      </c>
      <c r="I16" s="91"/>
      <c r="J16" s="91"/>
      <c r="K16" s="92">
        <f>SUM(K6:K15)</f>
        <v>253739.7</v>
      </c>
      <c r="L16" s="93">
        <f>ROUND(M16*10000/SUM(K6:K14),0)</f>
        <v>2500</v>
      </c>
      <c r="M16" s="93">
        <f>SUM(M6:M14)</f>
        <v>63435</v>
      </c>
      <c r="N16" s="94">
        <f>ROUND(SUMPRODUCT(M6:M14,N6:N14)/M16,3)</f>
        <v>0.92</v>
      </c>
      <c r="O16" s="93">
        <f>SUM(O6:O14)</f>
        <v>58360</v>
      </c>
      <c r="P16" s="93">
        <f>SUM(P6:P14)</f>
        <v>5075</v>
      </c>
      <c r="Q16" s="95">
        <f>ROUND(SUMPRODUCT(Q6:Q13,K6:K13)/SUMPRODUCT((Q6:Q13&gt;0)*(K6:K13)),2)</f>
        <v>0.05</v>
      </c>
      <c r="R16" s="1034">
        <f ca="1">SUM(R6:R13)</f>
        <v>368153.3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6" t="s">
        <v>3456</v>
      </c>
      <c r="N18" s="3457">
        <v>0.99</v>
      </c>
      <c r="O18" s="2670">
        <f>'数据-基础表'!A14</f>
        <v>47218.12</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3456" t="s">
        <v>3457</v>
      </c>
      <c r="N19" s="3457">
        <v>0.9</v>
      </c>
      <c r="O19" s="2670">
        <f>'数据-基础表'!A18</f>
        <v>131836.94</v>
      </c>
      <c r="P19" s="2670"/>
      <c r="Q19" s="2670"/>
      <c r="R19" s="2670"/>
      <c r="S19" s="2670"/>
      <c r="T19" s="3456" t="s">
        <v>3465</v>
      </c>
      <c r="U19" s="3456" t="s">
        <v>3466</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2302</v>
      </c>
      <c r="D20" s="2675"/>
      <c r="E20" s="2672"/>
      <c r="F20" s="2672"/>
      <c r="G20" s="2672"/>
      <c r="H20" s="2672"/>
      <c r="I20" s="2672"/>
      <c r="J20" s="2672"/>
      <c r="K20" s="2671"/>
      <c r="L20" s="2671"/>
      <c r="M20" s="3456" t="s">
        <v>3458</v>
      </c>
      <c r="N20" s="3457">
        <f>N19</f>
        <v>0.9</v>
      </c>
      <c r="O20" s="2670">
        <f>'数据-基础表'!A32</f>
        <v>74684.639999999999</v>
      </c>
      <c r="P20" s="2670"/>
      <c r="Q20" s="2670"/>
      <c r="R20" s="2670"/>
      <c r="S20" s="3456" t="s">
        <v>3461</v>
      </c>
      <c r="T20" s="2670">
        <f>'数据-基础表'!I13+'数据-基础表'!I14+'数据-基础表'!I17+'数据-基础表'!I18+'数据-基础表'!I19+'数据-基础表'!I20+'数据-基础表'!I21+'数据-基础表'!I22+'数据-基础表'!I23+'数据-基础表'!I31+'数据-基础表'!I32+'数据-基础表'!I33+'数据-基础表'!I34</f>
        <v>235345.49</v>
      </c>
      <c r="U20" s="3456">
        <v>0.5</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ROUND(B20*N16,2)</f>
        <v>1.84</v>
      </c>
      <c r="C21" s="2672"/>
      <c r="D21" s="2675"/>
      <c r="E21" s="2672"/>
      <c r="F21" s="2672"/>
      <c r="G21" s="2672"/>
      <c r="H21" s="2672"/>
      <c r="I21" s="2672"/>
      <c r="J21" s="2672"/>
      <c r="K21" s="2671"/>
      <c r="L21" s="2671"/>
      <c r="M21" s="2670"/>
      <c r="N21" s="2670"/>
      <c r="O21" s="2670">
        <f>ROUND(O18/K16*N18+O19/K16*N19+O20/K16*N20,2)</f>
        <v>0.92</v>
      </c>
      <c r="P21" s="2670"/>
      <c r="Q21" s="2670"/>
      <c r="R21" s="2670"/>
      <c r="S21" s="3456" t="s">
        <v>3463</v>
      </c>
      <c r="T21" s="2670">
        <f>'数据-基础表'!I27</f>
        <v>3947.8</v>
      </c>
      <c r="U21" s="2670">
        <v>1</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3456" t="s">
        <v>3462</v>
      </c>
      <c r="T22" s="2670">
        <f>'数据-基础表'!I24+'数据-基础表'!I25+'数据-基础表'!I26+'数据-基础表'!I37+'数据-基础表'!I38+'数据-基础表'!I39</f>
        <v>3974.9900000000007</v>
      </c>
      <c r="U22" s="2670">
        <f>U20</f>
        <v>0.5</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1.84</v>
      </c>
      <c r="C23" s="2672"/>
      <c r="D23" s="2675"/>
      <c r="E23" s="2672"/>
      <c r="F23" s="2672"/>
      <c r="G23" s="2672"/>
      <c r="H23" s="2672"/>
      <c r="I23" s="2672"/>
      <c r="J23" s="2672"/>
      <c r="K23" s="2671"/>
      <c r="L23" s="2671"/>
      <c r="M23" s="2670"/>
      <c r="N23" s="2670"/>
      <c r="O23" s="2670"/>
      <c r="P23" s="2670"/>
      <c r="Q23" s="2670"/>
      <c r="R23" s="2670"/>
      <c r="S23" s="3456" t="s">
        <v>3464</v>
      </c>
      <c r="T23" s="2670">
        <f>'数据-基础表'!I15+'数据-基础表'!I16+'数据-基础表'!I28+'数据-基础表'!I29+'数据-基础表'!I30+'数据-基础表'!I35+'数据-基础表'!I36+'数据-基础表'!I40+'数据-基础表'!I41+'数据-基础表'!K16</f>
        <v>10471.42</v>
      </c>
      <c r="U23" s="2670">
        <v>0</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0.15999999999999992</v>
      </c>
      <c r="C24" s="2672"/>
      <c r="D24" s="2675"/>
      <c r="E24" s="2672"/>
      <c r="F24" s="2672"/>
      <c r="G24" s="2672"/>
      <c r="H24" s="2672"/>
      <c r="I24" s="2672"/>
      <c r="J24" s="2672"/>
      <c r="K24" s="2671"/>
      <c r="L24" s="2671"/>
      <c r="M24" s="2670"/>
      <c r="N24" s="2670"/>
      <c r="O24" s="2670"/>
      <c r="P24" s="2670"/>
      <c r="Q24" s="2670"/>
      <c r="R24" s="2670"/>
      <c r="S24" s="2670"/>
      <c r="T24" s="2670">
        <f>SUM(T20:T23)</f>
        <v>253739.69999999998</v>
      </c>
      <c r="U24" s="2670">
        <f>ROUND(U20*T20/T24+U21*T21/T24+U22*T22/T24+U23*T23/T24,2)</f>
        <v>0.49</v>
      </c>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2306</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3457"/>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2293</v>
      </c>
      <c r="D29" s="2678"/>
      <c r="E29" s="2661"/>
      <c r="F29" s="2661"/>
      <c r="G29" s="2672"/>
      <c r="H29" s="2672"/>
      <c r="I29" s="2672"/>
      <c r="J29" s="2672"/>
      <c r="K29" s="2671"/>
      <c r="L29" s="2671"/>
      <c r="M29" s="2670"/>
      <c r="N29" s="2670"/>
      <c r="O29" s="3457"/>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150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8" sqref="L28"/>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7" t="s">
        <v>2285</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253739.7</v>
      </c>
      <c r="C1" s="2685"/>
      <c r="D1" s="2685"/>
      <c r="E1" s="2685"/>
      <c r="F1" s="2685"/>
      <c r="G1" s="2686"/>
      <c r="H1" s="2687"/>
      <c r="I1" s="2687"/>
      <c r="J1" s="2687"/>
      <c r="K1" s="2687"/>
    </row>
    <row r="2" spans="1:11" ht="16.5">
      <c r="A2" s="2512" t="s">
        <v>653</v>
      </c>
      <c r="B2" s="2512">
        <f>SUM(C14:C23)</f>
        <v>368153.3</v>
      </c>
      <c r="C2" s="2685"/>
      <c r="D2" s="2685"/>
      <c r="E2" s="2685"/>
      <c r="F2" s="2685"/>
      <c r="G2" s="2686"/>
      <c r="H2" s="2687"/>
      <c r="I2" s="2687"/>
      <c r="J2" s="2687"/>
      <c r="K2" s="2687"/>
    </row>
    <row r="3" spans="1:11" ht="16.5">
      <c r="A3" s="2512" t="s">
        <v>662</v>
      </c>
      <c r="B3" s="2514">
        <f>项目基本情况!D3</f>
        <v>45274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74631</v>
      </c>
      <c r="C5" s="2512">
        <f ca="1">IF(B5=D14,结果表!H102,ROUND(B5*10000/$B$1,0))</f>
        <v>2941</v>
      </c>
      <c r="D5" s="2512">
        <f ca="1">ROUND(B5*10000/$B$2,0)</f>
        <v>2027</v>
      </c>
      <c r="E5" s="2685"/>
      <c r="F5" s="2686"/>
      <c r="G5" s="2686"/>
      <c r="H5" s="2687"/>
      <c r="I5" s="2687"/>
      <c r="J5" s="2687"/>
      <c r="K5" s="2687"/>
    </row>
    <row r="6" spans="1:11" ht="16.5">
      <c r="A6" s="2512" t="s">
        <v>656</v>
      </c>
      <c r="B6" s="2512">
        <f ca="1">SUM(G14:G23)</f>
        <v>74631</v>
      </c>
      <c r="C6" s="2512">
        <f ca="1">IF(B6=G14,结果表!H108,ROUND(B6*10000/$B$1,0))</f>
        <v>2941</v>
      </c>
      <c r="D6" s="2512">
        <f ca="1">ROUND(B6*10000/$B$2,0)</f>
        <v>2027</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SUM(I14:I23)</f>
        <v>0</v>
      </c>
      <c r="C8" s="2512" t="str">
        <f>IF(B8=I14,结果表!H112,ROUND(B8*10000/$B$1,0))</f>
        <v>——</v>
      </c>
      <c r="D8" s="2512">
        <f>ROUND(B8*10000/$B$2,0)</f>
        <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3359</v>
      </c>
      <c r="D10" s="2512" t="s">
        <v>3360</v>
      </c>
      <c r="E10" s="3440"/>
      <c r="F10" s="3444" t="s">
        <v>3361</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253739.7</v>
      </c>
      <c r="C14" s="2518">
        <f>结果表!C118</f>
        <v>368153.3</v>
      </c>
      <c r="D14" s="2518">
        <f ca="1">结果表!H118</f>
        <v>74631</v>
      </c>
      <c r="E14" s="2518">
        <f ca="1">ROUND(D14*10000/B14,0)</f>
        <v>2941</v>
      </c>
      <c r="F14" s="2518">
        <f ca="1">ROUND(D14*10000/C14,0)</f>
        <v>2027</v>
      </c>
      <c r="G14" s="2518">
        <f ca="1">D14</f>
        <v>74631</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3610</v>
      </c>
      <c r="H1" s="1750" t="str">
        <f>IF(G1="现房","——","估价对象范围")</f>
        <v>估价对象范围</v>
      </c>
      <c r="I1" s="1751" t="s">
        <v>3611</v>
      </c>
    </row>
    <row r="2" spans="1:12" ht="21.75" customHeight="1" thickBot="1">
      <c r="A2" s="3583" t="str">
        <f>项目基本情况!S2</f>
        <v>四川省绵阳市江油市工业用房出让国有建设用地使用权及在建建筑物房地产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4" t="s">
        <v>1265</v>
      </c>
      <c r="B4" s="1755" t="s">
        <v>1266</v>
      </c>
      <c r="C4" s="1756" t="s">
        <v>3608</v>
      </c>
      <c r="D4" s="1756" t="s">
        <v>3609</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3" t="s">
        <v>1268</v>
      </c>
      <c r="B5" s="3550">
        <v>25</v>
      </c>
      <c r="C5" s="3566"/>
      <c r="D5" s="3586"/>
      <c r="E5" s="131" t="s">
        <v>1269</v>
      </c>
      <c r="F5" s="1757"/>
      <c r="G5" s="1757"/>
      <c r="H5" s="1757"/>
      <c r="I5" s="1373"/>
    </row>
    <row r="6" spans="1:12" ht="12.75">
      <c r="A6" s="3563"/>
      <c r="B6" s="3550"/>
      <c r="C6" s="3567"/>
      <c r="D6" s="3586"/>
      <c r="E6" s="131" t="s">
        <v>1270</v>
      </c>
      <c r="F6" s="1757"/>
      <c r="G6" s="1757"/>
      <c r="H6" s="1757"/>
      <c r="I6" s="1373"/>
    </row>
    <row r="7" spans="1:12" ht="12.75">
      <c r="A7" s="3563"/>
      <c r="B7" s="3550"/>
      <c r="C7" s="3568"/>
      <c r="D7" s="3586"/>
      <c r="E7" s="131" t="s">
        <v>1271</v>
      </c>
      <c r="F7" s="1757"/>
      <c r="G7" s="1757"/>
      <c r="H7" s="1757"/>
      <c r="I7" s="1373"/>
    </row>
    <row r="8" spans="1:12" ht="12.75">
      <c r="A8" s="3563" t="s">
        <v>1272</v>
      </c>
      <c r="B8" s="3550">
        <v>15</v>
      </c>
      <c r="C8" s="3566"/>
      <c r="D8" s="3586"/>
      <c r="E8" s="131" t="s">
        <v>1273</v>
      </c>
      <c r="F8" s="1757"/>
      <c r="G8" s="1757"/>
      <c r="H8" s="1757"/>
      <c r="I8" s="1373"/>
    </row>
    <row r="9" spans="1:12" ht="12.75">
      <c r="A9" s="3563"/>
      <c r="B9" s="3550"/>
      <c r="C9" s="3568"/>
      <c r="D9" s="3586"/>
      <c r="E9" s="131" t="s">
        <v>1274</v>
      </c>
      <c r="F9" s="1757"/>
      <c r="G9" s="1757"/>
      <c r="H9" s="1757"/>
      <c r="I9" s="1373"/>
    </row>
    <row r="10" spans="1:12" ht="12.75">
      <c r="A10" s="3563" t="s">
        <v>1275</v>
      </c>
      <c r="B10" s="3550">
        <v>15</v>
      </c>
      <c r="C10" s="3566"/>
      <c r="D10" s="3586"/>
      <c r="E10" s="131" t="s">
        <v>1276</v>
      </c>
      <c r="F10" s="1757"/>
      <c r="G10" s="1757"/>
      <c r="H10" s="1757"/>
      <c r="I10" s="1373"/>
    </row>
    <row r="11" spans="1:12" ht="12.75">
      <c r="A11" s="3563"/>
      <c r="B11" s="3550"/>
      <c r="C11" s="3568"/>
      <c r="D11" s="3586"/>
      <c r="E11" s="131" t="s">
        <v>1277</v>
      </c>
      <c r="F11" s="1757"/>
      <c r="G11" s="1757"/>
      <c r="H11" s="1757"/>
      <c r="I11" s="1373"/>
    </row>
    <row r="12" spans="1:12" ht="12.75">
      <c r="A12" s="3563" t="s">
        <v>1278</v>
      </c>
      <c r="B12" s="3550">
        <v>15</v>
      </c>
      <c r="C12" s="3566"/>
      <c r="D12" s="3586"/>
      <c r="E12" s="131" t="s">
        <v>1279</v>
      </c>
      <c r="F12" s="1757"/>
      <c r="G12" s="1757"/>
      <c r="H12" s="1757"/>
      <c r="I12" s="1373"/>
    </row>
    <row r="13" spans="1:12" ht="12.75">
      <c r="A13" s="3563"/>
      <c r="B13" s="3550"/>
      <c r="C13" s="3568"/>
      <c r="D13" s="3586"/>
      <c r="E13" s="131" t="s">
        <v>1280</v>
      </c>
      <c r="F13" s="1757"/>
      <c r="G13" s="1757"/>
      <c r="H13" s="1757"/>
      <c r="I13" s="1373"/>
    </row>
    <row r="14" spans="1:12" ht="12.75">
      <c r="A14" s="3563" t="s">
        <v>1281</v>
      </c>
      <c r="B14" s="3550">
        <v>30</v>
      </c>
      <c r="C14" s="3566">
        <v>5</v>
      </c>
      <c r="D14" s="3586">
        <f>10-C14</f>
        <v>5</v>
      </c>
      <c r="E14" s="131" t="s">
        <v>1282</v>
      </c>
      <c r="F14" s="1757"/>
      <c r="G14" s="1757"/>
      <c r="H14" s="1757"/>
      <c r="I14" s="1373"/>
    </row>
    <row r="15" spans="1:12" ht="12.75">
      <c r="A15" s="3563"/>
      <c r="B15" s="3550"/>
      <c r="C15" s="3567"/>
      <c r="D15" s="3586"/>
      <c r="E15" s="131" t="s">
        <v>1283</v>
      </c>
      <c r="F15" s="1757"/>
      <c r="G15" s="1757"/>
      <c r="H15" s="1757"/>
      <c r="I15" s="1373"/>
    </row>
    <row r="16" spans="1:12" ht="12.75">
      <c r="A16" s="3563"/>
      <c r="B16" s="3550"/>
      <c r="C16" s="3568"/>
      <c r="D16" s="358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3" t="s">
        <v>2130</v>
      </c>
      <c r="F18" s="3574"/>
      <c r="G18" s="3574"/>
      <c r="H18" s="3574"/>
      <c r="I18" s="3574"/>
      <c r="K18" s="302" t="s">
        <v>1289</v>
      </c>
      <c r="L18" s="302">
        <f>IF(C1="",'数据-汇总表'!E3,SUMIF(项目类型,C1,'数据-汇总表'!E17:E26)+SUMIF(项目类型,C1,'数据-汇总表'!I17:I26))</f>
        <v>253739.7</v>
      </c>
      <c r="M18" s="302">
        <f>IF(C1="",'数据-汇总表'!E3,SUMIF(项目类型,C1,'数据-汇总表'!E17:E26))</f>
        <v>253739.7</v>
      </c>
    </row>
    <row r="19" spans="1:36" ht="15">
      <c r="A19" s="1761" t="s">
        <v>1290</v>
      </c>
      <c r="B19" s="1762" t="s">
        <v>1291</v>
      </c>
      <c r="C19" s="134">
        <f ca="1">SUMIF(INDIRECT("'"&amp;C4&amp;"'"&amp;"!A:A"),结果表!B19,INDIRECT("'"&amp;C4&amp;"'"&amp;"!B:B"))</f>
        <v>83609</v>
      </c>
      <c r="D19" s="135">
        <f ca="1">SUMIF(INDIRECT("'"&amp;D4&amp;"'"&amp;"!A:A"),结果表!B19,INDIRECT("'"&amp;D4&amp;"'"&amp;"!B:B"))</f>
        <v>65653</v>
      </c>
      <c r="E19" s="1761" t="s">
        <v>1292</v>
      </c>
      <c r="F19" s="1762" t="s">
        <v>1291</v>
      </c>
      <c r="G19" s="136">
        <f ca="1">ROUND(C19*$C$18+D19*$D$18,0)</f>
        <v>74631</v>
      </c>
      <c r="H19" s="1763" t="s">
        <v>1293</v>
      </c>
      <c r="I19" s="129"/>
      <c r="K19" s="302" t="s">
        <v>1294</v>
      </c>
      <c r="L19" s="302">
        <f>IF(C1="",'数据-汇总表'!D3,SUMIF(项目类型,C1,'数据-汇总表'!D17:D26)+SUMIF(项目类型,C1,'数据-汇总表'!H17:H27))</f>
        <v>368153.3</v>
      </c>
      <c r="M19" s="302">
        <f>IF(C1="",'数据-汇总表'!D3,SUMIF(项目类型,C1,'数据-汇总表'!D17:D26))</f>
        <v>368153.3</v>
      </c>
    </row>
    <row r="20" spans="1:36" ht="15">
      <c r="A20" s="1764"/>
      <c r="B20" s="1026" t="s">
        <v>1295</v>
      </c>
      <c r="C20" s="137">
        <f ca="1">SUMIF(INDIRECT("'"&amp;C4&amp;"'"&amp;"!A:A"),结果表!B20,INDIRECT("'"&amp;C4&amp;"'"&amp;"!B:B"))</f>
        <v>3295</v>
      </c>
      <c r="D20" s="138">
        <f ca="1">SUMIF(INDIRECT("'"&amp;D4&amp;"'"&amp;"!A:A"),结果表!B20,INDIRECT("'"&amp;D4&amp;"'"&amp;"!B:B"))</f>
        <v>2587</v>
      </c>
      <c r="E20" s="1764"/>
      <c r="F20" s="1026" t="s">
        <v>1295</v>
      </c>
      <c r="G20" s="139">
        <f ca="1">ROUND(C20*$C$18+D20*$D$18,0)</f>
        <v>2941</v>
      </c>
      <c r="H20" s="808" t="s">
        <v>1296</v>
      </c>
      <c r="I20" s="129"/>
    </row>
    <row r="21" spans="1:36" ht="15" customHeight="1" thickBot="1">
      <c r="A21" s="828"/>
      <c r="B21" s="1765" t="s">
        <v>1297</v>
      </c>
      <c r="C21" s="719">
        <f ca="1">ROUND(C19*10000/L19,0)</f>
        <v>2271</v>
      </c>
      <c r="D21" s="720">
        <f ca="1">ROUND(D19*10000/L19,0)</f>
        <v>1783</v>
      </c>
      <c r="E21" s="828"/>
      <c r="F21" s="1765" t="s">
        <v>1297</v>
      </c>
      <c r="G21" s="140">
        <f ca="1">ROUND(G19*10000/L19,0)</f>
        <v>2027</v>
      </c>
      <c r="H21" s="1766" t="s">
        <v>1296</v>
      </c>
      <c r="I21" s="129"/>
    </row>
    <row r="22" spans="1:36" ht="15" thickBot="1">
      <c r="A22" s="1688" t="s">
        <v>1298</v>
      </c>
      <c r="B22" s="1767"/>
      <c r="C22" s="1768"/>
      <c r="D22" s="721">
        <f ca="1">IF(C19&lt;D19,D19/C19-1,C19/D19-1)</f>
        <v>0.27349854538254159</v>
      </c>
      <c r="E22" s="129"/>
      <c r="F22" s="129"/>
      <c r="G22" s="129"/>
      <c r="H22" s="129"/>
      <c r="I22" s="129"/>
    </row>
    <row r="23" spans="1:36" ht="13.5" thickBot="1">
      <c r="A23" s="1747"/>
      <c r="B23" s="1747"/>
      <c r="C23" s="1747"/>
      <c r="D23" s="1747"/>
      <c r="E23" s="129"/>
      <c r="F23" s="129"/>
      <c r="G23" s="129"/>
      <c r="H23" s="129"/>
      <c r="I23" s="129"/>
    </row>
    <row r="24" spans="1:36" ht="14.25">
      <c r="A24" s="3557" t="s">
        <v>1299</v>
      </c>
      <c r="B24" s="1762" t="s">
        <v>1291</v>
      </c>
      <c r="C24" s="136">
        <f>IF(B30=0,0,D30)</f>
        <v>0</v>
      </c>
      <c r="D24" s="1769"/>
      <c r="E24" s="129"/>
      <c r="F24" s="129"/>
      <c r="G24" s="129"/>
      <c r="H24" s="129"/>
      <c r="I24" s="129"/>
    </row>
    <row r="25" spans="1:36" ht="14.25">
      <c r="A25" s="35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74631</v>
      </c>
      <c r="D32" s="1775" t="s">
        <v>3613</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7" t="s">
        <v>1312</v>
      </c>
      <c r="B36" s="1787" t="s">
        <v>1313</v>
      </c>
      <c r="C36" s="145"/>
      <c r="D36" s="1788"/>
      <c r="E36" s="1789"/>
      <c r="F36" s="1790"/>
      <c r="G36" s="129"/>
      <c r="H36" s="129"/>
      <c r="I36" s="129"/>
    </row>
    <row r="37" spans="1:15" ht="15.75" thickBot="1">
      <c r="A37" s="3578"/>
      <c r="B37" s="1674" t="s">
        <v>1314</v>
      </c>
      <c r="C37" s="147"/>
      <c r="D37" s="1139"/>
      <c r="E37" s="1139"/>
      <c r="F37" s="1790"/>
      <c r="G37" s="129"/>
      <c r="H37" s="129"/>
      <c r="I37" s="129"/>
    </row>
    <row r="38" spans="1:15" ht="15.75" thickBot="1">
      <c r="A38" s="357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54" t="s">
        <v>1326</v>
      </c>
      <c r="B45" s="3555"/>
      <c r="C45" s="3556"/>
      <c r="D45" s="155">
        <f ca="1">ROUND(H101*F45,0)</f>
        <v>74631</v>
      </c>
      <c r="E45" s="156" t="s">
        <v>1327</v>
      </c>
      <c r="F45" s="157">
        <v>1</v>
      </c>
      <c r="G45" s="158" t="s">
        <v>1328</v>
      </c>
      <c r="H45" s="129"/>
      <c r="I45" s="129"/>
      <c r="J45" s="3632" t="s">
        <v>1329</v>
      </c>
      <c r="K45" s="3632"/>
      <c r="L45" s="3632"/>
      <c r="M45" s="3632"/>
      <c r="N45" s="3632"/>
      <c r="O45" s="3632"/>
    </row>
    <row r="46" spans="1:15" ht="14.25" hidden="1" customHeight="1">
      <c r="A46" s="3551" t="s">
        <v>1330</v>
      </c>
      <c r="B46" s="3552"/>
      <c r="C46" s="3552"/>
      <c r="D46" s="3552"/>
      <c r="E46" s="3552"/>
      <c r="F46" s="3552"/>
      <c r="G46" s="3553"/>
      <c r="H46" s="1806"/>
      <c r="I46" s="159"/>
      <c r="J46" s="2523">
        <v>1</v>
      </c>
      <c r="K46" s="3613" t="s">
        <v>1331</v>
      </c>
      <c r="L46" s="3613"/>
      <c r="M46" s="3633"/>
      <c r="N46" s="3633"/>
      <c r="O46" s="3633"/>
    </row>
    <row r="47" spans="1:15" ht="12" hidden="1" customHeight="1">
      <c r="A47" s="160" t="s">
        <v>1332</v>
      </c>
      <c r="B47" s="161"/>
      <c r="C47" s="162"/>
      <c r="D47" s="1087" t="s">
        <v>1333</v>
      </c>
      <c r="E47" s="302" t="s">
        <v>1334</v>
      </c>
      <c r="F47" s="163" t="s">
        <v>1335</v>
      </c>
      <c r="G47" s="2546" t="s">
        <v>1336</v>
      </c>
      <c r="H47" s="2547"/>
      <c r="I47" s="159"/>
      <c r="J47" s="2523">
        <v>2</v>
      </c>
      <c r="K47" s="3613" t="s">
        <v>1337</v>
      </c>
      <c r="L47" s="3613"/>
      <c r="M47" s="3634">
        <f>'数据-取费表'!B2</f>
        <v>45274</v>
      </c>
      <c r="N47" s="3634"/>
      <c r="O47" s="3634"/>
    </row>
    <row r="48" spans="1:15" ht="25.5" hidden="1">
      <c r="A48" s="3582" t="s">
        <v>1338</v>
      </c>
      <c r="B48" s="3565"/>
      <c r="C48" s="356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3" t="s">
        <v>1340</v>
      </c>
      <c r="L48" s="3613"/>
      <c r="M48" s="3635">
        <f ca="1">H101</f>
        <v>74631</v>
      </c>
      <c r="N48" s="3635"/>
      <c r="O48" s="3635"/>
    </row>
    <row r="49" spans="1:35" ht="25.5" hidden="1" customHeight="1">
      <c r="A49" s="2333" t="s">
        <v>1341</v>
      </c>
      <c r="B49" s="3549" t="s">
        <v>1342</v>
      </c>
      <c r="C49" s="3549"/>
      <c r="D49" s="1590">
        <v>0</v>
      </c>
      <c r="E49" s="324" t="s">
        <v>1343</v>
      </c>
      <c r="F49" s="2424" t="s">
        <v>28</v>
      </c>
      <c r="G49" s="3619"/>
      <c r="H49" s="2310" t="s">
        <v>2133</v>
      </c>
      <c r="I49" s="2311"/>
      <c r="J49" s="2523">
        <v>4</v>
      </c>
      <c r="K49" s="3613" t="str">
        <f>IF(项目基本情况!E8="房地产抵押价值","房地产抵押价值","抵押担保权已注销时的房地产抵押价值")</f>
        <v>房地产抵押价值</v>
      </c>
      <c r="L49" s="3613"/>
      <c r="M49" s="3635">
        <f ca="1">IF(项目基本情况!E8="房地产抵押价值",H107,H109)</f>
        <v>74631</v>
      </c>
      <c r="N49" s="3635"/>
      <c r="O49" s="3635"/>
    </row>
    <row r="50" spans="1:35" ht="25.5" hidden="1" customHeight="1">
      <c r="A50" s="2551"/>
      <c r="B50" s="3549" t="s">
        <v>1344</v>
      </c>
      <c r="C50" s="3549"/>
      <c r="D50" s="2552"/>
      <c r="E50" s="332"/>
      <c r="F50" s="2424"/>
      <c r="G50" s="3620"/>
      <c r="H50" s="2312" t="s">
        <v>2134</v>
      </c>
      <c r="I50" s="2311"/>
      <c r="J50" s="3632" t="s">
        <v>1345</v>
      </c>
      <c r="K50" s="3632"/>
      <c r="L50" s="3632"/>
      <c r="M50" s="3632"/>
      <c r="N50" s="3632"/>
      <c r="O50" s="3632"/>
    </row>
    <row r="51" spans="1:35" ht="20.45" hidden="1" customHeight="1">
      <c r="A51" s="2553"/>
      <c r="B51" s="3549" t="s">
        <v>1346</v>
      </c>
      <c r="C51" s="3549"/>
      <c r="D51" s="1087"/>
      <c r="E51" s="327"/>
      <c r="F51" s="2424"/>
      <c r="G51" s="3621"/>
      <c r="H51" s="2312" t="s">
        <v>2135</v>
      </c>
      <c r="I51" s="2311"/>
      <c r="J51" s="2524" t="s">
        <v>1347</v>
      </c>
      <c r="K51" s="3613" t="s">
        <v>1348</v>
      </c>
      <c r="L51" s="3613"/>
      <c r="M51" s="2524" t="s">
        <v>1349</v>
      </c>
      <c r="N51" s="2524" t="s">
        <v>1350</v>
      </c>
      <c r="O51" s="2524" t="s">
        <v>1351</v>
      </c>
    </row>
    <row r="52" spans="1:35" ht="24" hidden="1" customHeight="1">
      <c r="A52" s="2335" t="s">
        <v>1352</v>
      </c>
      <c r="B52" s="3549" t="s">
        <v>1353</v>
      </c>
      <c r="C52" s="3549"/>
      <c r="D52" s="1087">
        <f ca="1">ROUND(D45*'数据-取费表'!B41/(1+'数据-取费表'!C42),0)</f>
        <v>3909</v>
      </c>
      <c r="E52" s="2334" t="s">
        <v>1354</v>
      </c>
      <c r="F52" s="2554">
        <f>'数据-取费表'!B41</f>
        <v>5.5000000000000007E-2</v>
      </c>
      <c r="G52" s="2555"/>
      <c r="H52" s="2544"/>
      <c r="I52" s="1807"/>
      <c r="J52" s="2523">
        <v>1</v>
      </c>
      <c r="K52" s="3614" t="s">
        <v>1355</v>
      </c>
      <c r="L52" s="3614"/>
      <c r="M52" s="2525" t="b">
        <f>D48</f>
        <v>0</v>
      </c>
      <c r="N52" s="2523" t="str">
        <f>E48</f>
        <v>销售额×税（费）率</v>
      </c>
      <c r="O52" s="2526">
        <f>F48</f>
        <v>5.5000000000000007E-2</v>
      </c>
    </row>
    <row r="53" spans="1:35" ht="12" hidden="1" customHeight="1">
      <c r="A53" s="2335" t="s">
        <v>1356</v>
      </c>
      <c r="B53" s="3575" t="s">
        <v>2290</v>
      </c>
      <c r="C53" s="3576"/>
      <c r="D53" s="1087">
        <f ca="1">ROUND(D45*'数据-取费表'!B41/(1+'数据-取费表'!C42),0)</f>
        <v>3909</v>
      </c>
      <c r="E53" s="2334" t="s">
        <v>1354</v>
      </c>
      <c r="F53" s="2554">
        <f>'数据-取费表'!B41</f>
        <v>5.5000000000000007E-2</v>
      </c>
      <c r="G53" s="2555"/>
      <c r="H53" s="2544"/>
      <c r="I53" s="1807"/>
      <c r="J53" s="2523">
        <v>2</v>
      </c>
      <c r="K53" s="3614" t="s">
        <v>1357</v>
      </c>
      <c r="L53" s="3614"/>
      <c r="M53" s="2525">
        <f t="shared" ref="M53:O54" ca="1" si="0">D55</f>
        <v>37</v>
      </c>
      <c r="N53" s="2523" t="str">
        <f t="shared" si="0"/>
        <v>销售额×税（费）率</v>
      </c>
      <c r="O53" s="2526" t="str">
        <f t="shared" si="0"/>
        <v>免征</v>
      </c>
    </row>
    <row r="54" spans="1:35" ht="12" hidden="1" customHeight="1">
      <c r="A54" s="2335" t="s">
        <v>1358</v>
      </c>
      <c r="B54" s="3575" t="s">
        <v>2291</v>
      </c>
      <c r="C54" s="3576"/>
      <c r="D54" s="1087">
        <f ca="1">C68</f>
        <v>3909</v>
      </c>
      <c r="E54" s="327" t="s">
        <v>1359</v>
      </c>
      <c r="F54" s="2554">
        <f>'数据-取费表'!B41</f>
        <v>5.5000000000000007E-2</v>
      </c>
      <c r="G54" s="2555"/>
      <c r="H54" s="2556"/>
      <c r="I54" s="1807"/>
      <c r="J54" s="2523">
        <v>3</v>
      </c>
      <c r="K54" s="3614" t="s">
        <v>1360</v>
      </c>
      <c r="L54" s="3614"/>
      <c r="M54" s="2525">
        <f t="shared" ca="1" si="0"/>
        <v>42309</v>
      </c>
      <c r="N54" s="2523" t="str">
        <f t="shared" si="0"/>
        <v>增值额×税（费）率</v>
      </c>
      <c r="O54" s="2527" t="str">
        <f t="shared" si="0"/>
        <v>免征</v>
      </c>
    </row>
    <row r="55" spans="1:35" ht="24" hidden="1" customHeight="1">
      <c r="A55" s="3564" t="s">
        <v>1361</v>
      </c>
      <c r="B55" s="3565"/>
      <c r="C55" s="3565"/>
      <c r="D55" s="2324">
        <f ca="1">IF(H55="个人住宅",0,ROUND(D45*I55,0))</f>
        <v>37</v>
      </c>
      <c r="E55" s="2334" t="s">
        <v>1362</v>
      </c>
      <c r="F55" s="2554" t="str">
        <f>IF(H55="正常",I55,"免征")</f>
        <v>免征</v>
      </c>
      <c r="G55" s="2555"/>
      <c r="H55" s="2550"/>
      <c r="I55" s="165">
        <f>'数据-取费表'!B49</f>
        <v>5.0000000000000001E-4</v>
      </c>
      <c r="J55" s="2523">
        <f>IF(H59="非个人房产","",4)</f>
        <v>4</v>
      </c>
      <c r="K55" s="3614" t="str">
        <f>IF(H59="非个人房产","——","个人所得税")</f>
        <v>个人所得税</v>
      </c>
      <c r="L55" s="3614"/>
      <c r="M55" s="2528">
        <f ca="1">D59</f>
        <v>711</v>
      </c>
      <c r="N55" s="2040" t="str">
        <f>E59</f>
        <v>差额计税</v>
      </c>
      <c r="O55" s="2529">
        <f>F59</f>
        <v>0.01</v>
      </c>
    </row>
    <row r="56" spans="1:35" ht="24.75" hidden="1">
      <c r="A56" s="3564" t="s">
        <v>1363</v>
      </c>
      <c r="B56" s="3565"/>
      <c r="C56" s="3565"/>
      <c r="D56" s="2324">
        <f ca="1">IF(H56="个人住宅",D57,D58)</f>
        <v>42309</v>
      </c>
      <c r="E56" s="2334" t="s">
        <v>1364</v>
      </c>
      <c r="F56" s="2554" t="str">
        <f>IF(H56="正常",F58,"免征")</f>
        <v>免征</v>
      </c>
      <c r="G56" s="2557" t="s">
        <v>1365</v>
      </c>
      <c r="H56" s="2558"/>
      <c r="I56" s="1808"/>
      <c r="J56" s="2523" t="str">
        <f>IF(项目基本情况!K6="上海银行",IF(J55="",4,J55+1),"")</f>
        <v/>
      </c>
      <c r="K56" s="3637" t="str">
        <f>IF(项目基本情况!K6="上海银行","其他处置费用","")</f>
        <v/>
      </c>
      <c r="L56" s="3638"/>
      <c r="M56" s="2525" t="str">
        <f>IF(项目基本情况!K6="上海银行",M69,"")</f>
        <v/>
      </c>
      <c r="N56" s="3637" t="str">
        <f>IF(项目基本情况!K6="上海银行","包含处置中涉及的律师、诉讼、拍卖、评估等费用","")</f>
        <v/>
      </c>
      <c r="O56" s="3640"/>
    </row>
    <row r="57" spans="1:35" ht="12.75" hidden="1">
      <c r="A57" s="2335" t="s">
        <v>1341</v>
      </c>
      <c r="B57" s="3575" t="s">
        <v>1366</v>
      </c>
      <c r="C57" s="3576"/>
      <c r="D57" s="1590">
        <v>0</v>
      </c>
      <c r="E57" s="324" t="s">
        <v>1343</v>
      </c>
      <c r="F57" s="302"/>
      <c r="G57" s="2555"/>
      <c r="H57" s="2559"/>
      <c r="I57" s="1808"/>
      <c r="J57" s="3614">
        <f>IF(AND(J55="",J56=""),4,IF(项目基本情况!K6="上海银行",结果表!J56+1,结果表!J55+1))</f>
        <v>5</v>
      </c>
      <c r="K57" s="3614" t="s">
        <v>1367</v>
      </c>
      <c r="L57" s="2530" t="s">
        <v>1368</v>
      </c>
      <c r="M57" s="2531"/>
      <c r="N57" s="2532">
        <f ca="1">SUMIF(M52:M56,"&lt;9e307")</f>
        <v>43057</v>
      </c>
      <c r="O57" s="2533"/>
      <c r="P57" s="2689">
        <f ca="1">N57/M49</f>
        <v>0.57693183797617609</v>
      </c>
    </row>
    <row r="58" spans="1:35" ht="24.75" hidden="1">
      <c r="A58" s="2335" t="s">
        <v>1352</v>
      </c>
      <c r="B58" s="3575" t="s">
        <v>1369</v>
      </c>
      <c r="C58" s="3549"/>
      <c r="D58" s="2324">
        <f ca="1">IF(H58="转让取得",C81,C97)</f>
        <v>42309</v>
      </c>
      <c r="E58" s="2334" t="s">
        <v>1364</v>
      </c>
      <c r="F58" s="302" t="s">
        <v>28</v>
      </c>
      <c r="G58" s="2555"/>
      <c r="H58" s="2558"/>
      <c r="I58" s="1808"/>
      <c r="J58" s="3614"/>
      <c r="K58" s="3614"/>
      <c r="L58" s="2530" t="s">
        <v>1370</v>
      </c>
      <c r="M58" s="2534"/>
      <c r="N58" s="2535" t="str">
        <f ca="1">NUMBERSTRING(INT(N57*10000),2)&amp;"元整"</f>
        <v>肆亿叁仟零伍拾柒万元整</v>
      </c>
      <c r="O58" s="2536"/>
    </row>
    <row r="59" spans="1:35" ht="24.75" hidden="1" thickBot="1">
      <c r="A59" s="3617" t="s">
        <v>1371</v>
      </c>
      <c r="B59" s="3618"/>
      <c r="C59" s="3618"/>
      <c r="D59" s="2560">
        <f ca="1">IF(H59="非个人房产","——",IF(H59="个人住宅（满五唯一有凭证）",0,IF(H59="个人其他（无凭证）",ROUND(D45*F59,0),ROUND(C67*F59,0))))</f>
        <v>711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5">
        <f>J57+1</f>
        <v>6</v>
      </c>
      <c r="K59" s="3614" t="s">
        <v>1372</v>
      </c>
      <c r="L59" s="2523" t="s">
        <v>1368</v>
      </c>
      <c r="M59" s="2537"/>
      <c r="N59" s="2538">
        <f ca="1">M49-N57</f>
        <v>31574</v>
      </c>
      <c r="O59" s="2539"/>
    </row>
    <row r="60" spans="1:35" ht="12" hidden="1" customHeight="1">
      <c r="A60" s="1809"/>
      <c r="B60" s="1747"/>
      <c r="C60" s="1747"/>
      <c r="D60" s="1747"/>
      <c r="E60" s="1578"/>
      <c r="F60" s="1808"/>
      <c r="G60" s="1808"/>
      <c r="H60" s="1810"/>
      <c r="I60" s="129"/>
      <c r="J60" s="3616"/>
      <c r="K60" s="3614"/>
      <c r="L60" s="2530" t="s">
        <v>1370</v>
      </c>
      <c r="M60" s="2534"/>
      <c r="N60" s="2535" t="str">
        <f ca="1">NUMBERSTRING(INT(N59*10000),2)&amp;"元整"</f>
        <v>叁亿壹仟伍佰柒拾肆万元整</v>
      </c>
      <c r="O60" s="2536"/>
    </row>
    <row r="61" spans="1:35" ht="13.5" hidden="1" thickBot="1">
      <c r="A61" s="3562" t="s">
        <v>1373</v>
      </c>
      <c r="B61" s="3562"/>
      <c r="C61" s="3562"/>
      <c r="D61" s="3562"/>
      <c r="E61" s="3562"/>
      <c r="F61" s="1808"/>
      <c r="G61" s="1808"/>
      <c r="H61" s="1810"/>
      <c r="I61" s="129"/>
      <c r="J61" s="2523">
        <f>J59+1</f>
        <v>7</v>
      </c>
      <c r="K61" s="3614" t="s">
        <v>1374</v>
      </c>
      <c r="L61" s="3614"/>
      <c r="M61" s="2540"/>
      <c r="N61" s="2541">
        <f ca="1">ROUND(N59*10000/'数据-汇总表'!E3,0)</f>
        <v>1244</v>
      </c>
      <c r="O61" s="2542"/>
    </row>
    <row r="62" spans="1:35" ht="12.75" hidden="1">
      <c r="A62" s="3580" t="s">
        <v>1375</v>
      </c>
      <c r="B62" s="3581"/>
      <c r="C62" s="2021"/>
      <c r="D62" s="2021" t="s">
        <v>1376</v>
      </c>
      <c r="E62" s="166" t="s">
        <v>1377</v>
      </c>
      <c r="F62" s="1808"/>
      <c r="G62" s="1808"/>
      <c r="H62" s="1810"/>
      <c r="I62" s="129"/>
    </row>
    <row r="63" spans="1:35" ht="12.75" hidden="1">
      <c r="A63" s="173" t="s">
        <v>330</v>
      </c>
      <c r="B63" s="167" t="s">
        <v>1378</v>
      </c>
      <c r="C63" s="2564">
        <f ca="1">ROUND((C64+C65)/(1+'数据-取费表'!C42),0)</f>
        <v>71077</v>
      </c>
      <c r="D63" s="167"/>
      <c r="E63" s="168"/>
      <c r="F63" s="1808"/>
      <c r="G63" s="1808"/>
      <c r="H63" s="1810"/>
      <c r="I63" s="129"/>
      <c r="J63" s="3639" t="s">
        <v>1379</v>
      </c>
      <c r="K63" s="1332" t="s">
        <v>1380</v>
      </c>
      <c r="L63" s="1332">
        <f ca="1">IF(M49&gt;10000,M49*0.5%,IF(AND(M49&gt;1000,M49&lt;=10000),M49*1%,IF(AND(M49&gt;100,M49&lt;=1000),M49*3%,IF(AND(M49&gt;10,M49&lt;=100),M49*5%,M49*8%))))</f>
        <v>373.15500000000003</v>
      </c>
      <c r="M63" s="302">
        <f ca="1">ROUND(L63,1)</f>
        <v>373.2</v>
      </c>
      <c r="N63" s="2543"/>
      <c r="Z63" s="1752"/>
      <c r="AI63" s="1753"/>
    </row>
    <row r="64" spans="1:35" ht="14.25" hidden="1" customHeight="1">
      <c r="A64" s="169" t="s">
        <v>325</v>
      </c>
      <c r="B64" s="170" t="s">
        <v>1381</v>
      </c>
      <c r="C64" s="2565">
        <f ca="1">D45</f>
        <v>74631</v>
      </c>
      <c r="D64" s="170" t="s">
        <v>26</v>
      </c>
      <c r="E64" s="172"/>
      <c r="F64" s="1808"/>
      <c r="G64" s="1808"/>
      <c r="H64" s="1810"/>
      <c r="I64" s="129"/>
      <c r="J64" s="3639"/>
      <c r="K64" s="1332" t="s">
        <v>1382</v>
      </c>
      <c r="L64" s="1332">
        <f ca="1">IF(M49&gt;2000,M49*0.5%,IF(AND(M49&gt;1000,M49&lt;=2000),M49*0.6%,IF(AND(M49&gt;500,M49&lt;=1000),M49*0.7%,IF(AND(M49&gt;200,M49&lt;=500),M49*0.8%,IF(AND(M49&gt;100,M49&lt;=200),M49*0.9%,IF(AND(M49&gt;50,M49&lt;=100),M49*1%,IF(AND(M49&gt;20,M49&lt;=50),M49*1.5%,IF(AND(M49&gt;10,M49&lt;=20),M49*2%,IF(AND(M49&gt;1,M49&lt;=10),M49*2.5%)))))))))</f>
        <v>373.15500000000003</v>
      </c>
      <c r="M64" s="302">
        <f t="shared" ref="M64:M65" ca="1" si="1">ROUND(L64,1)</f>
        <v>373.2</v>
      </c>
      <c r="N64" s="2544" t="s">
        <v>1383</v>
      </c>
      <c r="Z64" s="1752"/>
      <c r="AI64" s="1753"/>
    </row>
    <row r="65" spans="1:35" ht="14.25" hidden="1" customHeight="1">
      <c r="A65" s="169" t="s">
        <v>326</v>
      </c>
      <c r="B65" s="170" t="s">
        <v>1384</v>
      </c>
      <c r="C65" s="2566"/>
      <c r="D65" s="170"/>
      <c r="E65" s="172"/>
      <c r="F65" s="1808"/>
      <c r="G65" s="1808"/>
      <c r="H65" s="1810"/>
      <c r="I65" s="129"/>
      <c r="J65" s="3639"/>
      <c r="K65" s="1332" t="s">
        <v>1385</v>
      </c>
      <c r="L65" s="1332">
        <f ca="1">IF(M49&gt;1000,M49*0.1%,IF(AND(M49&gt;500,M49&lt;=1000),M49*0.5%,IF(AND(M49&gt;50,M49&lt;=500),M49*1%,IF(AND(M49&gt;1,M49&lt;=50),M49*1.5%))))</f>
        <v>74.631</v>
      </c>
      <c r="M65" s="302">
        <f t="shared" ca="1" si="1"/>
        <v>74.599999999999994</v>
      </c>
      <c r="N65" s="2544" t="s">
        <v>1383</v>
      </c>
      <c r="Z65" s="1752"/>
      <c r="AI65" s="1753"/>
    </row>
    <row r="66" spans="1:35" ht="14.25" hidden="1" customHeight="1">
      <c r="A66" s="173" t="s">
        <v>327</v>
      </c>
      <c r="B66" s="174" t="s">
        <v>1386</v>
      </c>
      <c r="C66" s="2567"/>
      <c r="D66" s="174" t="s">
        <v>26</v>
      </c>
      <c r="E66" s="1338" t="s">
        <v>671</v>
      </c>
      <c r="F66" s="1808"/>
      <c r="G66" s="1808"/>
      <c r="H66" s="1810"/>
      <c r="I66" s="129"/>
      <c r="J66" s="3639"/>
      <c r="K66" s="1332" t="s">
        <v>1387</v>
      </c>
      <c r="L66" s="1332">
        <f ca="1">M49*0.5%</f>
        <v>373.15500000000003</v>
      </c>
      <c r="M66" s="302">
        <f ca="1">IF(L66&gt;0.5,0.5,ROUND(L66,0))</f>
        <v>0.5</v>
      </c>
      <c r="N66" s="2544" t="s">
        <v>1388</v>
      </c>
      <c r="Z66" s="1752"/>
      <c r="AI66" s="1753"/>
    </row>
    <row r="67" spans="1:35" ht="14.25" hidden="1" customHeight="1">
      <c r="A67" s="173" t="s">
        <v>328</v>
      </c>
      <c r="B67" s="174" t="s">
        <v>1389</v>
      </c>
      <c r="C67" s="2568">
        <f ca="1">C63-C66</f>
        <v>71077</v>
      </c>
      <c r="D67" s="170" t="s">
        <v>26</v>
      </c>
      <c r="E67" s="172"/>
      <c r="F67" s="1808"/>
      <c r="G67" s="1808"/>
      <c r="H67" s="1810"/>
      <c r="I67" s="129"/>
      <c r="J67" s="3639"/>
      <c r="K67" s="1332" t="s">
        <v>1390</v>
      </c>
      <c r="L67" s="1332">
        <f ca="1">IF(M49&gt;=10000,(8.25+(M49-10000)*0.01%),IF(AND(M49&gt;=8000,M49&lt;10000),(7.85+(M49-8000)*0.02%),IF(AND(M49&gt;=5000,M49&lt;8000),(6.65+(M49-5000)*0.04%),IF(AND(M49&gt;=2000,M49&lt;5000),(4.25+(PM49-2000)*0.08%),IF(AND(M49&gt;=1000,M49&lt;2000),(2.75+(M49-1000)*0.15%),IF(AND(M49&gt;=100,M49&lt;1000),(0.5+(M49-100)*0.25%),IF(AND(M49&gt;0,M49&lt;100),M49*0.5%)))))))</f>
        <v>14.713100000000001</v>
      </c>
      <c r="M67" s="302">
        <f ca="1">ROUND(L67*0.9,1)</f>
        <v>13.2</v>
      </c>
      <c r="N67" s="2543"/>
      <c r="Z67" s="1752"/>
      <c r="AI67" s="1753"/>
    </row>
    <row r="68" spans="1:35" ht="14.25" hidden="1" customHeight="1" thickBot="1">
      <c r="A68" s="176" t="s">
        <v>329</v>
      </c>
      <c r="B68" s="177" t="s">
        <v>1391</v>
      </c>
      <c r="C68" s="2569">
        <f ca="1">IF(C67&lt;=0,0,ROUND(C67*D68,0))</f>
        <v>3909</v>
      </c>
      <c r="D68" s="2570">
        <f>'数据-取费表'!B41</f>
        <v>5.5000000000000007E-2</v>
      </c>
      <c r="E68" s="178"/>
      <c r="F68" s="1808"/>
      <c r="G68" s="1808"/>
      <c r="H68" s="1810"/>
      <c r="I68" s="129"/>
      <c r="J68" s="3639"/>
      <c r="K68" s="1332" t="s">
        <v>1392</v>
      </c>
      <c r="L68" s="1332">
        <f ca="1">IF(M49&gt;10000,M49*0.5%,IF(AND(M49&gt;5000,M49&lt;=10000),M49*1%,IF(AND(M49&gt;1000,M49&lt;=5000),M49*2%,IF(AND(M49&gt;200,M49&lt;=1000),M49*3%,M49*5%))))</f>
        <v>373.15500000000003</v>
      </c>
      <c r="M68" s="302">
        <f ca="1">ROUND(L68,1)</f>
        <v>373.2</v>
      </c>
      <c r="N68" s="2543"/>
      <c r="Z68" s="1752"/>
      <c r="AI68" s="1753"/>
    </row>
    <row r="69" spans="1:35" s="1772" customFormat="1" ht="16.5" hidden="1" customHeight="1">
      <c r="A69" s="1811"/>
      <c r="B69" s="1812"/>
      <c r="C69" s="1813"/>
      <c r="D69" s="1814"/>
      <c r="E69" s="1815"/>
      <c r="F69" s="1578"/>
      <c r="G69" s="1578"/>
      <c r="H69" s="1577"/>
      <c r="I69" s="1747"/>
      <c r="J69" s="3639"/>
      <c r="K69" s="1332" t="s">
        <v>1393</v>
      </c>
      <c r="L69" s="1332"/>
      <c r="M69" s="302">
        <f ca="1">ROUND(SUM(M63:M68),0)</f>
        <v>1208</v>
      </c>
      <c r="N69" s="2545">
        <f ca="1">M69/M49</f>
        <v>1.6186303278798355E-2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1" t="s">
        <v>1394</v>
      </c>
      <c r="B70" s="3602"/>
      <c r="C70" s="3602"/>
      <c r="D70" s="3602"/>
      <c r="E70" s="3602"/>
      <c r="F70" s="3602"/>
      <c r="G70" s="3602"/>
      <c r="H70" s="360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0" t="s">
        <v>1375</v>
      </c>
      <c r="B71" s="358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8">
        <f ca="1">ROUND(D45/(1+'数据-取费表'!C42),0)</f>
        <v>71077</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8">
        <f ca="1">C74+C78</f>
        <v>355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4">
        <v>0.05</v>
      </c>
      <c r="E76" s="3575" t="s">
        <v>1402</v>
      </c>
      <c r="F76" s="3549"/>
      <c r="G76" s="3549"/>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6">
        <f ca="1">ROUND(D45*D78/(1+'数据-取费表'!C42),0)</f>
        <v>355</v>
      </c>
      <c r="D78" s="2577">
        <f>'数据-取费表'!B43</f>
        <v>5.000000000000001E-3</v>
      </c>
      <c r="E78" s="3559" t="s">
        <v>1406</v>
      </c>
      <c r="F78" s="3560"/>
      <c r="G78" s="3560"/>
      <c r="H78" s="35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8">
        <f ca="1">C72-C73</f>
        <v>70722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8">
        <f ca="1">IF(C79&lt;=0,0,C79/C73)</f>
        <v>199.2169014084507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9">
        <f ca="1">ROUND(IF(C79&lt;=0,0,IF(C80&gt;=200%,C79*60%-C73*35%,IF(C80&gt;=100%,C79*50%-C73*15%,IF(C80&gt;=50%,C79*40%-C73*5%,IF(C80&lt;50%,C79*30%,0))))),0)</f>
        <v>42309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0" t="s">
        <v>1375</v>
      </c>
      <c r="B84" s="35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8">
        <f ca="1">ROUND(D45/(1+'数据-取费表'!C42),0)</f>
        <v>71077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8">
        <f ca="1">IF(H88="仅含出让金",C87+C90+C91+C92+C93+C94,C87+C91+C92+C93+C94)</f>
        <v>355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2"/>
      <c r="D90" s="2577"/>
      <c r="E90" s="193" t="str">
        <f>IF(H88="-","土地取得成本中已包含该笔费用"," ")</f>
        <v xml:space="preserve"> </v>
      </c>
      <c r="F90" s="2327"/>
      <c r="G90" s="3641" t="s">
        <v>2128</v>
      </c>
      <c r="H90" s="364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6">
        <f>IF(H91="——",成本法!C33,I91)</f>
        <v>0</v>
      </c>
      <c r="D91" s="2577"/>
      <c r="E91" s="3559" t="s">
        <v>1419</v>
      </c>
      <c r="F91" s="3560"/>
      <c r="G91" s="35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6">
        <f>ROUND((C87+C90+C91)*D92,0)</f>
        <v>0</v>
      </c>
      <c r="D92" s="2583"/>
      <c r="E92" s="3559" t="s">
        <v>1422</v>
      </c>
      <c r="F92" s="3560"/>
      <c r="G92" s="3560"/>
      <c r="H92" s="356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6">
        <f ca="1">ROUND(D45*D93/(1+'数据-取费表'!C42),0)</f>
        <v>355</v>
      </c>
      <c r="D93" s="2577">
        <f>'数据-取费表'!B43</f>
        <v>5.000000000000001E-3</v>
      </c>
      <c r="E93" s="3559" t="s">
        <v>1406</v>
      </c>
      <c r="F93" s="3560"/>
      <c r="G93" s="3560"/>
      <c r="H93" s="35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2">
        <f>ROUND((C87+C90+C91)*D94,0)</f>
        <v>0</v>
      </c>
      <c r="D94" s="2577">
        <v>0.2</v>
      </c>
      <c r="E94" s="3570" t="s">
        <v>1426</v>
      </c>
      <c r="F94" s="3571"/>
      <c r="G94" s="3571"/>
      <c r="H94" s="35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8">
        <f ca="1">ROUND(C85-C86,0)</f>
        <v>70722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8">
        <f ca="1">IF(C95&lt;=0,0,C95/C86)</f>
        <v>199.2169014084507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9">
        <f ca="1">ROUND(IF(C95&lt;=0,0,IF(C96&gt;=200%,C95*60%-C86*35%,IF(C96&gt;=100%,C95*50%-C86*15%,IF(C96&gt;=50%,C95*40%-C86*5%,IF(C96&lt;50%,C95*30%,0))))),0)</f>
        <v>42309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5" t="str">
        <f>C4</f>
        <v>成本法</v>
      </c>
      <c r="D101" s="2586" t="str">
        <f>D4</f>
        <v>假设开发法</v>
      </c>
      <c r="E101" s="3636" t="s">
        <v>1431</v>
      </c>
      <c r="F101" s="3593"/>
      <c r="G101" s="1827" t="s">
        <v>1432</v>
      </c>
      <c r="H101" s="2595">
        <f ca="1">H118</f>
        <v>74631</v>
      </c>
      <c r="I101" s="129"/>
    </row>
    <row r="102" spans="1:35" ht="18.75" customHeight="1">
      <c r="A102" s="3595" t="s">
        <v>1433</v>
      </c>
      <c r="B102" s="2584" t="s">
        <v>1432</v>
      </c>
      <c r="C102" s="2585">
        <f ca="1">IF(D32="楼面单价",ROUND(C19,0),C19)</f>
        <v>83609</v>
      </c>
      <c r="D102" s="2586">
        <f ca="1">IF(D32="楼面单价",ROUND(D19,0),D19)</f>
        <v>65653</v>
      </c>
      <c r="E102" s="3636"/>
      <c r="F102" s="3593"/>
      <c r="G102" s="1827" t="s">
        <v>1434</v>
      </c>
      <c r="H102" s="2555">
        <f ca="1">I118</f>
        <v>2941</v>
      </c>
      <c r="I102" s="129"/>
    </row>
    <row r="103" spans="1:35" ht="42.75" customHeight="1">
      <c r="A103" s="3595"/>
      <c r="B103" s="2584" t="s">
        <v>1434</v>
      </c>
      <c r="C103" s="2587">
        <f ca="1">C20</f>
        <v>3295</v>
      </c>
      <c r="D103" s="2588">
        <f ca="1">D20</f>
        <v>2587</v>
      </c>
      <c r="E103" s="3630" t="s">
        <v>1435</v>
      </c>
      <c r="F103" s="3631"/>
      <c r="G103" s="1828" t="s">
        <v>1436</v>
      </c>
      <c r="H103" s="2595">
        <f>IF(D36="正常操作",H104+H105+H106,H105+H106)</f>
        <v>0</v>
      </c>
      <c r="I103" s="129"/>
    </row>
    <row r="104" spans="1:35" ht="18.75" customHeight="1">
      <c r="A104" s="3595" t="s">
        <v>1437</v>
      </c>
      <c r="B104" s="2589" t="s">
        <v>1432</v>
      </c>
      <c r="C104" s="2590">
        <f ca="1">H118</f>
        <v>74631</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f ca="1">I118</f>
        <v>2941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93"/>
      <c r="G107" s="1827" t="s">
        <v>1432</v>
      </c>
      <c r="H107" s="2595">
        <f ca="1">IF(E107="——","——",H101-H103)</f>
        <v>74631</v>
      </c>
      <c r="I107" s="129"/>
    </row>
    <row r="108" spans="1:35" ht="18.75" customHeight="1">
      <c r="A108" s="129"/>
      <c r="B108" s="129"/>
      <c r="C108" s="129"/>
      <c r="D108" s="129"/>
      <c r="E108" s="3592"/>
      <c r="F108" s="3593"/>
      <c r="G108" s="1827" t="s">
        <v>1434</v>
      </c>
      <c r="H108" s="2555">
        <f ca="1">IF(H107=H101,H102,ROUND(H107*10000/'数据-汇总表'!E3,0))</f>
        <v>2941</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7" t="s">
        <v>1432</v>
      </c>
      <c r="H109" s="2598" t="str">
        <f>IF(E109="——","——",H101-H105-H106)</f>
        <v>——</v>
      </c>
      <c r="I109" s="129"/>
    </row>
    <row r="110" spans="1:35" ht="18.75" customHeight="1">
      <c r="A110" s="129"/>
      <c r="B110" s="129"/>
      <c r="C110" s="129"/>
      <c r="D110" s="129"/>
      <c r="E110" s="3592"/>
      <c r="F110" s="3593"/>
      <c r="G110" s="1827" t="s">
        <v>1434</v>
      </c>
      <c r="H110" s="2555"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25"/>
      <c r="F112" s="3626"/>
      <c r="G112" s="1830" t="s">
        <v>1434</v>
      </c>
      <c r="H112" s="2599"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9" t="s">
        <v>1449</v>
      </c>
      <c r="E117" s="2329" t="s">
        <v>1450</v>
      </c>
      <c r="F117" s="2329" t="s">
        <v>1449</v>
      </c>
      <c r="G117" s="2329" t="s">
        <v>1451</v>
      </c>
      <c r="H117" s="2329" t="s">
        <v>1449</v>
      </c>
      <c r="I117" s="2329" t="s">
        <v>1451</v>
      </c>
    </row>
    <row r="118" spans="1:27" ht="24.75" customHeight="1">
      <c r="A118" s="2600" t="str">
        <f>项目基本情况!S2</f>
        <v>四川省绵阳市江油市工业用房出让国有建设用地使用权及在建建筑物房地产</v>
      </c>
      <c r="B118" s="2329">
        <f>M18</f>
        <v>253739.7</v>
      </c>
      <c r="C118" s="2329">
        <f>M19</f>
        <v>368153.3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74631</v>
      </c>
      <c r="I118" s="2329">
        <f ca="1">ROUND(IF(D32="楼面单价",C32,H118*10000/B118),0)</f>
        <v>2941</v>
      </c>
    </row>
    <row r="119" spans="1:27" ht="18.75" customHeight="1">
      <c r="A119" s="3563" t="s">
        <v>1452</v>
      </c>
      <c r="B119" s="3563"/>
      <c r="C119" s="3563"/>
      <c r="D119" s="3603" t="e">
        <f ca="1">NUMBERSTRING(INT(D118*10000),2)&amp;"元整"</f>
        <v>#REF!</v>
      </c>
      <c r="E119" s="3605"/>
      <c r="F119" s="3603" t="e">
        <f ca="1">NUMBERSTRING(INT(F118*10000),2)&amp;"元整"</f>
        <v>#REF!</v>
      </c>
      <c r="G119" s="3605"/>
      <c r="H119" s="3603" t="str">
        <f ca="1">NUMBERSTRING(INT(H118*10000),2)&amp;"元整"</f>
        <v>柒亿肆仟陆佰叁拾壹万元整</v>
      </c>
      <c r="I119" s="3605"/>
    </row>
    <row r="120" spans="1:27" ht="18.75" customHeight="1">
      <c r="A120" s="3627" t="str">
        <f>IF(项目基本情况!B9="房地产市场价值","",MID(E103,3,LEN(E103)-2))</f>
        <v/>
      </c>
      <c r="B120" s="3628"/>
      <c r="C120" s="3629"/>
      <c r="D120" s="3627">
        <f>H103</f>
        <v>0</v>
      </c>
      <c r="E120" s="3628"/>
      <c r="F120" s="3628"/>
      <c r="G120" s="3628"/>
      <c r="H120" s="3628"/>
      <c r="I120" s="362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3" t="s">
        <v>1452</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
      </c>
      <c r="B122" s="3594"/>
      <c r="C122" s="3594"/>
      <c r="D122" s="3627">
        <f ca="1">H107</f>
        <v>74631</v>
      </c>
      <c r="E122" s="3628"/>
      <c r="F122" s="3628"/>
      <c r="G122" s="3628"/>
      <c r="H122" s="3628"/>
      <c r="I122" s="3629"/>
      <c r="AA122" s="725"/>
    </row>
    <row r="123" spans="1:27" ht="18.75" customHeight="1">
      <c r="A123" s="3563" t="s">
        <v>1452</v>
      </c>
      <c r="B123" s="3563"/>
      <c r="C123" s="3563"/>
      <c r="D123" s="3603" t="str">
        <f ca="1">NUMBERSTRING(INT(D122*10000),2)&amp;"元整"</f>
        <v>柒亿肆仟陆佰叁拾壹万元整</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1452</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
      </c>
      <c r="B126" s="3594"/>
      <c r="C126" s="3594"/>
      <c r="D126" s="3627" t="str">
        <f>H111</f>
        <v>——</v>
      </c>
      <c r="E126" s="3628"/>
      <c r="F126" s="3628"/>
      <c r="G126" s="3628"/>
      <c r="H126" s="3628"/>
      <c r="I126" s="3629"/>
      <c r="AA126" s="725"/>
    </row>
    <row r="127" spans="1:27" ht="18.75" customHeight="1">
      <c r="A127" s="3563" t="s">
        <v>1452</v>
      </c>
      <c r="B127" s="3563"/>
      <c r="C127" s="3563"/>
      <c r="D127" s="3603" t="e">
        <f>NUMBERSTRING(INT(D126*10000),2)&amp;"元整"</f>
        <v>#VALUE!</v>
      </c>
      <c r="E127" s="3604"/>
      <c r="F127" s="3604"/>
      <c r="G127" s="3604"/>
      <c r="H127" s="3604"/>
      <c r="I127" s="3605"/>
      <c r="AA127" s="725"/>
    </row>
    <row r="128" spans="1:27" ht="21.75" customHeight="1">
      <c r="A128" s="3610" t="s">
        <v>1453</v>
      </c>
      <c r="B128" s="3610"/>
      <c r="C128" s="3610"/>
      <c r="D128" s="3610"/>
      <c r="E128" s="3610"/>
      <c r="F128" s="3610"/>
      <c r="G128" s="3610"/>
      <c r="H128" s="3610"/>
      <c r="I128" s="361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83609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5539</v>
      </c>
      <c r="D5" s="211" t="s">
        <v>1469</v>
      </c>
      <c r="E5" s="212" t="s">
        <v>1470</v>
      </c>
      <c r="F5" s="212" t="s">
        <v>1471</v>
      </c>
      <c r="G5" s="213"/>
    </row>
    <row r="6" spans="1:9" s="214" customFormat="1" ht="13.5" customHeight="1">
      <c r="A6" s="778" t="s">
        <v>1472</v>
      </c>
      <c r="B6" s="215" t="s">
        <v>1473</v>
      </c>
      <c r="C6" s="216">
        <f>'土地比较法-工业'!B2</f>
        <v>5375</v>
      </c>
      <c r="D6" s="217"/>
      <c r="E6" s="218"/>
      <c r="F6" s="218"/>
      <c r="G6" s="219"/>
    </row>
    <row r="7" spans="1:9" s="214" customFormat="1" ht="13.5" customHeight="1">
      <c r="A7" s="778" t="s">
        <v>1474</v>
      </c>
      <c r="B7" s="215" t="s">
        <v>1475</v>
      </c>
      <c r="C7" s="220">
        <f>ROUND(C6*F7,0)</f>
        <v>164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3606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253739.7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253739.7</v>
      </c>
      <c r="E19" s="211">
        <f>'数据-取费表'!B31</f>
        <v>150</v>
      </c>
      <c r="F19" s="231"/>
      <c r="G19" s="1856" t="s">
        <v>3607</v>
      </c>
    </row>
    <row r="20" spans="1:7" s="214" customFormat="1" ht="13.5" customHeight="1">
      <c r="A20" s="255" t="s">
        <v>1493</v>
      </c>
      <c r="B20" s="210" t="s">
        <v>1494</v>
      </c>
      <c r="C20" s="232">
        <f>ROUND((C5+C19)*F20,0)</f>
        <v>111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361</v>
      </c>
      <c r="D22" s="235">
        <f ca="1">C26</f>
        <v>5.9999999999999995E-4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357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260</v>
      </c>
      <c r="D27" s="235">
        <f ca="1">C29</f>
        <v>8.9999999999999998E-4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260</v>
      </c>
      <c r="D28" s="235"/>
      <c r="E28" s="236"/>
      <c r="F28" s="246"/>
      <c r="G28" s="247"/>
    </row>
    <row r="29" spans="1:7" s="214" customFormat="1" ht="13.5" customHeight="1">
      <c r="A29" s="780" t="s">
        <v>347</v>
      </c>
      <c r="B29" s="248" t="s">
        <v>1517</v>
      </c>
      <c r="C29" s="238">
        <f ca="1">ROUND(C21*F27*'数据-取费表'!B21/'数据-取费表'!B20,4)</f>
        <v>8.9999999999999998E-4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64488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58360</v>
      </c>
      <c r="D34" s="217"/>
      <c r="E34" s="220"/>
      <c r="F34" s="257">
        <f ca="1">IF('数据-取费表'!B24=0,1,IF(B1="",'数据-取费表'!N16,INDIRECT("'数据-取费表'!n"&amp;$G$1)))</f>
        <v>0.92</v>
      </c>
      <c r="G34" s="219" t="s">
        <v>1526</v>
      </c>
    </row>
    <row r="35" spans="1:7" ht="13.5" customHeight="1">
      <c r="A35" s="780" t="s">
        <v>351</v>
      </c>
      <c r="B35" s="215" t="s">
        <v>1527</v>
      </c>
      <c r="C35" s="220">
        <f ca="1">ROUND(C34*F35,0)</f>
        <v>1751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3502</v>
      </c>
      <c r="D37" s="217">
        <f ca="1">D19</f>
        <v>253739.7</v>
      </c>
      <c r="E37" s="249">
        <f>'数据-取费表'!B35</f>
        <v>150</v>
      </c>
      <c r="F37" s="259"/>
      <c r="G37" s="261" t="s">
        <v>1532</v>
      </c>
    </row>
    <row r="38" spans="1:7" ht="13.5" customHeight="1">
      <c r="A38" s="780" t="s">
        <v>354</v>
      </c>
      <c r="B38" s="215" t="s">
        <v>1533</v>
      </c>
      <c r="C38" s="220">
        <f ca="1">ROUND(C34*F38,0)</f>
        <v>875</v>
      </c>
      <c r="D38" s="220"/>
      <c r="E38" s="220"/>
      <c r="F38" s="259">
        <f>'数据-取费表'!B36</f>
        <v>1.4999999999999999E-2</v>
      </c>
      <c r="G38" s="219" t="s">
        <v>1528</v>
      </c>
    </row>
    <row r="39" spans="1:7" s="214" customFormat="1" ht="13.5" customHeight="1">
      <c r="A39" s="255" t="s">
        <v>1534</v>
      </c>
      <c r="B39" s="210" t="s">
        <v>1535</v>
      </c>
      <c r="C39" s="232">
        <f ca="1">ROUND(C33*F20,0)</f>
        <v>1290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2085</v>
      </c>
      <c r="D41" s="235">
        <f ca="1">C44</f>
        <v>5.9999999999999995E-4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2044</v>
      </c>
      <c r="D42" s="238"/>
      <c r="E42" s="238"/>
      <c r="F42" s="239"/>
      <c r="G42" s="3643" t="s">
        <v>1544</v>
      </c>
    </row>
    <row r="43" spans="1:7" ht="13.5" customHeight="1">
      <c r="A43" s="780" t="s">
        <v>347</v>
      </c>
      <c r="B43" s="215" t="s">
        <v>1545</v>
      </c>
      <c r="C43" s="238">
        <f ca="1">ROUND(IF('数据-取费表'!B22&lt;=1,C39*F22*'数据-取费表'!B21/2,C39*(POWER((1+F22),'数据-取费表'!B21/2)-1)),0)</f>
        <v>41</v>
      </c>
      <c r="D43" s="238"/>
      <c r="E43" s="238"/>
      <c r="F43" s="239"/>
      <c r="G43" s="3644"/>
    </row>
    <row r="44" spans="1:7" ht="13.5" customHeight="1">
      <c r="A44" s="780" t="s">
        <v>348</v>
      </c>
      <c r="B44" s="215" t="s">
        <v>1546</v>
      </c>
      <c r="C44" s="238">
        <f ca="1">ROUND(IF('数据-取费表'!B22&lt;=1,C40*F22*'数据-取费表'!B21/2,C40*(POWER((1+F22),'数据-取费表'!B21/2)-1)),4)</f>
        <v>5.9999999999999995E-4</v>
      </c>
      <c r="D44" s="238"/>
      <c r="E44" s="238"/>
      <c r="F44" s="239"/>
      <c r="G44" s="3645"/>
    </row>
    <row r="45" spans="1:7" s="214" customFormat="1" ht="13.5" customHeight="1">
      <c r="A45" s="255" t="s">
        <v>1547</v>
      </c>
      <c r="B45" s="244" t="s">
        <v>1513</v>
      </c>
      <c r="C45" s="245">
        <f ca="1">C46</f>
        <v>3289</v>
      </c>
      <c r="D45" s="235">
        <f ca="1">C47</f>
        <v>1E-3</v>
      </c>
      <c r="E45" s="236" t="s">
        <v>1539</v>
      </c>
      <c r="F45" s="246">
        <f ca="1">F27</f>
        <v>0.05</v>
      </c>
      <c r="G45" s="247" t="s">
        <v>1548</v>
      </c>
    </row>
    <row r="46" spans="1:7" s="214" customFormat="1" ht="13.5" customHeight="1">
      <c r="A46" s="780" t="s">
        <v>346</v>
      </c>
      <c r="B46" s="248" t="s">
        <v>1549</v>
      </c>
      <c r="C46" s="249">
        <f ca="1">ROUND((C33+C39)*F27,0)</f>
        <v>3289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76838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76838</v>
      </c>
      <c r="D51" s="232"/>
      <c r="E51" s="232"/>
      <c r="F51" s="264"/>
      <c r="G51" s="234" t="s">
        <v>1560</v>
      </c>
    </row>
    <row r="52" spans="1:7" s="208" customFormat="1" ht="16.5" thickBot="1">
      <c r="A52" s="265" t="s">
        <v>1561</v>
      </c>
      <c r="B52" s="266"/>
      <c r="C52" s="267">
        <f ca="1">C31+C51</f>
        <v>83609</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四川省绵阳市江油市工业用房出让国有建设用地使用权及在建建筑物房地产市场价值预评估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88438.436600000001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3485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253739.7</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38060955</v>
      </c>
      <c r="D19" s="849">
        <f ca="1">D9+D10</f>
        <v>253739.7</v>
      </c>
      <c r="E19" s="211">
        <f>'数据-取费表'!B31</f>
        <v>150</v>
      </c>
      <c r="F19" s="231"/>
      <c r="G19" s="1856"/>
    </row>
    <row r="20" spans="1:7" s="214" customFormat="1" ht="13.5" customHeight="1">
      <c r="A20" s="255" t="s">
        <v>1574</v>
      </c>
      <c r="B20" s="210" t="s">
        <v>1575</v>
      </c>
      <c r="C20" s="232">
        <f ca="1">ROUND((C5+C19)*F20,0)</f>
        <v>761219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2697770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2671508</v>
      </c>
      <c r="D24" s="238"/>
      <c r="E24" s="238"/>
      <c r="F24" s="239"/>
      <c r="G24" s="240" t="s">
        <v>1586</v>
      </c>
    </row>
    <row r="25" spans="1:7" s="214" customFormat="1" ht="24">
      <c r="A25" s="780" t="s">
        <v>1476</v>
      </c>
      <c r="B25" s="215" t="s">
        <v>1587</v>
      </c>
      <c r="C25" s="1128">
        <f ca="1">ROUND(IF('数据-取费表'!B22&lt;=1,C20*F22*'数据-取费表'!B22/2,C20*(POWER((1+F22),'数据-取费表'!B22/2)-1)),0)</f>
        <v>26262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1941109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1941109</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46939252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700955922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634349250</v>
      </c>
      <c r="D34" s="217"/>
      <c r="E34" s="220"/>
      <c r="F34" s="257"/>
      <c r="G34" s="219"/>
    </row>
    <row r="35" spans="1:7" ht="13.5" customHeight="1">
      <c r="A35" s="780" t="s">
        <v>351</v>
      </c>
      <c r="B35" s="215" t="s">
        <v>1527</v>
      </c>
      <c r="C35" s="220">
        <f ca="1">ROUND(C34*F35,0)</f>
        <v>19030478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38060955</v>
      </c>
      <c r="D37" s="217">
        <f ca="1">D19</f>
        <v>253739.7</v>
      </c>
      <c r="E37" s="249">
        <f>'数据-取费表'!B35</f>
        <v>150</v>
      </c>
      <c r="F37" s="259"/>
      <c r="G37" s="261"/>
    </row>
    <row r="38" spans="1:7" ht="13.5" customHeight="1">
      <c r="A38" s="780" t="s">
        <v>354</v>
      </c>
      <c r="B38" s="215" t="s">
        <v>1533</v>
      </c>
      <c r="C38" s="220">
        <f ca="1">ROUND(C34*F38,0)</f>
        <v>9515239</v>
      </c>
      <c r="D38" s="220"/>
      <c r="E38" s="220"/>
      <c r="F38" s="259">
        <f>'数据-取费表'!B36</f>
        <v>1.4999999999999999E-2</v>
      </c>
      <c r="G38" s="219" t="s">
        <v>1528</v>
      </c>
    </row>
    <row r="39" spans="1:7" s="214" customFormat="1" ht="13.5" customHeight="1">
      <c r="A39" s="255" t="s">
        <v>1534</v>
      </c>
      <c r="B39" s="210" t="s">
        <v>1535</v>
      </c>
      <c r="C39" s="232">
        <f ca="1">ROUND(C33*F20,0)</f>
        <v>14019118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24666639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24182979</v>
      </c>
      <c r="D42" s="238"/>
      <c r="E42" s="238"/>
      <c r="F42" s="239"/>
      <c r="G42" s="3643" t="s">
        <v>1591</v>
      </c>
    </row>
    <row r="43" spans="1:7" ht="13.5" customHeight="1">
      <c r="A43" s="780" t="s">
        <v>347</v>
      </c>
      <c r="B43" s="215" t="s">
        <v>1545</v>
      </c>
      <c r="C43" s="238">
        <f ca="1">ROUND(IF('数据-取费表'!B22&lt;=1,C39*F22*'数据-取费表'!B20/2,C39*(POWER((1+F22),'数据-取费表'!B20/2)-1)),0)</f>
        <v>483660</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35748752</v>
      </c>
      <c r="D45" s="235">
        <f ca="1">C47</f>
        <v>1E-3</v>
      </c>
      <c r="E45" s="236" t="s">
        <v>1539</v>
      </c>
      <c r="F45" s="246">
        <f ca="1">F27</f>
        <v>0.05</v>
      </c>
      <c r="G45" s="247" t="s">
        <v>1548</v>
      </c>
    </row>
    <row r="46" spans="1:7" s="214" customFormat="1" ht="13.5" customHeight="1">
      <c r="A46" s="780" t="s">
        <v>346</v>
      </c>
      <c r="B46" s="248" t="s">
        <v>1549</v>
      </c>
      <c r="C46" s="249">
        <f ca="1">ROUND((C33+C39)*F27,0)</f>
        <v>35748752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837445114</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837445114</v>
      </c>
      <c r="D51" s="232"/>
      <c r="E51" s="232"/>
      <c r="F51" s="264"/>
      <c r="G51" s="234" t="s">
        <v>1560</v>
      </c>
    </row>
    <row r="52" spans="1:7" s="208" customFormat="1" ht="16.5" thickBot="1">
      <c r="A52" s="265" t="s">
        <v>1561</v>
      </c>
      <c r="B52" s="266"/>
      <c r="C52" s="267">
        <f ca="1">C31+C51</f>
        <v>884384366</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1" zoomScale="80" zoomScaleNormal="60" zoomScaleSheetLayoutView="80" workbookViewId="0">
      <selection activeCell="N58" sqref="N5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5375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212</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46" t="s">
        <v>1770</v>
      </c>
      <c r="D4" s="3672"/>
      <c r="E4" s="3673" t="s">
        <v>1771</v>
      </c>
      <c r="F4" s="3674"/>
      <c r="G4" s="3646" t="s">
        <v>1772</v>
      </c>
      <c r="H4" s="3672"/>
      <c r="I4" s="3646" t="s">
        <v>1773</v>
      </c>
      <c r="J4" s="3672"/>
      <c r="K4" s="559" t="s">
        <v>1774</v>
      </c>
      <c r="L4" s="2714"/>
      <c r="M4" s="2715"/>
      <c r="N4" s="2715"/>
      <c r="O4" s="2715"/>
      <c r="P4" s="3675" t="s">
        <v>1775</v>
      </c>
      <c r="Q4" s="3676"/>
      <c r="R4" s="3652" t="s">
        <v>1771</v>
      </c>
      <c r="S4" s="3653"/>
      <c r="T4" s="3652" t="s">
        <v>1772</v>
      </c>
      <c r="U4" s="3653"/>
      <c r="V4" s="3665" t="s">
        <v>1773</v>
      </c>
      <c r="W4" s="3665"/>
      <c r="X4" s="1355"/>
      <c r="Y4" s="3652" t="s">
        <v>1775</v>
      </c>
      <c r="Z4" s="3653"/>
      <c r="AA4" s="3669" t="s">
        <v>1771</v>
      </c>
      <c r="AB4" s="3670" t="s">
        <v>1772</v>
      </c>
      <c r="AC4" s="3669" t="s">
        <v>1773</v>
      </c>
    </row>
    <row r="5" spans="1:29" ht="15">
      <c r="A5" s="358"/>
      <c r="B5" s="359"/>
      <c r="C5" s="3656" t="s">
        <v>1673</v>
      </c>
      <c r="D5" s="3657"/>
      <c r="E5" s="3681" t="s">
        <v>1674</v>
      </c>
      <c r="F5" s="3682"/>
      <c r="G5" s="3656" t="s">
        <v>1675</v>
      </c>
      <c r="H5" s="3657"/>
      <c r="I5" s="3656" t="s">
        <v>1676</v>
      </c>
      <c r="J5" s="3657"/>
      <c r="K5" s="559"/>
      <c r="L5" s="2714"/>
      <c r="M5" s="2715"/>
      <c r="N5" s="2715"/>
      <c r="O5" s="2715"/>
      <c r="P5" s="3677"/>
      <c r="Q5" s="3678"/>
      <c r="R5" s="3654"/>
      <c r="S5" s="3655"/>
      <c r="T5" s="3654"/>
      <c r="U5" s="3655"/>
      <c r="V5" s="3665"/>
      <c r="W5" s="3665"/>
      <c r="X5" s="1355"/>
      <c r="Y5" s="3654"/>
      <c r="Z5" s="3655"/>
      <c r="AA5" s="3670"/>
      <c r="AB5" s="3670"/>
      <c r="AC5" s="3670"/>
    </row>
    <row r="6" spans="1:29" ht="15.75" thickBot="1">
      <c r="A6" s="360"/>
      <c r="B6" s="361"/>
      <c r="C6" s="3658" t="s">
        <v>1919</v>
      </c>
      <c r="D6" s="3659"/>
      <c r="E6" s="3661" t="s">
        <v>1919</v>
      </c>
      <c r="F6" s="3662"/>
      <c r="G6" s="3658" t="s">
        <v>1919</v>
      </c>
      <c r="H6" s="3659"/>
      <c r="I6" s="3658" t="s">
        <v>1919</v>
      </c>
      <c r="J6" s="3659"/>
      <c r="K6" s="559" t="s">
        <v>1678</v>
      </c>
      <c r="L6" s="2714"/>
      <c r="M6" s="2715"/>
      <c r="N6" s="2715"/>
      <c r="O6" s="2715"/>
      <c r="P6" s="3679"/>
      <c r="Q6" s="3680"/>
      <c r="R6" s="3654"/>
      <c r="S6" s="3655"/>
      <c r="T6" s="3663"/>
      <c r="U6" s="3664"/>
      <c r="V6" s="3665"/>
      <c r="W6" s="3665"/>
      <c r="X6" s="1355"/>
      <c r="Y6" s="3663"/>
      <c r="Z6" s="3664"/>
      <c r="AA6" s="3671"/>
      <c r="AB6" s="3671"/>
      <c r="AC6" s="3671"/>
    </row>
    <row r="7" spans="1:29" s="108" customFormat="1" ht="15.75" thickBot="1">
      <c r="A7" s="362" t="s">
        <v>1679</v>
      </c>
      <c r="B7" s="363"/>
      <c r="C7" s="364">
        <f>'数据-取费表'!B2</f>
        <v>45274</v>
      </c>
      <c r="D7" s="365">
        <v>100</v>
      </c>
      <c r="E7" s="366">
        <f>土地案例!L4</f>
        <v>45134.000497685185</v>
      </c>
      <c r="F7" s="367">
        <f>SUMIF(65:65,YEAR(E7)&amp;"-"&amp;INT((MONTH(E7)+2)/3),66:66)</f>
        <v>99.8</v>
      </c>
      <c r="G7" s="1974">
        <f>土地案例!L6</f>
        <v>45134.000497685185</v>
      </c>
      <c r="H7" s="365">
        <f>SUMIF(65:65,YEAR(G7)&amp;"-"&amp;INT((MONTH(G7)+2)/3),66:66)</f>
        <v>99.8</v>
      </c>
      <c r="I7" s="1974">
        <f>土地案例!L29</f>
        <v>44502.000497685185</v>
      </c>
      <c r="J7" s="365">
        <f>SUMIF(65:65,YEAR(I7)&amp;"-"&amp;INT((MONTH(I7)+2)/3),66:66)</f>
        <v>98.399999999999977</v>
      </c>
      <c r="K7" s="560"/>
      <c r="L7" s="2716"/>
      <c r="M7" s="2717"/>
      <c r="N7" s="2717"/>
      <c r="O7" s="2717"/>
      <c r="P7" s="3650" t="s">
        <v>1680</v>
      </c>
      <c r="Q7" s="3660"/>
      <c r="R7" s="701" t="s">
        <v>14</v>
      </c>
      <c r="S7" s="702">
        <f t="shared" ref="S7:S15" si="0">F7</f>
        <v>99.8</v>
      </c>
      <c r="T7" s="701" t="s">
        <v>14</v>
      </c>
      <c r="U7" s="702">
        <f t="shared" ref="U7:U15" si="1">H7</f>
        <v>99.8</v>
      </c>
      <c r="V7" s="701" t="s">
        <v>14</v>
      </c>
      <c r="W7" s="702">
        <f t="shared" ref="W7:W15" si="2">J7</f>
        <v>98.399999999999977</v>
      </c>
      <c r="X7" s="703"/>
      <c r="Y7" s="3650" t="s">
        <v>1680</v>
      </c>
      <c r="Z7" s="3651"/>
      <c r="AA7" s="704">
        <f>D7/F7</f>
        <v>1.0020040080160322</v>
      </c>
      <c r="AB7" s="704">
        <f>D7/H7</f>
        <v>1.0020040080160322</v>
      </c>
      <c r="AC7" s="704">
        <f>D7/J7</f>
        <v>1.0162601626016263</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50" t="s">
        <v>1683</v>
      </c>
      <c r="Q8" s="3651"/>
      <c r="R8" s="701" t="s">
        <v>14</v>
      </c>
      <c r="S8" s="702">
        <f t="shared" si="0"/>
        <v>100</v>
      </c>
      <c r="T8" s="701" t="s">
        <v>14</v>
      </c>
      <c r="U8" s="702">
        <f t="shared" si="1"/>
        <v>100</v>
      </c>
      <c r="V8" s="701" t="s">
        <v>14</v>
      </c>
      <c r="W8" s="702">
        <f t="shared" si="2"/>
        <v>100</v>
      </c>
      <c r="X8" s="703"/>
      <c r="Y8" s="3650" t="s">
        <v>1683</v>
      </c>
      <c r="Z8" s="3651"/>
      <c r="AA8" s="704">
        <f t="shared" ref="AA8:AA40" si="3">D8/F8</f>
        <v>1</v>
      </c>
      <c r="AB8" s="704">
        <f t="shared" ref="AB8:AB40" si="4">D8/H8</f>
        <v>1</v>
      </c>
      <c r="AC8" s="704">
        <f t="shared" ref="AC8:AC40" si="5">D8/J8</f>
        <v>1</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649"/>
      <c r="Q10" s="1343" t="str">
        <f t="shared" si="6"/>
        <v>土地使用年限（年）</v>
      </c>
      <c r="R10" s="701" t="s">
        <v>14</v>
      </c>
      <c r="S10" s="702">
        <f t="shared" si="0"/>
        <v>101</v>
      </c>
      <c r="T10" s="701" t="s">
        <v>14</v>
      </c>
      <c r="U10" s="702">
        <f t="shared" si="1"/>
        <v>101</v>
      </c>
      <c r="V10" s="701" t="s">
        <v>14</v>
      </c>
      <c r="W10" s="702">
        <f t="shared" si="2"/>
        <v>101</v>
      </c>
      <c r="X10" s="703"/>
      <c r="Y10" s="3550"/>
      <c r="Z10" s="52" t="str">
        <f t="shared" si="7"/>
        <v>土地使用年限（年）</v>
      </c>
      <c r="AA10" s="704">
        <f t="shared" si="3"/>
        <v>0.99009900990099009</v>
      </c>
      <c r="AB10" s="704">
        <f t="shared" si="4"/>
        <v>0.99009900990099009</v>
      </c>
      <c r="AC10" s="704">
        <f t="shared" si="5"/>
        <v>0.99009900990099009</v>
      </c>
    </row>
    <row r="11" spans="1:29" ht="15.75" thickBot="1">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20"/>
      <c r="M11" s="2715"/>
      <c r="N11" s="2715"/>
      <c r="O11" s="2773"/>
      <c r="P11" s="3649"/>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7"/>
      <c r="Q29" s="1352"/>
      <c r="R29" s="705"/>
      <c r="S29" s="706"/>
      <c r="T29" s="705"/>
      <c r="U29" s="706"/>
      <c r="V29" s="705"/>
      <c r="W29" s="706"/>
      <c r="X29" s="1355"/>
      <c r="Y29" s="3667"/>
      <c r="Z29" s="1356"/>
      <c r="AA29" s="1353">
        <v>1</v>
      </c>
      <c r="AB29" s="1353">
        <v>1</v>
      </c>
      <c r="AC29" s="1353">
        <v>1</v>
      </c>
    </row>
    <row r="30" spans="1:29" ht="15.75" thickBot="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83" t="s">
        <v>1696</v>
      </c>
      <c r="Q32" s="1352">
        <f t="shared" si="8"/>
        <v>111</v>
      </c>
      <c r="R32" s="705" t="s">
        <v>14</v>
      </c>
      <c r="S32" s="706">
        <f t="shared" si="10"/>
        <v>100</v>
      </c>
      <c r="T32" s="705" t="s">
        <v>14</v>
      </c>
      <c r="U32" s="706">
        <f t="shared" si="11"/>
        <v>100</v>
      </c>
      <c r="V32" s="705" t="s">
        <v>14</v>
      </c>
      <c r="W32" s="706">
        <f t="shared" si="12"/>
        <v>100</v>
      </c>
      <c r="X32" s="1355"/>
      <c r="Y32" s="3668" t="s">
        <v>1696</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8"/>
      <c r="Q33" s="1352">
        <f t="shared" si="8"/>
        <v>111</v>
      </c>
      <c r="R33" s="708" t="s">
        <v>14</v>
      </c>
      <c r="S33" s="709">
        <f t="shared" si="10"/>
        <v>100</v>
      </c>
      <c r="T33" s="708" t="s">
        <v>14</v>
      </c>
      <c r="U33" s="709">
        <f t="shared" si="11"/>
        <v>100</v>
      </c>
      <c r="V33" s="708" t="s">
        <v>14</v>
      </c>
      <c r="W33" s="709">
        <f t="shared" si="12"/>
        <v>100</v>
      </c>
      <c r="X33" s="710"/>
      <c r="Y33" s="3668"/>
      <c r="Z33" s="711">
        <f t="shared" si="13"/>
        <v>111</v>
      </c>
      <c r="AA33" s="1353">
        <f t="shared" si="3"/>
        <v>1</v>
      </c>
      <c r="AB33" s="1353">
        <f t="shared" si="4"/>
        <v>1</v>
      </c>
      <c r="AC33" s="1353">
        <f t="shared" si="5"/>
        <v>1</v>
      </c>
    </row>
    <row r="34" spans="1:31" ht="15">
      <c r="A34" s="391" t="s">
        <v>1694</v>
      </c>
      <c r="B34" s="407" t="s">
        <v>1874</v>
      </c>
      <c r="C34" s="627">
        <f>'数据-汇总表'!D3</f>
        <v>368153.3</v>
      </c>
      <c r="D34" s="418">
        <v>100</v>
      </c>
      <c r="E34" s="627">
        <f>土地案例!G4</f>
        <v>19886.2</v>
      </c>
      <c r="F34" s="418">
        <f>LOOKUP(E34,108:108,109:109)-LOOKUP(C34,108:108,109:109)+100</f>
        <v>105</v>
      </c>
      <c r="G34" s="627">
        <f>土地案例!G6</f>
        <v>24998.67</v>
      </c>
      <c r="H34" s="418">
        <f>LOOKUP(G34,108:108,109:109)-LOOKUP(C34,108:108,109:109)+100</f>
        <v>105</v>
      </c>
      <c r="I34" s="479">
        <f>土地案例!G29</f>
        <v>16250.3</v>
      </c>
      <c r="J34" s="418">
        <f>LOOKUP(I34,108:108,109:109)-LOOKUP(C34,108:108,109:109)+100</f>
        <v>105</v>
      </c>
      <c r="K34" s="562"/>
      <c r="L34" s="2721"/>
      <c r="M34" s="2715"/>
      <c r="N34" s="2715"/>
      <c r="O34" s="2773"/>
      <c r="P34" s="3668"/>
      <c r="Q34" s="1352" t="str">
        <f>B34</f>
        <v>宗地面积</v>
      </c>
      <c r="R34" s="705" t="s">
        <v>14</v>
      </c>
      <c r="S34" s="706">
        <f t="shared" si="10"/>
        <v>105</v>
      </c>
      <c r="T34" s="705" t="s">
        <v>14</v>
      </c>
      <c r="U34" s="706">
        <f t="shared" si="11"/>
        <v>105</v>
      </c>
      <c r="V34" s="705" t="s">
        <v>14</v>
      </c>
      <c r="W34" s="706">
        <f t="shared" si="12"/>
        <v>105</v>
      </c>
      <c r="X34" s="1355"/>
      <c r="Y34" s="3668"/>
      <c r="Z34" s="1356" t="str">
        <f t="shared" si="13"/>
        <v>宗地面积</v>
      </c>
      <c r="AA34" s="1353">
        <f t="shared" si="3"/>
        <v>0.95238095238095233</v>
      </c>
      <c r="AB34" s="1353">
        <f t="shared" si="4"/>
        <v>0.95238095238095233</v>
      </c>
      <c r="AC34" s="1353">
        <f t="shared" si="5"/>
        <v>0.95238095238095233</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68"/>
      <c r="Q35" s="1352" t="str">
        <f t="shared" ref="Q35:Q40" si="14">B35</f>
        <v>宗地形状</v>
      </c>
      <c r="R35" s="705" t="s">
        <v>14</v>
      </c>
      <c r="S35" s="706">
        <f t="shared" si="10"/>
        <v>100</v>
      </c>
      <c r="T35" s="705" t="s">
        <v>14</v>
      </c>
      <c r="U35" s="706">
        <f t="shared" si="11"/>
        <v>100</v>
      </c>
      <c r="V35" s="705" t="s">
        <v>14</v>
      </c>
      <c r="W35" s="706">
        <f t="shared" si="12"/>
        <v>100</v>
      </c>
      <c r="X35" s="1355"/>
      <c r="Y35" s="366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68"/>
      <c r="Q36" s="1352" t="str">
        <f t="shared" si="14"/>
        <v>宗地开发程度</v>
      </c>
      <c r="R36" s="701" t="s">
        <v>14</v>
      </c>
      <c r="S36" s="702">
        <f t="shared" si="10"/>
        <v>100</v>
      </c>
      <c r="T36" s="701" t="s">
        <v>14</v>
      </c>
      <c r="U36" s="702">
        <f t="shared" si="11"/>
        <v>100</v>
      </c>
      <c r="V36" s="701" t="s">
        <v>14</v>
      </c>
      <c r="W36" s="702">
        <f t="shared" si="12"/>
        <v>100</v>
      </c>
      <c r="X36" s="703"/>
      <c r="Y36" s="3668"/>
      <c r="Z36" s="52" t="str">
        <f t="shared" si="13"/>
        <v>宗地开发程度</v>
      </c>
      <c r="AA36" s="704">
        <f t="shared" si="3"/>
        <v>1</v>
      </c>
      <c r="AB36" s="704">
        <f t="shared" si="4"/>
        <v>1</v>
      </c>
      <c r="AC36" s="704">
        <f t="shared" si="5"/>
        <v>1</v>
      </c>
    </row>
    <row r="37" spans="1:31" ht="15.75" thickBot="1">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68" t="s">
        <v>1696</v>
      </c>
      <c r="Q37" s="1352" t="str">
        <f t="shared" si="14"/>
        <v>工程地质条件</v>
      </c>
      <c r="R37" s="705" t="s">
        <v>14</v>
      </c>
      <c r="S37" s="706">
        <f t="shared" si="10"/>
        <v>100</v>
      </c>
      <c r="T37" s="705" t="s">
        <v>14</v>
      </c>
      <c r="U37" s="706">
        <f t="shared" si="11"/>
        <v>100</v>
      </c>
      <c r="V37" s="705" t="s">
        <v>14</v>
      </c>
      <c r="W37" s="706">
        <f t="shared" si="12"/>
        <v>100</v>
      </c>
      <c r="X37" s="1355"/>
      <c r="Y37" s="3668" t="s">
        <v>1696</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8"/>
      <c r="Q38" s="1352">
        <f t="shared" si="14"/>
        <v>111</v>
      </c>
      <c r="R38" s="705" t="s">
        <v>14</v>
      </c>
      <c r="S38" s="706">
        <f t="shared" si="10"/>
        <v>100</v>
      </c>
      <c r="T38" s="705" t="s">
        <v>14</v>
      </c>
      <c r="U38" s="706">
        <f t="shared" si="11"/>
        <v>100</v>
      </c>
      <c r="V38" s="705" t="s">
        <v>14</v>
      </c>
      <c r="W38" s="706">
        <f t="shared" si="12"/>
        <v>100</v>
      </c>
      <c r="X38" s="1355"/>
      <c r="Y38" s="3668"/>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8"/>
      <c r="Q39" s="1352">
        <f t="shared" si="14"/>
        <v>111</v>
      </c>
      <c r="R39" s="705" t="s">
        <v>14</v>
      </c>
      <c r="S39" s="706">
        <f t="shared" si="10"/>
        <v>100</v>
      </c>
      <c r="T39" s="705" t="s">
        <v>14</v>
      </c>
      <c r="U39" s="706">
        <f t="shared" si="11"/>
        <v>100</v>
      </c>
      <c r="V39" s="705" t="s">
        <v>14</v>
      </c>
      <c r="W39" s="706">
        <f t="shared" si="12"/>
        <v>100</v>
      </c>
      <c r="X39" s="1355"/>
      <c r="Y39" s="3668"/>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8"/>
      <c r="Q40" s="1352">
        <f t="shared" si="14"/>
        <v>111</v>
      </c>
      <c r="R40" s="708" t="s">
        <v>14</v>
      </c>
      <c r="S40" s="709">
        <f t="shared" si="10"/>
        <v>100</v>
      </c>
      <c r="T40" s="708" t="s">
        <v>14</v>
      </c>
      <c r="U40" s="709">
        <f t="shared" si="11"/>
        <v>100</v>
      </c>
      <c r="V40" s="708" t="s">
        <v>14</v>
      </c>
      <c r="W40" s="709">
        <f t="shared" si="12"/>
        <v>100</v>
      </c>
      <c r="X40" s="710"/>
      <c r="Y40" s="3668"/>
      <c r="Z40" s="711">
        <f t="shared" si="13"/>
        <v>111</v>
      </c>
      <c r="AA40" s="1353">
        <f t="shared" si="3"/>
        <v>1</v>
      </c>
      <c r="AB40" s="1353">
        <f t="shared" si="4"/>
        <v>1</v>
      </c>
      <c r="AC40" s="1353">
        <f t="shared" si="5"/>
        <v>1</v>
      </c>
    </row>
    <row r="41" spans="1:31" ht="15">
      <c r="A41" s="430" t="s">
        <v>1844</v>
      </c>
      <c r="B41" s="1982" t="s">
        <v>3612</v>
      </c>
      <c r="C41" s="630" t="s">
        <v>0</v>
      </c>
      <c r="D41" s="432"/>
      <c r="E41" s="433">
        <f>土地案例!P4</f>
        <v>144</v>
      </c>
      <c r="F41" s="434"/>
      <c r="G41" s="435">
        <f>土地案例!P6</f>
        <v>165</v>
      </c>
      <c r="H41" s="436"/>
      <c r="I41" s="433">
        <f>土地案例!P29</f>
        <v>151.52000000000001</v>
      </c>
      <c r="J41" s="436"/>
      <c r="K41" s="714"/>
      <c r="L41" s="2723"/>
      <c r="M41" s="2715"/>
      <c r="N41" s="2715"/>
      <c r="O41" s="2724"/>
      <c r="P41" s="3649" t="str">
        <f>A41</f>
        <v>成交单价</v>
      </c>
      <c r="Q41" s="3649"/>
      <c r="R41" s="3665">
        <f>E41</f>
        <v>144</v>
      </c>
      <c r="S41" s="3665"/>
      <c r="T41" s="3665">
        <f>G41</f>
        <v>165</v>
      </c>
      <c r="U41" s="3665"/>
      <c r="V41" s="3665">
        <f>I41</f>
        <v>151.52000000000001</v>
      </c>
      <c r="W41" s="3665"/>
      <c r="X41" s="690"/>
      <c r="Y41" s="712"/>
      <c r="Z41" s="690"/>
      <c r="AA41" s="690"/>
      <c r="AB41" s="690"/>
      <c r="AC41" s="690"/>
    </row>
    <row r="42" spans="1:31" ht="15.75" thickBot="1">
      <c r="A42" s="437" t="s">
        <v>1793</v>
      </c>
      <c r="B42" s="631"/>
      <c r="C42" s="440">
        <f>R43</f>
        <v>146</v>
      </c>
      <c r="D42" s="2317" t="s">
        <v>2137</v>
      </c>
      <c r="E42" s="440">
        <f>R42</f>
        <v>136</v>
      </c>
      <c r="F42" s="2318"/>
      <c r="G42" s="439">
        <f>T42</f>
        <v>156</v>
      </c>
      <c r="H42" s="2318"/>
      <c r="I42" s="440">
        <f>V42</f>
        <v>145</v>
      </c>
      <c r="J42" s="2318"/>
      <c r="K42" s="2320">
        <f>F42+H42+J42</f>
        <v>0</v>
      </c>
      <c r="L42" s="2723"/>
      <c r="M42" s="2715"/>
      <c r="N42" s="2715"/>
      <c r="O42" s="2724"/>
      <c r="P42" s="3649" t="str">
        <f>A42</f>
        <v>比较价值（元/平方米）</v>
      </c>
      <c r="Q42" s="3649"/>
      <c r="R42" s="3687">
        <f>ROUND(PRODUCT(R41,AA7:AA40),0)</f>
        <v>136</v>
      </c>
      <c r="S42" s="3687"/>
      <c r="T42" s="3687">
        <f>ROUND(PRODUCT(T41,AB7:AB40),0)</f>
        <v>156</v>
      </c>
      <c r="U42" s="3687"/>
      <c r="V42" s="3687">
        <f>ROUND(PRODUCT(V41,AC7:AC40),0)</f>
        <v>145</v>
      </c>
      <c r="W42" s="3687"/>
      <c r="X42" s="690"/>
      <c r="Y42" s="690"/>
      <c r="Z42" s="690"/>
      <c r="AA42" s="690"/>
      <c r="AB42" s="690"/>
      <c r="AC42" s="690"/>
    </row>
    <row r="43" spans="1:31" ht="15.75" thickBot="1">
      <c r="A43" s="441" t="s">
        <v>1794</v>
      </c>
      <c r="B43" s="442"/>
      <c r="C43" s="443">
        <f>R43</f>
        <v>146</v>
      </c>
      <c r="D43" s="443"/>
      <c r="E43" s="443"/>
      <c r="F43" s="443"/>
      <c r="G43" s="443"/>
      <c r="H43" s="443"/>
      <c r="I43" s="443"/>
      <c r="J43" s="443"/>
      <c r="K43" s="715"/>
      <c r="L43" s="2723"/>
      <c r="M43" s="2715"/>
      <c r="N43" s="2715"/>
      <c r="O43" s="2724"/>
      <c r="P43" s="3684" t="str">
        <f>A43</f>
        <v>估价对象XX用房的比较价值（楼面单价，元/平方米）</v>
      </c>
      <c r="Q43" s="3685"/>
      <c r="R43" s="3686">
        <f>ROUND(IF(D42="简单平均",AVERAGE(R42:W42),R42*F42+T42*H42+V42*J42),0)</f>
        <v>146</v>
      </c>
      <c r="S43" s="3686"/>
      <c r="T43" s="3686"/>
      <c r="U43" s="3686"/>
      <c r="V43" s="3686"/>
      <c r="W43" s="368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5.8823529411764719E-2</v>
      </c>
      <c r="F46" s="449" t="str">
        <f>IF(OR(E46&gt;=0.3,E46&lt;=-0.3),"超过30%","")</f>
        <v/>
      </c>
      <c r="G46" s="448">
        <f>IF(G41&lt;G42,G42/G41-1,G41/G42-1)</f>
        <v>5.7692307692307709E-2</v>
      </c>
      <c r="H46" s="449" t="str">
        <f>IF(OR(G46&gt;=0.3,G46&lt;=-0.3),"超过30%","")</f>
        <v/>
      </c>
      <c r="I46" s="448">
        <f>IF(I41&lt;I42,I42/I41-1,I41/I42-1)</f>
        <v>4.4965517241379427E-2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0.14705882352941169</v>
      </c>
      <c r="F47" s="449" t="str">
        <f>IF(OR(E47&gt;=0.2,E47&lt;=-0.2),"超过20%","")</f>
        <v/>
      </c>
      <c r="G47" s="448">
        <f>IF(G42&lt;I42,I42/G42-1,G42/I42-1)</f>
        <v>7.5862068965517171E-2</v>
      </c>
      <c r="H47" s="449" t="str">
        <f>IF(OR(G47&gt;=0.2,G47&lt;=-0.2),"超过20%","")</f>
        <v/>
      </c>
      <c r="I47" s="448">
        <f>IF(I42&lt;E42,E42/I42-1,I42/E42-1)</f>
        <v>6.6176470588235281E-2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0.14583333333333326</v>
      </c>
      <c r="F48" s="449" t="str">
        <f>IF(OR(E48&gt;=0.3,E48&lt;=-0.3),"超过30%","")</f>
        <v/>
      </c>
      <c r="G48" s="448">
        <f>IF(G41&lt;I41,I41/G41-1,G41/I41-1)</f>
        <v>8.8965153115100337E-2</v>
      </c>
      <c r="H48" s="449" t="str">
        <f>IF(OR(G48&gt;=0.3,G48&lt;=-0.3),"超过30%","")</f>
        <v/>
      </c>
      <c r="I48" s="448">
        <f>IF(I41&lt;E41,E41/I41-1,I41/E41-1)</f>
        <v>5.2222222222222392E-2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46" t="s">
        <v>1887</v>
      </c>
      <c r="H50" s="3647"/>
      <c r="I50" s="1356" t="s">
        <v>1922</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146</v>
      </c>
      <c r="C51" s="638">
        <v>1</v>
      </c>
      <c r="D51" s="944">
        <v>1</v>
      </c>
      <c r="E51" s="638">
        <f>'数据-汇总表'!E8+'数据-汇总表'!E9</f>
        <v>253546.02500000002</v>
      </c>
      <c r="F51" s="639">
        <f t="shared" ref="F51:F60" si="15">ROUND(B51*E51/10000,0)</f>
        <v>3702</v>
      </c>
      <c r="G51" s="3648"/>
      <c r="H51" s="364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368153.3</v>
      </c>
      <c r="F61" s="645">
        <f>IF(B41="楼面地价",SUM(F51:F60),ROUND(C43*E61/10000,0))</f>
        <v>5375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f t="shared" ref="D66:K66" si="20">C66-0.2</f>
        <v>99.8</v>
      </c>
      <c r="E66" s="544">
        <f t="shared" si="20"/>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0.5</v>
      </c>
      <c r="E75" s="498">
        <v>1</v>
      </c>
      <c r="F75" s="498">
        <v>1.5</v>
      </c>
      <c r="G75" s="498">
        <v>2</v>
      </c>
      <c r="H75" s="498">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0(含)-50000</v>
      </c>
      <c r="D107" s="478" t="str">
        <f t="shared" si="26"/>
        <v>50000(含)-100000</v>
      </c>
      <c r="E107" s="478" t="str">
        <f t="shared" si="26"/>
        <v>100000(含)-150000</v>
      </c>
      <c r="F107" s="478" t="str">
        <f t="shared" si="26"/>
        <v>150000(含)-200000</v>
      </c>
      <c r="G107" s="478" t="str">
        <f t="shared" si="26"/>
        <v>200000(含)-300000</v>
      </c>
      <c r="H107" s="478" t="str">
        <f t="shared" si="26"/>
        <v>300000(含)-500000</v>
      </c>
      <c r="I107" s="478" t="str">
        <f t="shared" si="26"/>
        <v>500000(含)-</v>
      </c>
      <c r="J107" s="478" t="str">
        <f t="shared" si="26"/>
        <v>(含)-</v>
      </c>
      <c r="K107" s="1333" t="str">
        <f t="shared" si="26"/>
        <v>(含)-</v>
      </c>
      <c r="L107" s="1333" t="str">
        <f t="shared" si="26"/>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150000</v>
      </c>
      <c r="G108" s="544">
        <v>200000</v>
      </c>
      <c r="H108" s="544">
        <v>300000</v>
      </c>
      <c r="I108" s="544">
        <v>500000</v>
      </c>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C109-1</f>
        <v>99</v>
      </c>
      <c r="E109" s="540">
        <f>D109-1</f>
        <v>98</v>
      </c>
      <c r="F109" s="540">
        <f>E109-1</f>
        <v>97</v>
      </c>
      <c r="G109" s="540">
        <f>F109-1</f>
        <v>96</v>
      </c>
      <c r="H109" s="540">
        <f>G109-1</f>
        <v>95</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5" zoomScaleNormal="70" zoomScaleSheetLayoutView="85" workbookViewId="0">
      <selection activeCell="G37" sqref="G3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t="s">
        <v>3</v>
      </c>
      <c r="D1" s="1190"/>
      <c r="E1" s="2805"/>
      <c r="F1" s="2805"/>
      <c r="G1" s="2670"/>
      <c r="H1" s="2805"/>
      <c r="I1" s="2805"/>
      <c r="J1" s="2805"/>
      <c r="K1" s="2806">
        <f>MATCH(C1,'数据-取费表'!A6:A16,0)+5</f>
        <v>6</v>
      </c>
    </row>
    <row r="2" spans="1:33" ht="18" customHeight="1">
      <c r="A2" s="201" t="s">
        <v>1462</v>
      </c>
      <c r="B2" s="204">
        <f ca="1">C32</f>
        <v>65653</v>
      </c>
      <c r="C2" s="276" t="s">
        <v>1595</v>
      </c>
      <c r="D2" s="276"/>
      <c r="E2" s="2805"/>
      <c r="F2" s="2805"/>
      <c r="G2" s="2805"/>
      <c r="H2" s="2805"/>
      <c r="I2" s="2805"/>
      <c r="J2" s="2805"/>
      <c r="K2" s="2805"/>
    </row>
    <row r="3" spans="1:33" ht="18" customHeight="1" thickBot="1">
      <c r="A3" s="203" t="s">
        <v>1464</v>
      </c>
      <c r="B3" s="204">
        <f ca="1">ROUND(B2*10000/IF(C1="",'数据-汇总表'!E3,INDIRECT("'数据-取费表'!K"&amp;$K$1)),0)</f>
        <v>2587</v>
      </c>
      <c r="C3" s="276" t="s">
        <v>1596</v>
      </c>
      <c r="D3" s="276"/>
      <c r="E3" s="2805"/>
      <c r="F3" s="2805"/>
      <c r="G3" s="2805"/>
      <c r="H3" s="2805"/>
      <c r="I3" s="2805"/>
      <c r="J3" s="2805"/>
      <c r="K3" s="2805"/>
    </row>
    <row r="4" spans="1:33" s="785" customFormat="1" ht="16.5" customHeight="1">
      <c r="A4" s="782" t="s">
        <v>1597</v>
      </c>
      <c r="B4" s="783"/>
      <c r="C4" s="824">
        <f ca="1">SUM(C8:K8)</f>
        <v>78457</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3092</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253739.7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78457</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5075</v>
      </c>
      <c r="D11" s="802"/>
      <c r="E11" s="329"/>
      <c r="F11" s="812">
        <f ca="1">1-IF('数据-取费表'!B24=0,1,IF(C1="",'数据-取费表'!N16,INDIRECT("'数据-取费表'!n"&amp;$K$1)))</f>
        <v>7.999999999999996E-2</v>
      </c>
      <c r="G11" s="5"/>
      <c r="H11" s="797"/>
      <c r="I11" s="797"/>
      <c r="J11" s="797"/>
      <c r="K11" s="798"/>
    </row>
    <row r="12" spans="1:33" s="803" customFormat="1" ht="13.5" customHeight="1">
      <c r="A12" s="800" t="s">
        <v>636</v>
      </c>
      <c r="B12" s="801" t="s">
        <v>1613</v>
      </c>
      <c r="C12" s="21">
        <f ca="1">ROUND(C11*F12,0)</f>
        <v>152</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304</v>
      </c>
      <c r="D14" s="846">
        <f ca="1">IF(C1="",'数据-汇总表'!E3,INDIRECT("'数据-取费表'!K"&amp;$K$1)+INDIRECT("'数据-取费表'!S"&amp;$K$1))</f>
        <v>253739.7</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76</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5607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253739.7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253739.7</v>
      </c>
      <c r="E20" s="21">
        <f>'数据-取费表'!B28</f>
        <v>0</v>
      </c>
      <c r="F20" s="804"/>
      <c r="G20" s="12"/>
      <c r="H20" s="809"/>
      <c r="I20" s="809"/>
      <c r="J20" s="809"/>
      <c r="K20" s="810"/>
    </row>
    <row r="21" spans="1:33" s="803" customFormat="1" ht="13.5" customHeight="1">
      <c r="A21" s="790" t="s">
        <v>357</v>
      </c>
      <c r="B21" s="813" t="s">
        <v>1628</v>
      </c>
      <c r="C21" s="814">
        <f ca="1">C16+C17+C18</f>
        <v>5607</v>
      </c>
      <c r="D21" s="815"/>
      <c r="E21" s="281"/>
      <c r="F21" s="281"/>
      <c r="G21" s="131" t="s">
        <v>1629</v>
      </c>
      <c r="H21" s="807"/>
      <c r="I21" s="807"/>
      <c r="J21" s="807"/>
      <c r="K21" s="808"/>
    </row>
    <row r="22" spans="1:33" s="803" customFormat="1" ht="13.5" customHeight="1">
      <c r="A22" s="790" t="s">
        <v>1601</v>
      </c>
      <c r="B22" s="813" t="s">
        <v>1630</v>
      </c>
      <c r="C22" s="814">
        <f ca="1">ROUND(C21*F22,0)</f>
        <v>112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126</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16</v>
      </c>
      <c r="D25" s="280">
        <f ca="1">C26</f>
        <v>5.5999999999999999E-3</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5.5999999999999999E-3</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16</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292</v>
      </c>
      <c r="D28" s="280">
        <f ca="1">C29</f>
        <v>4.1000000000000003E-3</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4.1000000000000003E-3</v>
      </c>
      <c r="D29" s="284"/>
      <c r="E29" s="285"/>
      <c r="F29" s="290"/>
      <c r="G29" s="131" t="s">
        <v>1644</v>
      </c>
      <c r="H29" s="807"/>
      <c r="I29" s="807"/>
      <c r="J29" s="807"/>
      <c r="K29" s="808"/>
    </row>
    <row r="30" spans="1:33" s="291" customFormat="1" ht="13.5" customHeight="1">
      <c r="A30" s="800" t="s">
        <v>359</v>
      </c>
      <c r="B30" s="822" t="s">
        <v>1645</v>
      </c>
      <c r="C30" s="292">
        <f ca="1">ROUND((C21+C22+C23)*F28,0)</f>
        <v>292</v>
      </c>
      <c r="D30" s="284"/>
      <c r="E30" s="285"/>
      <c r="F30" s="290"/>
      <c r="G30" s="131"/>
      <c r="H30" s="807"/>
      <c r="I30" s="807"/>
      <c r="J30" s="807"/>
      <c r="K30" s="808"/>
    </row>
    <row r="31" spans="1:33" s="803" customFormat="1" ht="13.5" customHeight="1" thickBot="1">
      <c r="A31" s="1866" t="s">
        <v>1646</v>
      </c>
      <c r="B31" s="833" t="s">
        <v>1647</v>
      </c>
      <c r="C31" s="834">
        <f ca="1">ROUND(C4*F31/(1+'数据-取费表'!C42),0)</f>
        <v>4110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65653</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3467</v>
      </c>
      <c r="E1" s="1363" t="s">
        <v>678</v>
      </c>
      <c r="F1" s="1062">
        <f ca="1">J53</f>
        <v>47.35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78457</v>
      </c>
      <c r="C2" s="1387" t="s">
        <v>805</v>
      </c>
      <c r="D2" s="1387"/>
      <c r="E2" s="1388"/>
      <c r="F2" s="1389"/>
      <c r="G2" s="2705"/>
      <c r="H2" s="2694"/>
      <c r="I2" s="2694"/>
      <c r="J2" s="2694"/>
      <c r="K2" s="2695"/>
      <c r="L2" s="2694"/>
      <c r="M2" s="2694"/>
    </row>
    <row r="3" spans="1:37" ht="18" customHeight="1" thickBot="1">
      <c r="A3" s="1390" t="s">
        <v>806</v>
      </c>
      <c r="B3" s="1391">
        <f ca="1">IF(ISERROR(B2*10000/F43),0,ROUND(B2*10000/F43,0))</f>
        <v>3092</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4084</v>
      </c>
      <c r="D5" s="1364" t="s">
        <v>693</v>
      </c>
      <c r="E5" s="1071"/>
      <c r="F5" s="1072"/>
      <c r="G5" s="1384"/>
      <c r="H5" s="299">
        <v>1</v>
      </c>
      <c r="I5" s="300" t="s">
        <v>692</v>
      </c>
      <c r="J5" s="1070">
        <f ca="1">J6+J10+J12</f>
        <v>0</v>
      </c>
      <c r="K5" s="1364" t="s">
        <v>693</v>
      </c>
      <c r="L5" s="1071"/>
      <c r="M5" s="1072"/>
    </row>
    <row r="6" spans="1:37" ht="18" customHeight="1">
      <c r="A6" s="1069" t="s">
        <v>398</v>
      </c>
      <c r="B6" s="3690" t="s">
        <v>694</v>
      </c>
      <c r="C6" s="1074">
        <f ca="1">ROUND(F6*F8*F7*(1-F9)/10000,0)</f>
        <v>4084</v>
      </c>
      <c r="D6" s="155" t="s">
        <v>2108</v>
      </c>
      <c r="E6" s="302" t="s">
        <v>696</v>
      </c>
      <c r="F6" s="303">
        <f ca="1">INDIRECT("'数据-取费表'!u"&amp;$G$1)</f>
        <v>0.49</v>
      </c>
      <c r="G6" s="1384"/>
      <c r="H6" s="1069" t="s">
        <v>398</v>
      </c>
      <c r="I6" s="3690" t="s">
        <v>694</v>
      </c>
      <c r="J6" s="301">
        <f ca="1">ROUND(M6*M8*M7*(1-M9)/10000,0)</f>
        <v>0</v>
      </c>
      <c r="K6" s="155" t="s">
        <v>2107</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253739.7</v>
      </c>
      <c r="G7" s="1384"/>
      <c r="H7" s="304"/>
      <c r="I7" s="3691"/>
      <c r="J7" s="306"/>
      <c r="K7" s="307"/>
      <c r="L7" s="302" t="s">
        <v>697</v>
      </c>
      <c r="M7" s="303">
        <f ca="1">F7</f>
        <v>253739.7</v>
      </c>
    </row>
    <row r="8" spans="1:37" ht="18" customHeight="1">
      <c r="A8" s="304"/>
      <c r="B8" s="3691"/>
      <c r="C8" s="306"/>
      <c r="D8" s="307"/>
      <c r="E8" s="302" t="s">
        <v>698</v>
      </c>
      <c r="F8" s="303">
        <f ca="1">INDIRECT("'数据-取费表'!ai"&amp;$G$1)</f>
        <v>365</v>
      </c>
      <c r="G8" s="1384"/>
      <c r="H8" s="304"/>
      <c r="I8" s="3691"/>
      <c r="J8" s="306"/>
      <c r="K8" s="307"/>
      <c r="L8" s="302" t="s">
        <v>698</v>
      </c>
      <c r="M8" s="303">
        <f ca="1">INDIRECT("'数据-取费表'!ai"&amp;$G$1)</f>
        <v>365</v>
      </c>
    </row>
    <row r="9" spans="1:37" ht="18" customHeight="1">
      <c r="A9" s="304"/>
      <c r="B9" s="3692"/>
      <c r="C9" s="306"/>
      <c r="D9" s="307"/>
      <c r="E9" s="302" t="s">
        <v>699</v>
      </c>
      <c r="F9" s="312">
        <f ca="1">INDIRECT("'数据-取费表'!w"&amp;$G$1)</f>
        <v>0.1</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3468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83744</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63435</v>
      </c>
      <c r="D14" s="1345" t="s">
        <v>708</v>
      </c>
      <c r="E14" s="1342"/>
      <c r="F14" s="319"/>
      <c r="G14" s="1384"/>
      <c r="H14" s="982" t="s">
        <v>398</v>
      </c>
      <c r="I14" s="302" t="s">
        <v>709</v>
      </c>
      <c r="J14" s="21">
        <f ca="1">C29</f>
        <v>83744</v>
      </c>
      <c r="K14" s="12"/>
      <c r="L14" s="807"/>
      <c r="M14" s="808"/>
    </row>
    <row r="15" spans="1:37" s="1397" customFormat="1" ht="18" customHeight="1" thickBot="1">
      <c r="A15" s="982" t="s">
        <v>399</v>
      </c>
      <c r="B15" s="302" t="s">
        <v>710</v>
      </c>
      <c r="C15" s="21">
        <f ca="1">ROUND(C14*F15,0)</f>
        <v>1903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419</v>
      </c>
      <c r="K16" s="1087" t="s">
        <v>715</v>
      </c>
      <c r="L16" s="1088"/>
      <c r="M16" s="1072"/>
    </row>
    <row r="17" spans="1:37" s="1397" customFormat="1" ht="18" customHeight="1">
      <c r="A17" s="982" t="s">
        <v>681</v>
      </c>
      <c r="B17" s="302" t="s">
        <v>716</v>
      </c>
      <c r="C17" s="21">
        <f ca="1">ROUND(F17*(F43+INDIRECT("'数据-取费表'!S"&amp;$G$1))/10000,0)</f>
        <v>3806</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952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70096</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1402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368153.3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418.72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2466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-419</v>
      </c>
      <c r="K25" s="1095" t="s">
        <v>753</v>
      </c>
      <c r="L25" s="1096"/>
      <c r="M25" s="1097"/>
    </row>
    <row r="26" spans="1:37">
      <c r="A26" s="982" t="s">
        <v>397</v>
      </c>
      <c r="B26" s="302" t="s">
        <v>754</v>
      </c>
      <c r="C26" s="21">
        <f ca="1">ROUND((C19+C20)*F26,0)</f>
        <v>3575</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83744</v>
      </c>
      <c r="D29" s="1092"/>
      <c r="E29" s="1090"/>
      <c r="F29" s="1093"/>
      <c r="G29" s="1396"/>
      <c r="H29" s="334" t="s">
        <v>396</v>
      </c>
      <c r="I29" s="335" t="s">
        <v>768</v>
      </c>
      <c r="J29" s="336">
        <f ca="1">ROUND(J26/(1+F40)^F41,0)</f>
        <v>0</v>
      </c>
      <c r="K29" s="337" t="s">
        <v>769</v>
      </c>
      <c r="L29" s="338"/>
      <c r="M29" s="339">
        <f ca="1">INDIRECT("'数据-取费表'!k"&amp;$G$1)</f>
        <v>253739.7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1204</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680.66</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IF(项目基本情况!B11="自然人","——",ROUND(C6*F32/(1+'数据-取费表'!C42),2))</f>
        <v>213.92</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466.74</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368153.3</v>
      </c>
      <c r="G35" s="1384"/>
      <c r="H35" s="2696"/>
      <c r="I35" s="1398"/>
      <c r="J35" s="1399"/>
      <c r="K35" s="2700"/>
      <c r="L35" s="2699"/>
      <c r="M35" s="2699"/>
    </row>
    <row r="36" spans="1:18" ht="18" customHeight="1">
      <c r="A36" s="1102" t="s">
        <v>402</v>
      </c>
      <c r="B36" s="302" t="s">
        <v>738</v>
      </c>
      <c r="C36" s="21">
        <f ca="1">ROUND(C29*F36,2)</f>
        <v>418.72</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ROUND(C13*F37,2)</f>
        <v>83.74</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20.420000000000002</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2880</v>
      </c>
      <c r="D39" s="1095" t="s">
        <v>773</v>
      </c>
      <c r="E39" s="1096"/>
      <c r="F39" s="1097"/>
      <c r="G39" s="1384"/>
      <c r="H39" s="2699"/>
      <c r="I39" s="1398"/>
      <c r="J39" s="1399"/>
      <c r="K39" s="2703"/>
      <c r="L39" s="2699"/>
      <c r="M39" s="2699"/>
    </row>
    <row r="40" spans="1:18" ht="18" customHeight="1">
      <c r="A40" s="299" t="s">
        <v>395</v>
      </c>
      <c r="B40" s="300" t="s">
        <v>774</v>
      </c>
      <c r="C40" s="301">
        <f ca="1">ROUND(C39*(1-((1+F42)/(1+F40))^F41)/(F40-F42),0)</f>
        <v>44959</v>
      </c>
      <c r="D40" s="324" t="s">
        <v>758</v>
      </c>
      <c r="E40" s="302" t="s">
        <v>759</v>
      </c>
      <c r="F40" s="312">
        <f ca="1">INDIRECT("'数据-取费表'!I"&amp;$G$1)</f>
        <v>0.06</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47.35</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1772</v>
      </c>
      <c r="D43" s="337" t="s">
        <v>777</v>
      </c>
      <c r="E43" s="338" t="s">
        <v>778</v>
      </c>
      <c r="F43" s="339">
        <f ca="1">INDIRECT("'数据-取费表'!k"&amp;$G$1)</f>
        <v>253739.7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-52796</v>
      </c>
      <c r="D46" s="1406" t="str">
        <f>C2</f>
        <v>万元</v>
      </c>
      <c r="E46" s="1400"/>
      <c r="F46" s="1400"/>
      <c r="I46" s="1407" t="s">
        <v>810</v>
      </c>
      <c r="J46" s="1408"/>
      <c r="K46" s="1409"/>
      <c r="L46" s="1410">
        <f ca="1">IF(M47="住宅",0,IF(L48&gt;J51,L60,J60))</f>
        <v>33498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3469</v>
      </c>
      <c r="K47" s="1416" t="s">
        <v>816</v>
      </c>
      <c r="L47" s="1417">
        <f ca="1">INDIRECT("'数据-取费表'!d"&amp;$G$1)</f>
        <v>50</v>
      </c>
      <c r="M47" s="1380" t="str">
        <f>IF(ISNUMBER(FIND("住宅",C1)),"住宅","非住宅")</f>
        <v>非住宅</v>
      </c>
      <c r="O47" s="1418" t="s">
        <v>403</v>
      </c>
      <c r="P47" s="1419" t="s">
        <v>817</v>
      </c>
      <c r="Q47" s="1420">
        <f ca="1">C40+J29</f>
        <v>44959</v>
      </c>
      <c r="R47" s="1420" t="s">
        <v>818</v>
      </c>
    </row>
    <row r="48" spans="1:18" s="1384" customFormat="1" ht="28.5" thickBot="1">
      <c r="A48" s="1110" t="s">
        <v>438</v>
      </c>
      <c r="B48" s="300" t="s">
        <v>692</v>
      </c>
      <c r="C48" s="1359">
        <f ca="1">C49+C53+C55</f>
        <v>0</v>
      </c>
      <c r="D48" s="1112"/>
      <c r="E48" s="1113"/>
      <c r="F48" s="962"/>
      <c r="G48" s="722"/>
      <c r="H48" s="723"/>
      <c r="I48" s="1421" t="s">
        <v>819</v>
      </c>
      <c r="J48" s="1422" t="s">
        <v>3470</v>
      </c>
      <c r="K48" s="1423" t="s">
        <v>820</v>
      </c>
      <c r="L48" s="1424">
        <f ca="1">INDIRECT("'数据-取费表'!f"&amp;$G$1)</f>
        <v>47.51</v>
      </c>
      <c r="O48" s="1418" t="s">
        <v>404</v>
      </c>
      <c r="P48" s="1419" t="s">
        <v>821</v>
      </c>
      <c r="Q48" s="1420">
        <f ca="1">J60</f>
        <v>33498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83744</v>
      </c>
      <c r="R49" s="1420" t="s">
        <v>818</v>
      </c>
    </row>
    <row r="50" spans="1:18" s="1384" customFormat="1" ht="13.5" thickBot="1">
      <c r="A50" s="976"/>
      <c r="B50" s="979"/>
      <c r="C50" s="1118"/>
      <c r="D50" s="953"/>
      <c r="E50" s="1056" t="s">
        <v>697</v>
      </c>
      <c r="F50" s="1057">
        <f ca="1">F7</f>
        <v>253739.7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-58932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47.35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47.35</v>
      </c>
      <c r="K53" s="3688" t="s">
        <v>837</v>
      </c>
      <c r="L53" s="3689"/>
      <c r="O53" s="1418" t="s">
        <v>409</v>
      </c>
      <c r="P53" s="1419" t="s">
        <v>838</v>
      </c>
      <c r="Q53" s="1420">
        <f ca="1">Q47+Q48</f>
        <v>78457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0.05</v>
      </c>
      <c r="K55" s="1445" t="s">
        <v>841</v>
      </c>
      <c r="L55" s="1446"/>
      <c r="O55" s="1411" t="s">
        <v>811</v>
      </c>
      <c r="P55" s="1412" t="s">
        <v>812</v>
      </c>
      <c r="Q55" s="1413" t="s">
        <v>813</v>
      </c>
      <c r="R55" s="1413" t="s">
        <v>814</v>
      </c>
    </row>
    <row r="56" spans="1:18" s="1384" customFormat="1" ht="25.5" thickTop="1" thickBot="1">
      <c r="A56" s="957">
        <v>2</v>
      </c>
      <c r="B56" s="958" t="s">
        <v>704</v>
      </c>
      <c r="C56" s="232">
        <f ca="1">C13</f>
        <v>83744</v>
      </c>
      <c r="D56" s="1447"/>
      <c r="E56" s="1448"/>
      <c r="F56" s="1440"/>
      <c r="I56" s="1449" t="s">
        <v>842</v>
      </c>
      <c r="J56" s="1450"/>
      <c r="K56" s="1421" t="s">
        <v>843</v>
      </c>
      <c r="L56" s="1424" t="str">
        <f ca="1">IF(L48&lt;J51,"——",L48-J53)</f>
        <v>——</v>
      </c>
      <c r="O56" s="1418" t="s">
        <v>403</v>
      </c>
      <c r="P56" s="1419" t="s">
        <v>817</v>
      </c>
      <c r="Q56" s="1420">
        <f ca="1">C40+J29</f>
        <v>44959</v>
      </c>
      <c r="R56" s="1420" t="s">
        <v>818</v>
      </c>
    </row>
    <row r="57" spans="1:18" s="1384" customFormat="1" ht="24.75" thickBot="1">
      <c r="A57" s="1451"/>
      <c r="B57" s="950" t="s">
        <v>767</v>
      </c>
      <c r="C57" s="238">
        <f ca="1">C29</f>
        <v>83744</v>
      </c>
      <c r="D57" s="1452"/>
      <c r="E57" s="1453"/>
      <c r="F57" s="1454"/>
      <c r="I57" s="1455" t="s">
        <v>844</v>
      </c>
      <c r="J57" s="1456">
        <f ca="1">IF(OR(M47="住宅",J51&lt;L48,J56="是"),"——",J51-L48)</f>
        <v>2.490000000000002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502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33498</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33498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44959</v>
      </c>
      <c r="R62" s="1420" t="s">
        <v>410</v>
      </c>
    </row>
    <row r="63" spans="1:18" s="1384" customFormat="1" ht="13.5" thickBot="1">
      <c r="A63" s="326"/>
      <c r="B63" s="956"/>
      <c r="C63" s="26"/>
      <c r="D63" s="966"/>
      <c r="E63" s="950" t="s">
        <v>788</v>
      </c>
      <c r="F63" s="303">
        <f t="shared" ca="1" si="0"/>
        <v>368153.3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418.72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83.74</v>
      </c>
      <c r="D65" s="964" t="s">
        <v>743</v>
      </c>
      <c r="E65" s="950" t="s">
        <v>744</v>
      </c>
      <c r="F65" s="330">
        <f t="shared" ca="1" si="0"/>
        <v>1E-3</v>
      </c>
      <c r="I65" s="1462" t="s">
        <v>867</v>
      </c>
      <c r="J65" s="1463">
        <v>40</v>
      </c>
      <c r="K65" s="1463">
        <v>30</v>
      </c>
      <c r="L65" s="1463">
        <v>50</v>
      </c>
      <c r="M65" s="1465">
        <v>0.02</v>
      </c>
      <c r="O65" s="1418" t="s">
        <v>403</v>
      </c>
      <c r="P65" s="1419" t="s">
        <v>868</v>
      </c>
      <c r="Q65" s="1420">
        <f ca="1">C40+J29</f>
        <v>44959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-502</v>
      </c>
      <c r="D67" s="963" t="s">
        <v>753</v>
      </c>
      <c r="E67" s="968"/>
      <c r="F67" s="969"/>
      <c r="O67" s="1428" t="s">
        <v>405</v>
      </c>
      <c r="P67" s="1419" t="s">
        <v>850</v>
      </c>
      <c r="Q67" s="1466">
        <f ca="1">L51</f>
        <v>-58932</v>
      </c>
      <c r="R67" s="1420" t="s">
        <v>870</v>
      </c>
    </row>
    <row r="68" spans="1:18" s="1384" customFormat="1" ht="16.5" thickBot="1">
      <c r="A68" s="947" t="s">
        <v>395</v>
      </c>
      <c r="B68" s="948" t="s">
        <v>774</v>
      </c>
      <c r="C68" s="301">
        <f ca="1">ROUND(C67*(1-((1+F70)/(1+F68))^F69)/(F68-F70),0)</f>
        <v>-7837</v>
      </c>
      <c r="D68" s="965" t="s">
        <v>758</v>
      </c>
      <c r="E68" s="950" t="s">
        <v>759</v>
      </c>
      <c r="F68" s="312">
        <f ca="1">F40</f>
        <v>0.06</v>
      </c>
      <c r="O68" s="1428" t="s">
        <v>406</v>
      </c>
      <c r="P68" s="1467" t="s">
        <v>871</v>
      </c>
      <c r="Q68" s="1420">
        <f ca="1">ROUND(Q69-Q70*Q71,0)</f>
        <v>-2982</v>
      </c>
      <c r="R68" s="1420" t="s">
        <v>414</v>
      </c>
    </row>
    <row r="69" spans="1:18" s="1384" customFormat="1" ht="13.5" thickBot="1">
      <c r="A69" s="951"/>
      <c r="B69" s="952"/>
      <c r="C69" s="306"/>
      <c r="D69" s="970" t="s">
        <v>762</v>
      </c>
      <c r="E69" s="950" t="s">
        <v>763</v>
      </c>
      <c r="F69" s="333">
        <f ca="1">F41</f>
        <v>47.35</v>
      </c>
      <c r="O69" s="1428" t="s">
        <v>411</v>
      </c>
      <c r="P69" s="1467" t="s">
        <v>872</v>
      </c>
      <c r="Q69" s="1420">
        <f ca="1">C39</f>
        <v>2880</v>
      </c>
      <c r="R69" s="1420" t="s">
        <v>818</v>
      </c>
    </row>
    <row r="70" spans="1:18" s="1384" customFormat="1" ht="13.5" thickBot="1">
      <c r="A70" s="954"/>
      <c r="B70" s="955"/>
      <c r="C70" s="310"/>
      <c r="D70" s="966"/>
      <c r="E70" s="950" t="s">
        <v>766</v>
      </c>
      <c r="F70" s="1054"/>
      <c r="O70" s="1428" t="s">
        <v>412</v>
      </c>
      <c r="P70" s="1467" t="s">
        <v>873</v>
      </c>
      <c r="Q70" s="1420">
        <f ca="1">C13</f>
        <v>83744</v>
      </c>
      <c r="R70" s="1420" t="s">
        <v>818</v>
      </c>
    </row>
    <row r="71" spans="1:18" s="1384" customFormat="1" ht="13.5" thickBot="1">
      <c r="A71" s="971" t="s">
        <v>396</v>
      </c>
      <c r="B71" s="972" t="s">
        <v>776</v>
      </c>
      <c r="C71" s="336">
        <f ca="1">ROUND(C68*10000/F71,0)</f>
        <v>-309</v>
      </c>
      <c r="D71" s="973" t="s">
        <v>777</v>
      </c>
      <c r="E71" s="974" t="s">
        <v>778</v>
      </c>
      <c r="F71" s="339">
        <f ca="1">F43</f>
        <v>253739.7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5862</v>
      </c>
      <c r="D75" s="1384"/>
      <c r="E75" s="1384"/>
      <c r="F75" s="1384"/>
      <c r="K75" s="1402"/>
      <c r="L75" s="1384"/>
      <c r="O75" s="1418" t="s">
        <v>409</v>
      </c>
      <c r="P75" s="1419" t="s">
        <v>838</v>
      </c>
      <c r="Q75" s="1420">
        <f ca="1">Q65+Q66</f>
        <v>44959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-1.0350000000000001</v>
      </c>
    </row>
    <row r="80" spans="1:18">
      <c r="B80" s="340" t="s">
        <v>800</v>
      </c>
      <c r="C80" s="274">
        <f ca="1">ROUND(C75/C39,3)</f>
        <v>2.0350000000000001</v>
      </c>
    </row>
    <row r="81" spans="2:3">
      <c r="B81" s="270" t="s">
        <v>801</v>
      </c>
      <c r="C81" s="238"/>
    </row>
    <row r="82" spans="2:3">
      <c r="B82" s="273" t="s">
        <v>802</v>
      </c>
      <c r="C82" s="275">
        <f ca="1">1-C83</f>
        <v>-0.86299999999999999</v>
      </c>
    </row>
    <row r="83" spans="2:3">
      <c r="B83" s="273" t="s">
        <v>803</v>
      </c>
      <c r="C83" s="274">
        <f ca="1">ROUND(C13/C40,3)</f>
        <v>1.863</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0" t="s">
        <v>694</v>
      </c>
      <c r="C6" s="1074">
        <f ca="1">ROUND(F6*F8*F7*(1-F9),0)</f>
        <v>0</v>
      </c>
      <c r="D6" s="155" t="s">
        <v>2105</v>
      </c>
      <c r="E6" s="302" t="s">
        <v>696</v>
      </c>
      <c r="F6" s="303">
        <f ca="1">INDIRECT("'数据-取费表'!u"&amp;$G$1)</f>
        <v>0</v>
      </c>
      <c r="G6" s="1384"/>
      <c r="H6" s="1069" t="s">
        <v>398</v>
      </c>
      <c r="I6" s="3690" t="s">
        <v>694</v>
      </c>
      <c r="J6" s="301">
        <f ca="1">ROUND(M6*M8*M7*(1-M9),0)</f>
        <v>0</v>
      </c>
      <c r="K6" s="1376" t="s">
        <v>2106</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8" t="s">
        <v>837</v>
      </c>
      <c r="L53" s="368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3362</v>
      </c>
      <c r="E2" s="3443"/>
      <c r="F2" s="2845"/>
      <c r="G2" s="2846"/>
      <c r="H2" s="2847"/>
      <c r="I2" s="2848"/>
      <c r="J2" s="3699" t="s">
        <v>2320</v>
      </c>
      <c r="K2" s="370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1" t="s">
        <v>2330</v>
      </c>
      <c r="K3" s="370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1" t="s">
        <v>2332</v>
      </c>
      <c r="K4" s="370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7" t="s">
        <v>2336</v>
      </c>
      <c r="B6" s="3708"/>
      <c r="C6" s="3709"/>
      <c r="D6" s="2869"/>
      <c r="E6" s="2870"/>
      <c r="F6" s="2871"/>
      <c r="G6" s="2872"/>
      <c r="H6" s="2847"/>
      <c r="I6" s="2848"/>
      <c r="J6" s="3693">
        <v>1</v>
      </c>
      <c r="K6" s="3694"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3"/>
      <c r="K7" s="3695"/>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0" t="s">
        <v>2350</v>
      </c>
      <c r="C8" s="3711"/>
      <c r="D8" s="2888" t="s">
        <v>2351</v>
      </c>
      <c r="E8" s="2889" t="s">
        <v>2352</v>
      </c>
      <c r="F8" s="2890" t="s">
        <v>2353</v>
      </c>
      <c r="G8" s="2891"/>
      <c r="H8" s="2847"/>
      <c r="I8" s="2848"/>
      <c r="J8" s="3693"/>
      <c r="K8" s="3695"/>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0" t="s">
        <v>2356</v>
      </c>
      <c r="C9" s="3711"/>
      <c r="D9" s="2888">
        <f>ROUND(D6*E9,0)</f>
        <v>0</v>
      </c>
      <c r="E9" s="2892"/>
      <c r="F9" s="2893" t="s">
        <v>2357</v>
      </c>
      <c r="G9" s="2872"/>
      <c r="H9" s="2847"/>
      <c r="I9" s="2848"/>
      <c r="J9" s="3693"/>
      <c r="K9" s="3695"/>
      <c r="L9" s="2882" t="s">
        <v>2358</v>
      </c>
      <c r="M9" s="2883"/>
      <c r="N9" s="2859"/>
      <c r="O9" s="2884"/>
      <c r="P9" s="2884"/>
      <c r="Q9" s="2885">
        <v>365</v>
      </c>
      <c r="R9" s="2886">
        <f t="shared" si="0"/>
        <v>0</v>
      </c>
      <c r="S9" s="2840"/>
      <c r="T9" s="2840"/>
      <c r="U9" s="2840"/>
      <c r="V9" s="2848"/>
    </row>
    <row r="10" spans="1:22" s="2852" customFormat="1" ht="13.15" customHeight="1">
      <c r="A10" s="2887">
        <v>2</v>
      </c>
      <c r="B10" s="3710" t="s">
        <v>2359</v>
      </c>
      <c r="C10" s="3711"/>
      <c r="D10" s="2888">
        <f>ROUND(D6*E10,0)</f>
        <v>0</v>
      </c>
      <c r="E10" s="2892"/>
      <c r="F10" s="2893" t="s">
        <v>2360</v>
      </c>
      <c r="G10" s="2872"/>
      <c r="H10" s="2847"/>
      <c r="I10" s="2848"/>
      <c r="J10" s="3693"/>
      <c r="K10" s="3695"/>
      <c r="L10" s="2882" t="s">
        <v>2361</v>
      </c>
      <c r="M10" s="2883"/>
      <c r="N10" s="2859"/>
      <c r="O10" s="2884"/>
      <c r="P10" s="2884"/>
      <c r="Q10" s="2885">
        <v>365</v>
      </c>
      <c r="R10" s="2886">
        <f t="shared" si="0"/>
        <v>0</v>
      </c>
      <c r="S10" s="2840"/>
      <c r="T10" s="2840"/>
      <c r="U10" s="2840"/>
      <c r="V10" s="2848"/>
    </row>
    <row r="11" spans="1:22" s="2852" customFormat="1" ht="13.15" customHeight="1">
      <c r="A11" s="2887">
        <v>3</v>
      </c>
      <c r="B11" s="3710" t="s">
        <v>2362</v>
      </c>
      <c r="C11" s="3711"/>
      <c r="D11" s="2888">
        <f>D12+D14+D15+D16</f>
        <v>0</v>
      </c>
      <c r="E11" s="2894" t="e">
        <f>D11/D6</f>
        <v>#DIV/0!</v>
      </c>
      <c r="F11" s="2890"/>
      <c r="G11" s="2891"/>
      <c r="H11" s="2847"/>
      <c r="I11" s="2848"/>
      <c r="J11" s="3693"/>
      <c r="K11" s="3695"/>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3" t="s">
        <v>2365</v>
      </c>
      <c r="C12" s="3704"/>
      <c r="D12" s="2896">
        <f>ROUND(D13*1.2%*(1-30%),0)</f>
        <v>0</v>
      </c>
      <c r="E12" s="2897">
        <v>1.2E-2</v>
      </c>
      <c r="F12" s="2890" t="s">
        <v>2366</v>
      </c>
      <c r="G12" s="2891"/>
      <c r="H12" s="2847"/>
      <c r="I12" s="2848"/>
      <c r="J12" s="3693"/>
      <c r="K12" s="3695"/>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3"/>
      <c r="K13" s="3695"/>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3" t="s">
        <v>2371</v>
      </c>
      <c r="C14" s="3704"/>
      <c r="D14" s="2896">
        <f>ROUND(E14*B5/10000,0)</f>
        <v>0</v>
      </c>
      <c r="E14" s="2885"/>
      <c r="F14" s="2890" t="s">
        <v>2372</v>
      </c>
      <c r="G14" s="2891"/>
      <c r="H14" s="2847"/>
      <c r="I14" s="2848"/>
      <c r="J14" s="3693"/>
      <c r="K14" s="3696"/>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3" t="s">
        <v>2375</v>
      </c>
      <c r="C15" s="3704"/>
      <c r="D15" s="2896">
        <f>ROUND(D6*E15,0)</f>
        <v>0</v>
      </c>
      <c r="E15" s="2897">
        <v>5.5E-2</v>
      </c>
      <c r="F15" s="2890" t="s">
        <v>2376</v>
      </c>
      <c r="G15" s="2872"/>
      <c r="H15" s="2847"/>
      <c r="I15" s="2848"/>
      <c r="J15" s="3693">
        <v>2</v>
      </c>
      <c r="K15" s="3694"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3" t="s">
        <v>2384</v>
      </c>
      <c r="C16" s="3704"/>
      <c r="D16" s="2907">
        <f>D6*E16</f>
        <v>0</v>
      </c>
      <c r="E16" s="2908"/>
      <c r="F16" s="2893" t="s">
        <v>2385</v>
      </c>
      <c r="G16" s="2872"/>
      <c r="H16" s="2847"/>
      <c r="I16" s="2848"/>
      <c r="J16" s="3693"/>
      <c r="K16" s="3695"/>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5" t="s">
        <v>2387</v>
      </c>
      <c r="C17" s="3706"/>
      <c r="D17" s="2910">
        <f>ROUND(D6*E17,0)</f>
        <v>0</v>
      </c>
      <c r="E17" s="2911"/>
      <c r="F17" s="2912" t="s">
        <v>2388</v>
      </c>
      <c r="G17" s="2872"/>
      <c r="H17" s="2847"/>
      <c r="I17" s="2848"/>
      <c r="J17" s="3693"/>
      <c r="K17" s="3695"/>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3"/>
      <c r="K18" s="3695"/>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3"/>
      <c r="K19" s="3696"/>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3">
        <v>3</v>
      </c>
      <c r="K20" s="3694"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3"/>
      <c r="K21" s="3695"/>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3"/>
      <c r="K22" s="3695"/>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3"/>
      <c r="K23" s="3695"/>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3"/>
      <c r="K24" s="3696"/>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9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9" t="s">
        <v>2320</v>
      </c>
      <c r="K32" s="370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1" t="s">
        <v>2330</v>
      </c>
      <c r="K33" s="370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1" t="s">
        <v>2332</v>
      </c>
      <c r="K34" s="370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3">
        <v>1</v>
      </c>
      <c r="K36" s="3694"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3"/>
      <c r="K37" s="3695"/>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3"/>
      <c r="K38" s="3695"/>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3"/>
      <c r="K39" s="3695"/>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3"/>
      <c r="K40" s="3696"/>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7">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9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78457</v>
      </c>
      <c r="C2" s="1872" t="s">
        <v>1651</v>
      </c>
      <c r="D2" s="1873" t="s">
        <v>1652</v>
      </c>
      <c r="E2" s="2607">
        <f>SUM(E6:E13)</f>
        <v>253739.7</v>
      </c>
      <c r="F2" s="2706"/>
      <c r="G2" s="1489"/>
      <c r="H2" s="1489"/>
      <c r="I2" s="1489"/>
      <c r="J2" s="1489"/>
      <c r="K2" s="1489"/>
      <c r="L2" s="1489"/>
      <c r="M2" s="1489"/>
      <c r="N2" s="1489"/>
      <c r="O2" s="1489"/>
      <c r="P2" s="1489"/>
      <c r="Q2" s="1489"/>
      <c r="R2" s="1489"/>
      <c r="S2" s="1489"/>
    </row>
    <row r="3" spans="1:22" ht="15.75">
      <c r="A3" s="1870" t="s">
        <v>686</v>
      </c>
      <c r="B3" s="2601">
        <f ca="1">ROUND(B2*10000/E2,0)</f>
        <v>3092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12" t="s">
        <v>1654</v>
      </c>
      <c r="C5" s="3713"/>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78457</v>
      </c>
      <c r="C6" s="1872" t="s">
        <v>1651</v>
      </c>
      <c r="D6" s="2708"/>
      <c r="E6" s="2606">
        <f>IF(OR(A6=0,F6="否"),0,'数据-取费表'!K6+'数据-取费表'!S6)</f>
        <v>253739.7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253739.7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46" t="s">
        <v>1667</v>
      </c>
      <c r="D4" s="3672"/>
      <c r="E4" s="3673" t="s">
        <v>1668</v>
      </c>
      <c r="F4" s="3674"/>
      <c r="G4" s="3646" t="s">
        <v>1669</v>
      </c>
      <c r="H4" s="3672"/>
      <c r="I4" s="3646" t="s">
        <v>1670</v>
      </c>
      <c r="J4" s="3672"/>
      <c r="K4" s="1889" t="s">
        <v>1671</v>
      </c>
      <c r="L4" s="2714"/>
      <c r="M4" s="2715"/>
      <c r="N4" s="2715"/>
      <c r="O4" s="2715"/>
      <c r="P4" s="3675" t="s">
        <v>1672</v>
      </c>
      <c r="Q4" s="3676"/>
      <c r="R4" s="3652" t="s">
        <v>1668</v>
      </c>
      <c r="S4" s="3653"/>
      <c r="T4" s="3652" t="s">
        <v>1669</v>
      </c>
      <c r="U4" s="3653"/>
      <c r="V4" s="3665" t="s">
        <v>1670</v>
      </c>
      <c r="W4" s="3665"/>
      <c r="X4" s="1355"/>
      <c r="Y4" s="3652" t="s">
        <v>1672</v>
      </c>
      <c r="Z4" s="3653"/>
      <c r="AA4" s="3669" t="s">
        <v>1668</v>
      </c>
      <c r="AB4" s="3669" t="s">
        <v>1669</v>
      </c>
      <c r="AC4" s="3669" t="s">
        <v>1670</v>
      </c>
    </row>
    <row r="5" spans="1:29" ht="15">
      <c r="A5" s="358"/>
      <c r="B5" s="359"/>
      <c r="C5" s="3656" t="s">
        <v>1673</v>
      </c>
      <c r="D5" s="3657"/>
      <c r="E5" s="3681" t="s">
        <v>1674</v>
      </c>
      <c r="F5" s="3682"/>
      <c r="G5" s="3656" t="s">
        <v>1675</v>
      </c>
      <c r="H5" s="3657"/>
      <c r="I5" s="3656" t="s">
        <v>1676</v>
      </c>
      <c r="J5" s="3657"/>
      <c r="K5" s="1890"/>
      <c r="L5" s="2714"/>
      <c r="M5" s="2715"/>
      <c r="N5" s="2715"/>
      <c r="O5" s="2715"/>
      <c r="P5" s="3677"/>
      <c r="Q5" s="3678"/>
      <c r="R5" s="3654"/>
      <c r="S5" s="3655"/>
      <c r="T5" s="3654"/>
      <c r="U5" s="3655"/>
      <c r="V5" s="3665"/>
      <c r="W5" s="3665"/>
      <c r="X5" s="1355"/>
      <c r="Y5" s="3654"/>
      <c r="Z5" s="3655"/>
      <c r="AA5" s="3670"/>
      <c r="AB5" s="3670"/>
      <c r="AC5" s="3670"/>
    </row>
    <row r="6" spans="1:29" ht="15.75" thickBot="1">
      <c r="A6" s="360"/>
      <c r="B6" s="361"/>
      <c r="C6" s="3722" t="s">
        <v>1677</v>
      </c>
      <c r="D6" s="3723"/>
      <c r="E6" s="3724" t="s">
        <v>1677</v>
      </c>
      <c r="F6" s="3725"/>
      <c r="G6" s="3722" t="s">
        <v>1677</v>
      </c>
      <c r="H6" s="3723"/>
      <c r="I6" s="3722" t="s">
        <v>1677</v>
      </c>
      <c r="J6" s="3723"/>
      <c r="K6" s="1890" t="s">
        <v>1678</v>
      </c>
      <c r="L6" s="2714"/>
      <c r="M6" s="2715"/>
      <c r="N6" s="2715"/>
      <c r="O6" s="2715"/>
      <c r="P6" s="3679"/>
      <c r="Q6" s="3680"/>
      <c r="R6" s="3654"/>
      <c r="S6" s="3655"/>
      <c r="T6" s="3663"/>
      <c r="U6" s="3664"/>
      <c r="V6" s="3665"/>
      <c r="W6" s="3665"/>
      <c r="X6" s="1355"/>
      <c r="Y6" s="3663"/>
      <c r="Z6" s="3664"/>
      <c r="AA6" s="3671"/>
      <c r="AB6" s="3671"/>
      <c r="AC6" s="3671"/>
    </row>
    <row r="7" spans="1:29" s="108" customFormat="1" ht="15.7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50" t="s">
        <v>1680</v>
      </c>
      <c r="Q7" s="3660"/>
      <c r="R7" s="701" t="s">
        <v>20</v>
      </c>
      <c r="S7" s="702">
        <f t="shared" ref="S7:S15" si="0">F7</f>
        <v>0</v>
      </c>
      <c r="T7" s="701" t="s">
        <v>20</v>
      </c>
      <c r="U7" s="702">
        <f t="shared" ref="U7:U15" si="1">H7</f>
        <v>0</v>
      </c>
      <c r="V7" s="701" t="s">
        <v>20</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50" t="s">
        <v>1683</v>
      </c>
      <c r="Q8" s="3651"/>
      <c r="R8" s="701" t="s">
        <v>20</v>
      </c>
      <c r="S8" s="702">
        <f t="shared" si="0"/>
        <v>100</v>
      </c>
      <c r="T8" s="701" t="s">
        <v>20</v>
      </c>
      <c r="U8" s="702">
        <f t="shared" si="1"/>
        <v>100</v>
      </c>
      <c r="V8" s="701" t="s">
        <v>20</v>
      </c>
      <c r="W8" s="702">
        <f t="shared" si="2"/>
        <v>100</v>
      </c>
      <c r="X8" s="703"/>
      <c r="Y8" s="3650" t="s">
        <v>1683</v>
      </c>
      <c r="Z8" s="365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48"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48"/>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48"/>
      <c r="Q11" s="1343" t="str">
        <f t="shared" si="6"/>
        <v>容积率</v>
      </c>
      <c r="R11" s="701" t="s">
        <v>18</v>
      </c>
      <c r="S11" s="702" t="e">
        <f t="shared" si="0"/>
        <v>#N/A</v>
      </c>
      <c r="T11" s="701" t="s">
        <v>18</v>
      </c>
      <c r="U11" s="702" t="e">
        <f t="shared" si="1"/>
        <v>#N/A</v>
      </c>
      <c r="V11" s="701" t="s">
        <v>18</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48"/>
      <c r="Q12" s="1343">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48"/>
      <c r="Q13" s="1343">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48"/>
      <c r="Q14" s="1343">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0"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1"/>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1"/>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1"/>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1"/>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1"/>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1"/>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1"/>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1"/>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1"/>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1"/>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1"/>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1"/>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1"/>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1"/>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1"/>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6" t="s">
        <v>1696</v>
      </c>
      <c r="Q32" s="1352" t="str">
        <f t="shared" si="11"/>
        <v>建筑类型</v>
      </c>
      <c r="R32" s="705" t="s">
        <v>18</v>
      </c>
      <c r="S32" s="706">
        <f t="shared" si="12"/>
        <v>100</v>
      </c>
      <c r="T32" s="705" t="s">
        <v>18</v>
      </c>
      <c r="U32" s="706">
        <f t="shared" si="13"/>
        <v>100</v>
      </c>
      <c r="V32" s="705" t="s">
        <v>18</v>
      </c>
      <c r="W32" s="706">
        <f t="shared" si="14"/>
        <v>100</v>
      </c>
      <c r="X32" s="1355"/>
      <c r="Y32" s="366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7"/>
      <c r="Q33" s="707" t="str">
        <f t="shared" si="11"/>
        <v>项目建筑规模</v>
      </c>
      <c r="R33" s="708" t="s">
        <v>18</v>
      </c>
      <c r="S33" s="709" t="e">
        <f t="shared" si="12"/>
        <v>#N/A</v>
      </c>
      <c r="T33" s="708" t="s">
        <v>18</v>
      </c>
      <c r="U33" s="709" t="e">
        <f t="shared" si="13"/>
        <v>#N/A</v>
      </c>
      <c r="V33" s="708" t="s">
        <v>18</v>
      </c>
      <c r="W33" s="709" t="e">
        <f t="shared" si="14"/>
        <v>#N/A</v>
      </c>
      <c r="X33" s="710"/>
      <c r="Y33" s="366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7"/>
      <c r="Q34" s="1352" t="str">
        <f t="shared" si="11"/>
        <v>建筑结构</v>
      </c>
      <c r="R34" s="705" t="s">
        <v>18</v>
      </c>
      <c r="S34" s="706">
        <f t="shared" si="12"/>
        <v>100</v>
      </c>
      <c r="T34" s="705" t="s">
        <v>18</v>
      </c>
      <c r="U34" s="706">
        <f t="shared" si="13"/>
        <v>100</v>
      </c>
      <c r="V34" s="705" t="s">
        <v>18</v>
      </c>
      <c r="W34" s="706">
        <f t="shared" si="14"/>
        <v>100</v>
      </c>
      <c r="X34" s="1355"/>
      <c r="Y34" s="366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7"/>
      <c r="Q35" s="1352" t="str">
        <f t="shared" si="11"/>
        <v>建筑品质</v>
      </c>
      <c r="R35" s="705" t="s">
        <v>18</v>
      </c>
      <c r="S35" s="706">
        <f t="shared" si="12"/>
        <v>100</v>
      </c>
      <c r="T35" s="705" t="s">
        <v>18</v>
      </c>
      <c r="U35" s="706">
        <f t="shared" si="13"/>
        <v>100</v>
      </c>
      <c r="V35" s="705" t="s">
        <v>18</v>
      </c>
      <c r="W35" s="706">
        <f t="shared" si="14"/>
        <v>100</v>
      </c>
      <c r="X35" s="1355"/>
      <c r="Y35" s="366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7"/>
      <c r="Q36" s="1352" t="str">
        <f t="shared" si="11"/>
        <v>公共部分装修</v>
      </c>
      <c r="R36" s="705" t="s">
        <v>18</v>
      </c>
      <c r="S36" s="706">
        <f t="shared" si="12"/>
        <v>100</v>
      </c>
      <c r="T36" s="705" t="s">
        <v>18</v>
      </c>
      <c r="U36" s="706">
        <f t="shared" si="13"/>
        <v>100</v>
      </c>
      <c r="V36" s="705" t="s">
        <v>18</v>
      </c>
      <c r="W36" s="706">
        <f t="shared" si="14"/>
        <v>100</v>
      </c>
      <c r="X36" s="1355"/>
      <c r="Y36" s="366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7"/>
      <c r="Q37" s="1343" t="str">
        <f t="shared" si="11"/>
        <v>成新度</v>
      </c>
      <c r="R37" s="701" t="s">
        <v>18</v>
      </c>
      <c r="S37" s="702" t="e">
        <f t="shared" si="12"/>
        <v>#N/A</v>
      </c>
      <c r="T37" s="701" t="s">
        <v>18</v>
      </c>
      <c r="U37" s="702" t="e">
        <f t="shared" si="13"/>
        <v>#N/A</v>
      </c>
      <c r="V37" s="701" t="s">
        <v>18</v>
      </c>
      <c r="W37" s="702" t="e">
        <f t="shared" si="14"/>
        <v>#N/A</v>
      </c>
      <c r="X37" s="703"/>
      <c r="Y37" s="366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7" t="s">
        <v>1696</v>
      </c>
      <c r="Q38" s="1352" t="str">
        <f t="shared" si="11"/>
        <v>物业管理</v>
      </c>
      <c r="R38" s="705" t="s">
        <v>18</v>
      </c>
      <c r="S38" s="706">
        <f t="shared" si="12"/>
        <v>100</v>
      </c>
      <c r="T38" s="705" t="s">
        <v>18</v>
      </c>
      <c r="U38" s="706">
        <f t="shared" si="13"/>
        <v>100</v>
      </c>
      <c r="V38" s="705" t="s">
        <v>18</v>
      </c>
      <c r="W38" s="706">
        <f t="shared" si="14"/>
        <v>100</v>
      </c>
      <c r="X38" s="1355"/>
      <c r="Y38" s="366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7"/>
      <c r="Q39" s="1352" t="str">
        <f t="shared" si="11"/>
        <v>市政基础设施</v>
      </c>
      <c r="R39" s="705" t="s">
        <v>18</v>
      </c>
      <c r="S39" s="706">
        <f t="shared" si="12"/>
        <v>100</v>
      </c>
      <c r="T39" s="705" t="s">
        <v>18</v>
      </c>
      <c r="U39" s="706">
        <f t="shared" si="13"/>
        <v>100</v>
      </c>
      <c r="V39" s="705" t="s">
        <v>18</v>
      </c>
      <c r="W39" s="706">
        <f t="shared" si="14"/>
        <v>100</v>
      </c>
      <c r="X39" s="1355"/>
      <c r="Y39" s="366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7"/>
      <c r="Q40" s="1352" t="str">
        <f t="shared" si="11"/>
        <v>房型</v>
      </c>
      <c r="R40" s="705" t="s">
        <v>18</v>
      </c>
      <c r="S40" s="706">
        <f t="shared" si="12"/>
        <v>100</v>
      </c>
      <c r="T40" s="705" t="s">
        <v>18</v>
      </c>
      <c r="U40" s="706">
        <f t="shared" si="13"/>
        <v>100</v>
      </c>
      <c r="V40" s="705" t="s">
        <v>18</v>
      </c>
      <c r="W40" s="706">
        <f t="shared" si="14"/>
        <v>100</v>
      </c>
      <c r="X40" s="1355"/>
      <c r="Y40" s="366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7"/>
      <c r="Q41" s="707" t="str">
        <f t="shared" si="11"/>
        <v>单套/主力户型建筑面积</v>
      </c>
      <c r="R41" s="708" t="s">
        <v>18</v>
      </c>
      <c r="S41" s="709">
        <f t="shared" si="12"/>
        <v>100</v>
      </c>
      <c r="T41" s="708" t="s">
        <v>18</v>
      </c>
      <c r="U41" s="709">
        <f t="shared" si="13"/>
        <v>100</v>
      </c>
      <c r="V41" s="708" t="s">
        <v>18</v>
      </c>
      <c r="W41" s="709">
        <f t="shared" si="14"/>
        <v>100</v>
      </c>
      <c r="X41" s="710"/>
      <c r="Y41" s="366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7"/>
      <c r="Q42" s="1352" t="str">
        <f t="shared" si="11"/>
        <v>内部装修</v>
      </c>
      <c r="R42" s="705" t="s">
        <v>18</v>
      </c>
      <c r="S42" s="706">
        <f t="shared" si="12"/>
        <v>100</v>
      </c>
      <c r="T42" s="705" t="s">
        <v>18</v>
      </c>
      <c r="U42" s="706">
        <f t="shared" si="13"/>
        <v>100</v>
      </c>
      <c r="V42" s="705" t="s">
        <v>18</v>
      </c>
      <c r="W42" s="706">
        <f t="shared" si="14"/>
        <v>100</v>
      </c>
      <c r="X42" s="1355"/>
      <c r="Y42" s="366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7"/>
      <c r="Q43" s="1352" t="str">
        <f t="shared" si="11"/>
        <v>内部装修维护情况</v>
      </c>
      <c r="R43" s="705" t="s">
        <v>18</v>
      </c>
      <c r="S43" s="706">
        <f t="shared" si="12"/>
        <v>100</v>
      </c>
      <c r="T43" s="705" t="s">
        <v>18</v>
      </c>
      <c r="U43" s="706">
        <f t="shared" si="13"/>
        <v>100</v>
      </c>
      <c r="V43" s="705" t="s">
        <v>18</v>
      </c>
      <c r="W43" s="706">
        <f t="shared" si="14"/>
        <v>100</v>
      </c>
      <c r="X43" s="1355"/>
      <c r="Y43" s="366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7"/>
      <c r="Q44" s="1343">
        <f t="shared" si="11"/>
        <v>111</v>
      </c>
      <c r="R44" s="701" t="s">
        <v>18</v>
      </c>
      <c r="S44" s="702">
        <f t="shared" si="12"/>
        <v>100</v>
      </c>
      <c r="T44" s="701" t="s">
        <v>18</v>
      </c>
      <c r="U44" s="702">
        <f t="shared" si="13"/>
        <v>100</v>
      </c>
      <c r="V44" s="701" t="s">
        <v>18</v>
      </c>
      <c r="W44" s="702">
        <f t="shared" si="14"/>
        <v>100</v>
      </c>
      <c r="X44" s="703"/>
      <c r="Y44" s="366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7"/>
      <c r="Q45" s="1352">
        <f t="shared" si="11"/>
        <v>111</v>
      </c>
      <c r="R45" s="705" t="s">
        <v>18</v>
      </c>
      <c r="S45" s="706">
        <f t="shared" si="12"/>
        <v>100</v>
      </c>
      <c r="T45" s="705" t="s">
        <v>18</v>
      </c>
      <c r="U45" s="706">
        <f t="shared" si="13"/>
        <v>100</v>
      </c>
      <c r="V45" s="705" t="s">
        <v>18</v>
      </c>
      <c r="W45" s="706">
        <f t="shared" si="14"/>
        <v>100</v>
      </c>
      <c r="X45" s="1355"/>
      <c r="Y45" s="366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8"/>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49" t="str">
        <f>A47</f>
        <v>成交单价（元/平方米）</v>
      </c>
      <c r="Q47" s="3649"/>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49" t="str">
        <f>A48</f>
        <v>比较价值（元/平方米）</v>
      </c>
      <c r="Q48" s="3649"/>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84" t="str">
        <f>A49</f>
        <v>估价对象XX用房的比较价值（楼面单价，元/平方米）</v>
      </c>
      <c r="Q49" s="3685"/>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253739.7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46" t="s">
        <v>1770</v>
      </c>
      <c r="D4" s="3672"/>
      <c r="E4" s="3673" t="s">
        <v>1771</v>
      </c>
      <c r="F4" s="3674"/>
      <c r="G4" s="3646" t="s">
        <v>1772</v>
      </c>
      <c r="H4" s="3672"/>
      <c r="I4" s="3646" t="s">
        <v>1773</v>
      </c>
      <c r="J4" s="3672"/>
      <c r="K4" s="559" t="s">
        <v>1774</v>
      </c>
      <c r="L4" s="2714"/>
      <c r="M4" s="2715"/>
      <c r="N4" s="2715"/>
      <c r="O4" s="2715"/>
      <c r="P4" s="3675" t="s">
        <v>1775</v>
      </c>
      <c r="Q4" s="3676"/>
      <c r="R4" s="3652" t="s">
        <v>1771</v>
      </c>
      <c r="S4" s="3653"/>
      <c r="T4" s="3652" t="s">
        <v>1772</v>
      </c>
      <c r="U4" s="3653"/>
      <c r="V4" s="3665" t="s">
        <v>1773</v>
      </c>
      <c r="W4" s="3665"/>
      <c r="X4" s="1355"/>
      <c r="Y4" s="3652" t="s">
        <v>1775</v>
      </c>
      <c r="Z4" s="3653"/>
      <c r="AA4" s="3669" t="s">
        <v>1771</v>
      </c>
      <c r="AB4" s="3665" t="s">
        <v>1772</v>
      </c>
      <c r="AC4" s="3669" t="s">
        <v>1773</v>
      </c>
    </row>
    <row r="5" spans="1:29" ht="15">
      <c r="A5" s="358"/>
      <c r="B5" s="359"/>
      <c r="C5" s="3656" t="s">
        <v>1673</v>
      </c>
      <c r="D5" s="3657"/>
      <c r="E5" s="3681" t="s">
        <v>1674</v>
      </c>
      <c r="F5" s="3682"/>
      <c r="G5" s="3656" t="s">
        <v>1675</v>
      </c>
      <c r="H5" s="3657"/>
      <c r="I5" s="3656" t="s">
        <v>1676</v>
      </c>
      <c r="J5" s="3657"/>
      <c r="K5" s="559"/>
      <c r="L5" s="2714"/>
      <c r="M5" s="2715"/>
      <c r="N5" s="2715"/>
      <c r="O5" s="2715"/>
      <c r="P5" s="3677"/>
      <c r="Q5" s="3678"/>
      <c r="R5" s="3654"/>
      <c r="S5" s="3655"/>
      <c r="T5" s="3654"/>
      <c r="U5" s="3655"/>
      <c r="V5" s="3665"/>
      <c r="W5" s="3665"/>
      <c r="X5" s="1355"/>
      <c r="Y5" s="3654"/>
      <c r="Z5" s="3655"/>
      <c r="AA5" s="3670"/>
      <c r="AB5" s="3665"/>
      <c r="AC5" s="3670"/>
    </row>
    <row r="6" spans="1:29" ht="15.75" thickBot="1">
      <c r="A6" s="360"/>
      <c r="B6" s="361"/>
      <c r="C6" s="3722" t="s">
        <v>1677</v>
      </c>
      <c r="D6" s="3723"/>
      <c r="E6" s="3724" t="s">
        <v>1677</v>
      </c>
      <c r="F6" s="3725"/>
      <c r="G6" s="3722" t="s">
        <v>1677</v>
      </c>
      <c r="H6" s="3723"/>
      <c r="I6" s="3722" t="s">
        <v>1677</v>
      </c>
      <c r="J6" s="3723"/>
      <c r="K6" s="559" t="s">
        <v>1678</v>
      </c>
      <c r="L6" s="2714"/>
      <c r="M6" s="2715"/>
      <c r="N6" s="2715"/>
      <c r="O6" s="2715"/>
      <c r="P6" s="3679"/>
      <c r="Q6" s="3680"/>
      <c r="R6" s="3654"/>
      <c r="S6" s="3655"/>
      <c r="T6" s="3663"/>
      <c r="U6" s="3664"/>
      <c r="V6" s="3665"/>
      <c r="W6" s="3665"/>
      <c r="X6" s="1355"/>
      <c r="Y6" s="3663"/>
      <c r="Z6" s="3664"/>
      <c r="AA6" s="3671"/>
      <c r="AB6" s="3665"/>
      <c r="AC6" s="3671"/>
    </row>
    <row r="7" spans="1:29" s="108" customFormat="1" ht="15.7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0" t="s">
        <v>1680</v>
      </c>
      <c r="Q7" s="3660"/>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0" t="s">
        <v>1683</v>
      </c>
      <c r="Q8" s="3651"/>
      <c r="R8" s="701" t="s">
        <v>14</v>
      </c>
      <c r="S8" s="702">
        <f t="shared" si="0"/>
        <v>100</v>
      </c>
      <c r="T8" s="701" t="s">
        <v>14</v>
      </c>
      <c r="U8" s="702">
        <f t="shared" si="1"/>
        <v>100</v>
      </c>
      <c r="V8" s="701" t="s">
        <v>14</v>
      </c>
      <c r="W8" s="702">
        <f t="shared" si="2"/>
        <v>100</v>
      </c>
      <c r="X8" s="703"/>
      <c r="Y8" s="3650" t="s">
        <v>1683</v>
      </c>
      <c r="Z8" s="365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48"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48"/>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48"/>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48"/>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48"/>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48"/>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0"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1"/>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1"/>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1"/>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1"/>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1"/>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1"/>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1"/>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1"/>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1"/>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1"/>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1"/>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1"/>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1"/>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1"/>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1"/>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6" t="s">
        <v>1696</v>
      </c>
      <c r="Q32" s="1352" t="str">
        <f t="shared" si="11"/>
        <v>商业类型</v>
      </c>
      <c r="R32" s="705" t="s">
        <v>14</v>
      </c>
      <c r="S32" s="706">
        <f t="shared" si="12"/>
        <v>100</v>
      </c>
      <c r="T32" s="705" t="s">
        <v>14</v>
      </c>
      <c r="U32" s="706">
        <f t="shared" si="13"/>
        <v>100</v>
      </c>
      <c r="V32" s="705" t="s">
        <v>14</v>
      </c>
      <c r="W32" s="706">
        <f t="shared" si="14"/>
        <v>100</v>
      </c>
      <c r="X32" s="1355"/>
      <c r="Y32" s="366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7"/>
      <c r="Q33" s="707" t="str">
        <f t="shared" si="11"/>
        <v>项目建筑规模</v>
      </c>
      <c r="R33" s="708" t="s">
        <v>14</v>
      </c>
      <c r="S33" s="709" t="e">
        <f t="shared" si="12"/>
        <v>#N/A</v>
      </c>
      <c r="T33" s="708" t="s">
        <v>14</v>
      </c>
      <c r="U33" s="709" t="e">
        <f t="shared" si="13"/>
        <v>#N/A</v>
      </c>
      <c r="V33" s="708" t="s">
        <v>14</v>
      </c>
      <c r="W33" s="709" t="e">
        <f t="shared" si="14"/>
        <v>#N/A</v>
      </c>
      <c r="X33" s="710"/>
      <c r="Y33" s="366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7"/>
      <c r="Q34" s="1352" t="str">
        <f t="shared" si="11"/>
        <v>建筑结构</v>
      </c>
      <c r="R34" s="705" t="s">
        <v>14</v>
      </c>
      <c r="S34" s="706">
        <f t="shared" si="12"/>
        <v>100</v>
      </c>
      <c r="T34" s="705" t="s">
        <v>14</v>
      </c>
      <c r="U34" s="706">
        <f t="shared" si="13"/>
        <v>100</v>
      </c>
      <c r="V34" s="705" t="s">
        <v>14</v>
      </c>
      <c r="W34" s="706">
        <f t="shared" si="14"/>
        <v>100</v>
      </c>
      <c r="X34" s="1355"/>
      <c r="Y34" s="366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7"/>
      <c r="Q35" s="1352" t="str">
        <f t="shared" si="11"/>
        <v>公共部分装修</v>
      </c>
      <c r="R35" s="705" t="s">
        <v>14</v>
      </c>
      <c r="S35" s="706">
        <f t="shared" si="12"/>
        <v>100</v>
      </c>
      <c r="T35" s="705" t="s">
        <v>14</v>
      </c>
      <c r="U35" s="706">
        <f t="shared" si="13"/>
        <v>100</v>
      </c>
      <c r="V35" s="705" t="s">
        <v>14</v>
      </c>
      <c r="W35" s="706">
        <f t="shared" si="14"/>
        <v>100</v>
      </c>
      <c r="X35" s="1355"/>
      <c r="Y35" s="366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7"/>
      <c r="Q36" s="1352" t="str">
        <f t="shared" si="11"/>
        <v>成新度</v>
      </c>
      <c r="R36" s="705" t="s">
        <v>14</v>
      </c>
      <c r="S36" s="706" t="e">
        <f t="shared" si="12"/>
        <v>#N/A</v>
      </c>
      <c r="T36" s="705" t="s">
        <v>14</v>
      </c>
      <c r="U36" s="706" t="e">
        <f t="shared" si="13"/>
        <v>#N/A</v>
      </c>
      <c r="V36" s="705" t="s">
        <v>14</v>
      </c>
      <c r="W36" s="706" t="e">
        <f t="shared" si="14"/>
        <v>#N/A</v>
      </c>
      <c r="X36" s="1355"/>
      <c r="Y36" s="366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7"/>
      <c r="Q37" s="1343" t="str">
        <f t="shared" si="11"/>
        <v>市政基础设施</v>
      </c>
      <c r="R37" s="701" t="s">
        <v>14</v>
      </c>
      <c r="S37" s="702">
        <f t="shared" si="12"/>
        <v>100</v>
      </c>
      <c r="T37" s="701" t="s">
        <v>14</v>
      </c>
      <c r="U37" s="702">
        <f t="shared" si="13"/>
        <v>100</v>
      </c>
      <c r="V37" s="701" t="s">
        <v>14</v>
      </c>
      <c r="W37" s="702">
        <f t="shared" si="14"/>
        <v>100</v>
      </c>
      <c r="X37" s="703"/>
      <c r="Y37" s="366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7" t="s">
        <v>1696</v>
      </c>
      <c r="Q38" s="1352" t="str">
        <f t="shared" si="11"/>
        <v>业态</v>
      </c>
      <c r="R38" s="705" t="s">
        <v>14</v>
      </c>
      <c r="S38" s="706">
        <f t="shared" si="12"/>
        <v>100</v>
      </c>
      <c r="T38" s="705" t="s">
        <v>14</v>
      </c>
      <c r="U38" s="706">
        <f t="shared" si="13"/>
        <v>100</v>
      </c>
      <c r="V38" s="705" t="s">
        <v>14</v>
      </c>
      <c r="W38" s="706">
        <f t="shared" si="14"/>
        <v>100</v>
      </c>
      <c r="X38" s="1355"/>
      <c r="Y38" s="366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7"/>
      <c r="Q39" s="1352" t="str">
        <f t="shared" si="11"/>
        <v>层高</v>
      </c>
      <c r="R39" s="705" t="s">
        <v>14</v>
      </c>
      <c r="S39" s="706">
        <f t="shared" si="12"/>
        <v>100</v>
      </c>
      <c r="T39" s="705" t="s">
        <v>14</v>
      </c>
      <c r="U39" s="706">
        <f t="shared" si="13"/>
        <v>100</v>
      </c>
      <c r="V39" s="705" t="s">
        <v>14</v>
      </c>
      <c r="W39" s="706">
        <f t="shared" si="14"/>
        <v>100</v>
      </c>
      <c r="X39" s="1355"/>
      <c r="Y39" s="366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7"/>
      <c r="Q40" s="1352" t="str">
        <f t="shared" si="11"/>
        <v>单套建筑面积</v>
      </c>
      <c r="R40" s="705" t="s">
        <v>14</v>
      </c>
      <c r="S40" s="706">
        <f t="shared" si="12"/>
        <v>100</v>
      </c>
      <c r="T40" s="705" t="s">
        <v>14</v>
      </c>
      <c r="U40" s="706">
        <f t="shared" si="13"/>
        <v>100</v>
      </c>
      <c r="V40" s="705" t="s">
        <v>14</v>
      </c>
      <c r="W40" s="706">
        <f t="shared" si="14"/>
        <v>100</v>
      </c>
      <c r="X40" s="1355"/>
      <c r="Y40" s="366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7"/>
      <c r="Q41" s="707" t="str">
        <f t="shared" si="11"/>
        <v>进深比</v>
      </c>
      <c r="R41" s="708" t="s">
        <v>14</v>
      </c>
      <c r="S41" s="709">
        <f t="shared" si="12"/>
        <v>100</v>
      </c>
      <c r="T41" s="708" t="s">
        <v>14</v>
      </c>
      <c r="U41" s="709">
        <f t="shared" si="13"/>
        <v>100</v>
      </c>
      <c r="V41" s="708" t="s">
        <v>14</v>
      </c>
      <c r="W41" s="709">
        <f t="shared" si="14"/>
        <v>100</v>
      </c>
      <c r="X41" s="710"/>
      <c r="Y41" s="366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7"/>
      <c r="Q42" s="1352" t="str">
        <f t="shared" si="11"/>
        <v>内部装修</v>
      </c>
      <c r="R42" s="705" t="s">
        <v>14</v>
      </c>
      <c r="S42" s="706">
        <f t="shared" si="12"/>
        <v>100</v>
      </c>
      <c r="T42" s="705" t="s">
        <v>14</v>
      </c>
      <c r="U42" s="706">
        <f t="shared" si="13"/>
        <v>100</v>
      </c>
      <c r="V42" s="705" t="s">
        <v>14</v>
      </c>
      <c r="W42" s="706">
        <f t="shared" si="14"/>
        <v>100</v>
      </c>
      <c r="X42" s="1355"/>
      <c r="Y42" s="366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7"/>
      <c r="Q43" s="1352" t="str">
        <f t="shared" si="11"/>
        <v>内部装修维护情况</v>
      </c>
      <c r="R43" s="705" t="s">
        <v>14</v>
      </c>
      <c r="S43" s="706">
        <f t="shared" si="12"/>
        <v>100</v>
      </c>
      <c r="T43" s="705" t="s">
        <v>14</v>
      </c>
      <c r="U43" s="706">
        <f t="shared" si="13"/>
        <v>100</v>
      </c>
      <c r="V43" s="705" t="s">
        <v>14</v>
      </c>
      <c r="W43" s="706">
        <f t="shared" si="14"/>
        <v>100</v>
      </c>
      <c r="X43" s="1355"/>
      <c r="Y43" s="366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7"/>
      <c r="Q44" s="1343">
        <f t="shared" si="11"/>
        <v>111</v>
      </c>
      <c r="R44" s="701" t="s">
        <v>14</v>
      </c>
      <c r="S44" s="702">
        <f t="shared" si="12"/>
        <v>100</v>
      </c>
      <c r="T44" s="701" t="s">
        <v>14</v>
      </c>
      <c r="U44" s="702">
        <f t="shared" si="13"/>
        <v>100</v>
      </c>
      <c r="V44" s="701" t="s">
        <v>14</v>
      </c>
      <c r="W44" s="702">
        <f t="shared" si="14"/>
        <v>100</v>
      </c>
      <c r="X44" s="703"/>
      <c r="Y44" s="366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7"/>
      <c r="Q45" s="1352">
        <f t="shared" si="11"/>
        <v>111</v>
      </c>
      <c r="R45" s="705" t="s">
        <v>14</v>
      </c>
      <c r="S45" s="706">
        <f t="shared" si="12"/>
        <v>100</v>
      </c>
      <c r="T45" s="705" t="s">
        <v>14</v>
      </c>
      <c r="U45" s="706">
        <f t="shared" si="13"/>
        <v>100</v>
      </c>
      <c r="V45" s="705" t="s">
        <v>14</v>
      </c>
      <c r="W45" s="706">
        <f t="shared" si="14"/>
        <v>100</v>
      </c>
      <c r="X45" s="1355"/>
      <c r="Y45" s="366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8"/>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49" t="str">
        <f>A47</f>
        <v>成交单价（元/平方米）</v>
      </c>
      <c r="Q47" s="3649"/>
      <c r="R47" s="3665">
        <f>E47</f>
        <v>0</v>
      </c>
      <c r="S47" s="3665"/>
      <c r="T47" s="3665">
        <f>G47</f>
        <v>0</v>
      </c>
      <c r="U47" s="3665"/>
      <c r="V47" s="3665">
        <f>I47</f>
        <v>0</v>
      </c>
      <c r="W47" s="366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49" t="str">
        <f>A48</f>
        <v>比较价值（元/平方米）</v>
      </c>
      <c r="Q48" s="3649"/>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4" t="str">
        <f>A49</f>
        <v>估价对象XX用房的比较价值（楼面单价，元/平方米）</v>
      </c>
      <c r="Q49" s="3685"/>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253739.7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46" t="s">
        <v>1770</v>
      </c>
      <c r="D4" s="3672"/>
      <c r="E4" s="3673" t="s">
        <v>1771</v>
      </c>
      <c r="F4" s="3674"/>
      <c r="G4" s="3646" t="s">
        <v>1772</v>
      </c>
      <c r="H4" s="3672"/>
      <c r="I4" s="3646" t="s">
        <v>1773</v>
      </c>
      <c r="J4" s="3672"/>
      <c r="K4" s="559" t="s">
        <v>1774</v>
      </c>
      <c r="L4" s="2714"/>
      <c r="M4" s="2715"/>
      <c r="N4" s="2715"/>
      <c r="O4" s="2715"/>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656" t="s">
        <v>1673</v>
      </c>
      <c r="D5" s="3657"/>
      <c r="E5" s="3681" t="s">
        <v>1674</v>
      </c>
      <c r="F5" s="3682"/>
      <c r="G5" s="3656" t="s">
        <v>1675</v>
      </c>
      <c r="H5" s="3657"/>
      <c r="I5" s="3656" t="s">
        <v>1676</v>
      </c>
      <c r="J5" s="3657"/>
      <c r="K5" s="559"/>
      <c r="L5" s="2714"/>
      <c r="M5" s="2715"/>
      <c r="N5" s="2715"/>
      <c r="O5" s="2715"/>
      <c r="P5" s="3734"/>
      <c r="Q5" s="3678"/>
      <c r="R5" s="3654"/>
      <c r="S5" s="3655"/>
      <c r="T5" s="3654"/>
      <c r="U5" s="3655"/>
      <c r="V5" s="3665"/>
      <c r="W5" s="3665"/>
      <c r="X5" s="1355"/>
      <c r="Y5" s="3654"/>
      <c r="Z5" s="3655"/>
      <c r="AA5" s="3670"/>
      <c r="AB5" s="3670"/>
      <c r="AC5" s="3730"/>
    </row>
    <row r="6" spans="1:29" ht="15.75" thickBot="1">
      <c r="A6" s="360"/>
      <c r="B6" s="361"/>
      <c r="C6" s="3722" t="s">
        <v>1677</v>
      </c>
      <c r="D6" s="3723"/>
      <c r="E6" s="3724" t="s">
        <v>1677</v>
      </c>
      <c r="F6" s="3725"/>
      <c r="G6" s="3722" t="s">
        <v>1677</v>
      </c>
      <c r="H6" s="3723"/>
      <c r="I6" s="3722" t="s">
        <v>1677</v>
      </c>
      <c r="J6" s="3723"/>
      <c r="K6" s="559" t="s">
        <v>1678</v>
      </c>
      <c r="L6" s="2714"/>
      <c r="M6" s="2715"/>
      <c r="N6" s="2715"/>
      <c r="O6" s="2715"/>
      <c r="P6" s="3735"/>
      <c r="Q6" s="3680"/>
      <c r="R6" s="3654"/>
      <c r="S6" s="3655"/>
      <c r="T6" s="3663"/>
      <c r="U6" s="3664"/>
      <c r="V6" s="3665"/>
      <c r="W6" s="3665"/>
      <c r="X6" s="1355"/>
      <c r="Y6" s="3663"/>
      <c r="Z6" s="3664"/>
      <c r="AA6" s="3671"/>
      <c r="AB6" s="3671"/>
      <c r="AC6" s="3731"/>
    </row>
    <row r="7" spans="1:29" s="108" customFormat="1" ht="15.75" thickBot="1">
      <c r="A7" s="362" t="s">
        <v>1679</v>
      </c>
      <c r="B7" s="363"/>
      <c r="C7" s="364">
        <f>'数据-取费表'!B2</f>
        <v>45274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660"/>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651"/>
      <c r="R8" s="701" t="s">
        <v>14</v>
      </c>
      <c r="S8" s="702">
        <f t="shared" si="0"/>
        <v>100</v>
      </c>
      <c r="T8" s="701" t="s">
        <v>14</v>
      </c>
      <c r="U8" s="702">
        <f t="shared" si="1"/>
        <v>100</v>
      </c>
      <c r="V8" s="701" t="s">
        <v>14</v>
      </c>
      <c r="W8" s="702">
        <f t="shared" si="2"/>
        <v>100</v>
      </c>
      <c r="X8" s="703"/>
      <c r="Y8" s="3650" t="s">
        <v>1683</v>
      </c>
      <c r="Z8" s="365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48"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48"/>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48"/>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48"/>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48"/>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48"/>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0"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1"/>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1"/>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1"/>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1"/>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1"/>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1"/>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1"/>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1"/>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1"/>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1"/>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1"/>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1"/>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1"/>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1"/>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1"/>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1"/>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6" t="s">
        <v>1696</v>
      </c>
      <c r="Q33" s="1352" t="str">
        <f t="shared" si="11"/>
        <v>建筑类型</v>
      </c>
      <c r="R33" s="705" t="s">
        <v>14</v>
      </c>
      <c r="S33" s="706">
        <f t="shared" si="12"/>
        <v>100</v>
      </c>
      <c r="T33" s="705" t="s">
        <v>14</v>
      </c>
      <c r="U33" s="706">
        <f t="shared" si="13"/>
        <v>100</v>
      </c>
      <c r="V33" s="705" t="s">
        <v>14</v>
      </c>
      <c r="W33" s="706">
        <f t="shared" si="14"/>
        <v>100</v>
      </c>
      <c r="X33" s="1355"/>
      <c r="Y33" s="366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7"/>
      <c r="Q34" s="707" t="str">
        <f t="shared" si="11"/>
        <v>项目建筑规模</v>
      </c>
      <c r="R34" s="708" t="s">
        <v>14</v>
      </c>
      <c r="S34" s="709" t="e">
        <f t="shared" si="12"/>
        <v>#N/A</v>
      </c>
      <c r="T34" s="708" t="s">
        <v>14</v>
      </c>
      <c r="U34" s="709" t="e">
        <f t="shared" si="13"/>
        <v>#N/A</v>
      </c>
      <c r="V34" s="708" t="s">
        <v>14</v>
      </c>
      <c r="W34" s="709" t="e">
        <f t="shared" si="14"/>
        <v>#N/A</v>
      </c>
      <c r="X34" s="710"/>
      <c r="Y34" s="366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7"/>
      <c r="Q35" s="1352" t="str">
        <f t="shared" si="11"/>
        <v>建筑结构</v>
      </c>
      <c r="R35" s="705" t="s">
        <v>14</v>
      </c>
      <c r="S35" s="706">
        <f t="shared" si="12"/>
        <v>100</v>
      </c>
      <c r="T35" s="705" t="s">
        <v>14</v>
      </c>
      <c r="U35" s="706">
        <f t="shared" si="13"/>
        <v>100</v>
      </c>
      <c r="V35" s="705" t="s">
        <v>14</v>
      </c>
      <c r="W35" s="706">
        <f t="shared" si="14"/>
        <v>100</v>
      </c>
      <c r="X35" s="1355"/>
      <c r="Y35" s="366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7"/>
      <c r="Q36" s="1352" t="str">
        <f t="shared" si="11"/>
        <v>公共部分装修</v>
      </c>
      <c r="R36" s="705" t="s">
        <v>14</v>
      </c>
      <c r="S36" s="706">
        <f t="shared" si="12"/>
        <v>100</v>
      </c>
      <c r="T36" s="705" t="s">
        <v>14</v>
      </c>
      <c r="U36" s="706">
        <f t="shared" si="13"/>
        <v>100</v>
      </c>
      <c r="V36" s="705" t="s">
        <v>14</v>
      </c>
      <c r="W36" s="706">
        <f t="shared" si="14"/>
        <v>100</v>
      </c>
      <c r="X36" s="1355"/>
      <c r="Y36" s="366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7"/>
      <c r="Q37" s="1352" t="str">
        <f t="shared" si="11"/>
        <v>成新度</v>
      </c>
      <c r="R37" s="705" t="s">
        <v>14</v>
      </c>
      <c r="S37" s="706" t="e">
        <f t="shared" si="12"/>
        <v>#N/A</v>
      </c>
      <c r="T37" s="705" t="s">
        <v>14</v>
      </c>
      <c r="U37" s="706" t="e">
        <f t="shared" si="13"/>
        <v>#N/A</v>
      </c>
      <c r="V37" s="705" t="s">
        <v>14</v>
      </c>
      <c r="W37" s="706" t="e">
        <f t="shared" si="14"/>
        <v>#N/A</v>
      </c>
      <c r="X37" s="1355"/>
      <c r="Y37" s="366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7"/>
      <c r="Q38" s="1343" t="str">
        <f t="shared" si="11"/>
        <v>写字楼等级</v>
      </c>
      <c r="R38" s="701" t="s">
        <v>14</v>
      </c>
      <c r="S38" s="702">
        <f t="shared" si="12"/>
        <v>100</v>
      </c>
      <c r="T38" s="701" t="s">
        <v>14</v>
      </c>
      <c r="U38" s="702">
        <f t="shared" si="13"/>
        <v>100</v>
      </c>
      <c r="V38" s="701" t="s">
        <v>14</v>
      </c>
      <c r="W38" s="702">
        <f t="shared" si="14"/>
        <v>100</v>
      </c>
      <c r="X38" s="703"/>
      <c r="Y38" s="366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7" t="s">
        <v>1696</v>
      </c>
      <c r="Q39" s="1352" t="str">
        <f t="shared" si="11"/>
        <v>物业管理</v>
      </c>
      <c r="R39" s="705" t="s">
        <v>14</v>
      </c>
      <c r="S39" s="706">
        <f t="shared" si="12"/>
        <v>100</v>
      </c>
      <c r="T39" s="705" t="s">
        <v>14</v>
      </c>
      <c r="U39" s="706">
        <f t="shared" si="13"/>
        <v>100</v>
      </c>
      <c r="V39" s="705" t="s">
        <v>14</v>
      </c>
      <c r="W39" s="706">
        <f t="shared" si="14"/>
        <v>100</v>
      </c>
      <c r="X39" s="1355"/>
      <c r="Y39" s="366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7"/>
      <c r="Q40" s="1352" t="str">
        <f t="shared" si="11"/>
        <v>市政基础设施</v>
      </c>
      <c r="R40" s="705" t="s">
        <v>14</v>
      </c>
      <c r="S40" s="706">
        <f t="shared" si="12"/>
        <v>100</v>
      </c>
      <c r="T40" s="705" t="s">
        <v>14</v>
      </c>
      <c r="U40" s="706">
        <f t="shared" si="13"/>
        <v>100</v>
      </c>
      <c r="V40" s="705" t="s">
        <v>14</v>
      </c>
      <c r="W40" s="706">
        <f t="shared" si="14"/>
        <v>100</v>
      </c>
      <c r="X40" s="1355"/>
      <c r="Y40" s="366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7"/>
      <c r="Q41" s="1352" t="str">
        <f t="shared" si="11"/>
        <v>层高</v>
      </c>
      <c r="R41" s="705" t="s">
        <v>14</v>
      </c>
      <c r="S41" s="706">
        <f t="shared" si="12"/>
        <v>100</v>
      </c>
      <c r="T41" s="705" t="s">
        <v>14</v>
      </c>
      <c r="U41" s="706">
        <f t="shared" si="13"/>
        <v>100</v>
      </c>
      <c r="V41" s="705" t="s">
        <v>14</v>
      </c>
      <c r="W41" s="706">
        <f t="shared" si="14"/>
        <v>100</v>
      </c>
      <c r="X41" s="1355"/>
      <c r="Y41" s="366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7"/>
      <c r="Q42" s="707" t="str">
        <f t="shared" si="11"/>
        <v>单套建筑面积</v>
      </c>
      <c r="R42" s="708" t="s">
        <v>14</v>
      </c>
      <c r="S42" s="709">
        <f t="shared" si="12"/>
        <v>100</v>
      </c>
      <c r="T42" s="708" t="s">
        <v>14</v>
      </c>
      <c r="U42" s="709">
        <f t="shared" si="13"/>
        <v>100</v>
      </c>
      <c r="V42" s="708" t="s">
        <v>14</v>
      </c>
      <c r="W42" s="709">
        <f t="shared" si="14"/>
        <v>100</v>
      </c>
      <c r="X42" s="710"/>
      <c r="Y42" s="366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7"/>
      <c r="Q43" s="1352" t="str">
        <f t="shared" si="11"/>
        <v>内部装修</v>
      </c>
      <c r="R43" s="705" t="s">
        <v>14</v>
      </c>
      <c r="S43" s="706">
        <f t="shared" si="12"/>
        <v>100</v>
      </c>
      <c r="T43" s="705" t="s">
        <v>14</v>
      </c>
      <c r="U43" s="706">
        <f t="shared" si="13"/>
        <v>100</v>
      </c>
      <c r="V43" s="705" t="s">
        <v>14</v>
      </c>
      <c r="W43" s="706">
        <f t="shared" si="14"/>
        <v>100</v>
      </c>
      <c r="X43" s="1355"/>
      <c r="Y43" s="366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7"/>
      <c r="Q44" s="1352" t="str">
        <f t="shared" si="11"/>
        <v>内部装修维护情况</v>
      </c>
      <c r="R44" s="705" t="s">
        <v>14</v>
      </c>
      <c r="S44" s="706">
        <f t="shared" si="12"/>
        <v>100</v>
      </c>
      <c r="T44" s="705" t="s">
        <v>14</v>
      </c>
      <c r="U44" s="706">
        <f t="shared" si="13"/>
        <v>100</v>
      </c>
      <c r="V44" s="705" t="s">
        <v>14</v>
      </c>
      <c r="W44" s="706">
        <f t="shared" si="14"/>
        <v>100</v>
      </c>
      <c r="X44" s="1355"/>
      <c r="Y44" s="366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7"/>
      <c r="Q45" s="1343">
        <f t="shared" si="11"/>
        <v>111</v>
      </c>
      <c r="R45" s="701" t="s">
        <v>14</v>
      </c>
      <c r="S45" s="702">
        <f t="shared" si="12"/>
        <v>100</v>
      </c>
      <c r="T45" s="701" t="s">
        <v>14</v>
      </c>
      <c r="U45" s="702">
        <f t="shared" si="13"/>
        <v>100</v>
      </c>
      <c r="V45" s="701" t="s">
        <v>14</v>
      </c>
      <c r="W45" s="702">
        <f t="shared" si="14"/>
        <v>100</v>
      </c>
      <c r="X45" s="703"/>
      <c r="Y45" s="366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8"/>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48" t="str">
        <f>A48</f>
        <v>成交单价（元/平方米）</v>
      </c>
      <c r="Q48" s="3649"/>
      <c r="R48" s="3715">
        <f>E48</f>
        <v>0</v>
      </c>
      <c r="S48" s="3715"/>
      <c r="T48" s="3715">
        <f>G48</f>
        <v>0</v>
      </c>
      <c r="U48" s="3715"/>
      <c r="V48" s="3715">
        <f>I48</f>
        <v>0</v>
      </c>
      <c r="W48" s="3715"/>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48" t="str">
        <f>A49</f>
        <v>比较价值（元/平方米）</v>
      </c>
      <c r="Q49" s="3649"/>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受贵公司委托，我公司对四川省绵阳市江油市工业用房出让国有建设用地使用权及在建建筑物房地产抵押价值进行了预评估。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绵阳市江油市工业用房出让国有建设用地使用权及在建建筑物房地产，为所有。根据《国有土地使用证》[]，估价对象（分摊）出让国有建设用地使用权面积为368153.3平方米，建筑面积为253739.7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绵阳市江油市工业用房出让国有建设用地使用权及在建建筑物房地产,为开发建设的，该项目尚在开发建设中。根据《国有土地使用证》[]，估价对象（分摊）出让国有建设用地使用权面积为368153.3平方米，规划建筑面积为253739.7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253739.7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46" t="s">
        <v>1770</v>
      </c>
      <c r="D4" s="3672"/>
      <c r="E4" s="3673" t="s">
        <v>1771</v>
      </c>
      <c r="F4" s="3674"/>
      <c r="G4" s="3646" t="s">
        <v>1772</v>
      </c>
      <c r="H4" s="3672"/>
      <c r="I4" s="3646" t="s">
        <v>1773</v>
      </c>
      <c r="J4" s="3672"/>
      <c r="K4" s="559" t="s">
        <v>1774</v>
      </c>
      <c r="L4" s="913"/>
      <c r="M4" s="914"/>
      <c r="N4" s="914"/>
      <c r="O4" s="914"/>
      <c r="P4" s="3675" t="s">
        <v>1775</v>
      </c>
      <c r="Q4" s="3676"/>
      <c r="R4" s="3652" t="s">
        <v>1771</v>
      </c>
      <c r="S4" s="3653"/>
      <c r="T4" s="3652" t="s">
        <v>1772</v>
      </c>
      <c r="U4" s="3653"/>
      <c r="V4" s="3665" t="s">
        <v>1773</v>
      </c>
      <c r="W4" s="3665"/>
      <c r="X4" s="1355"/>
      <c r="Y4" s="3652" t="s">
        <v>1775</v>
      </c>
      <c r="Z4" s="3653"/>
      <c r="AA4" s="3669" t="s">
        <v>1771</v>
      </c>
      <c r="AB4" s="3670" t="s">
        <v>1772</v>
      </c>
      <c r="AC4" s="3669" t="s">
        <v>1773</v>
      </c>
    </row>
    <row r="5" spans="1:29" ht="15">
      <c r="A5" s="358"/>
      <c r="B5" s="359"/>
      <c r="C5" s="3656" t="s">
        <v>1673</v>
      </c>
      <c r="D5" s="3657"/>
      <c r="E5" s="3681" t="s">
        <v>1674</v>
      </c>
      <c r="F5" s="3682"/>
      <c r="G5" s="3656" t="s">
        <v>1675</v>
      </c>
      <c r="H5" s="3657"/>
      <c r="I5" s="3656" t="s">
        <v>1676</v>
      </c>
      <c r="J5" s="3657"/>
      <c r="K5" s="559"/>
      <c r="L5" s="913"/>
      <c r="M5" s="914"/>
      <c r="N5" s="914"/>
      <c r="O5" s="914"/>
      <c r="P5" s="3677"/>
      <c r="Q5" s="3678"/>
      <c r="R5" s="3654"/>
      <c r="S5" s="3655"/>
      <c r="T5" s="3654"/>
      <c r="U5" s="3655"/>
      <c r="V5" s="3665"/>
      <c r="W5" s="3665"/>
      <c r="X5" s="1355"/>
      <c r="Y5" s="3654"/>
      <c r="Z5" s="3655"/>
      <c r="AA5" s="3670"/>
      <c r="AB5" s="3670"/>
      <c r="AC5" s="3670"/>
    </row>
    <row r="6" spans="1:29" ht="15.75" thickBot="1">
      <c r="A6" s="360"/>
      <c r="B6" s="361"/>
      <c r="C6" s="3722" t="s">
        <v>1677</v>
      </c>
      <c r="D6" s="3723"/>
      <c r="E6" s="3724" t="s">
        <v>1677</v>
      </c>
      <c r="F6" s="3725"/>
      <c r="G6" s="3722" t="s">
        <v>1677</v>
      </c>
      <c r="H6" s="3723"/>
      <c r="I6" s="3722" t="s">
        <v>1677</v>
      </c>
      <c r="J6" s="3723"/>
      <c r="K6" s="559" t="s">
        <v>1678</v>
      </c>
      <c r="L6" s="913"/>
      <c r="M6" s="914"/>
      <c r="N6" s="914"/>
      <c r="O6" s="914"/>
      <c r="P6" s="3679"/>
      <c r="Q6" s="3680"/>
      <c r="R6" s="3654"/>
      <c r="S6" s="3655"/>
      <c r="T6" s="3663"/>
      <c r="U6" s="3664"/>
      <c r="V6" s="3665"/>
      <c r="W6" s="3665"/>
      <c r="X6" s="1355"/>
      <c r="Y6" s="3663"/>
      <c r="Z6" s="3664"/>
      <c r="AA6" s="3671"/>
      <c r="AB6" s="3671"/>
      <c r="AC6" s="3671"/>
    </row>
    <row r="7" spans="1:29" s="108" customFormat="1" ht="15.75" thickBot="1">
      <c r="A7" s="362" t="s">
        <v>1679</v>
      </c>
      <c r="B7" s="363"/>
      <c r="C7" s="364">
        <f>'数据-取费表'!B2</f>
        <v>45274</v>
      </c>
      <c r="D7" s="365">
        <v>100</v>
      </c>
      <c r="E7" s="366"/>
      <c r="F7" s="367">
        <f>SUMIF(52:52,YEAR(E7)&amp;"-"&amp;MONTH(E7),53:53)</f>
        <v>0</v>
      </c>
      <c r="G7" s="366"/>
      <c r="H7" s="365">
        <f>SUMIF(52:52,YEAR(G7)&amp;"-"&amp;MONTH(G7),53:53)</f>
        <v>0</v>
      </c>
      <c r="I7" s="366"/>
      <c r="J7" s="365">
        <f>SUMIF(52:52,YEAR(I7)&amp;"-"&amp;MONTH(I7),53:53)</f>
        <v>0</v>
      </c>
      <c r="K7" s="560"/>
      <c r="L7" s="915"/>
      <c r="M7" s="916"/>
      <c r="N7" s="916"/>
      <c r="O7" s="916"/>
      <c r="P7" s="3650" t="s">
        <v>1680</v>
      </c>
      <c r="Q7" s="3660"/>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0" t="s">
        <v>1683</v>
      </c>
      <c r="Q8" s="3651"/>
      <c r="R8" s="701" t="s">
        <v>14</v>
      </c>
      <c r="S8" s="702">
        <f t="shared" si="0"/>
        <v>100</v>
      </c>
      <c r="T8" s="701" t="s">
        <v>14</v>
      </c>
      <c r="U8" s="702">
        <f t="shared" si="1"/>
        <v>100</v>
      </c>
      <c r="V8" s="701" t="s">
        <v>14</v>
      </c>
      <c r="W8" s="702">
        <f t="shared" si="2"/>
        <v>100</v>
      </c>
      <c r="X8" s="703"/>
      <c r="Y8" s="3650" t="s">
        <v>1683</v>
      </c>
      <c r="Z8" s="365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3" t="s">
        <v>1696</v>
      </c>
      <c r="Q29" s="1352" t="str">
        <f t="shared" si="11"/>
        <v>建筑类型</v>
      </c>
      <c r="R29" s="705" t="s">
        <v>14</v>
      </c>
      <c r="S29" s="706">
        <f t="shared" si="12"/>
        <v>100</v>
      </c>
      <c r="T29" s="705" t="s">
        <v>14</v>
      </c>
      <c r="U29" s="706">
        <f t="shared" si="13"/>
        <v>100</v>
      </c>
      <c r="V29" s="705" t="s">
        <v>14</v>
      </c>
      <c r="W29" s="706">
        <f t="shared" si="14"/>
        <v>100</v>
      </c>
      <c r="X29" s="1355"/>
      <c r="Y29" s="366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8"/>
      <c r="Q30" s="707" t="str">
        <f t="shared" si="11"/>
        <v>项目建筑规模</v>
      </c>
      <c r="R30" s="708" t="s">
        <v>14</v>
      </c>
      <c r="S30" s="709" t="e">
        <f t="shared" si="12"/>
        <v>#N/A</v>
      </c>
      <c r="T30" s="708" t="s">
        <v>14</v>
      </c>
      <c r="U30" s="709" t="e">
        <f t="shared" si="13"/>
        <v>#N/A</v>
      </c>
      <c r="V30" s="708" t="s">
        <v>14</v>
      </c>
      <c r="W30" s="709" t="e">
        <f t="shared" si="14"/>
        <v>#N/A</v>
      </c>
      <c r="X30" s="710"/>
      <c r="Y30" s="366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8"/>
      <c r="Q31" s="1352" t="str">
        <f t="shared" si="11"/>
        <v>建筑结构</v>
      </c>
      <c r="R31" s="705" t="s">
        <v>14</v>
      </c>
      <c r="S31" s="706">
        <f t="shared" si="12"/>
        <v>100</v>
      </c>
      <c r="T31" s="705" t="s">
        <v>14</v>
      </c>
      <c r="U31" s="706">
        <f t="shared" si="13"/>
        <v>100</v>
      </c>
      <c r="V31" s="705" t="s">
        <v>14</v>
      </c>
      <c r="W31" s="706">
        <f t="shared" si="14"/>
        <v>100</v>
      </c>
      <c r="X31" s="1355"/>
      <c r="Y31" s="366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8"/>
      <c r="Q32" s="1352" t="str">
        <f t="shared" si="11"/>
        <v>公共部分装修</v>
      </c>
      <c r="R32" s="705" t="s">
        <v>14</v>
      </c>
      <c r="S32" s="706">
        <f t="shared" si="12"/>
        <v>100</v>
      </c>
      <c r="T32" s="705" t="s">
        <v>14</v>
      </c>
      <c r="U32" s="706">
        <f t="shared" si="13"/>
        <v>100</v>
      </c>
      <c r="V32" s="705" t="s">
        <v>14</v>
      </c>
      <c r="W32" s="706">
        <f t="shared" si="14"/>
        <v>100</v>
      </c>
      <c r="X32" s="1355"/>
      <c r="Y32" s="366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8"/>
      <c r="Q33" s="1352" t="str">
        <f t="shared" si="11"/>
        <v>成新度</v>
      </c>
      <c r="R33" s="705" t="s">
        <v>14</v>
      </c>
      <c r="S33" s="706" t="e">
        <f t="shared" si="12"/>
        <v>#N/A</v>
      </c>
      <c r="T33" s="705" t="s">
        <v>14</v>
      </c>
      <c r="U33" s="706" t="e">
        <f t="shared" si="13"/>
        <v>#N/A</v>
      </c>
      <c r="V33" s="705" t="s">
        <v>14</v>
      </c>
      <c r="W33" s="706" t="e">
        <f t="shared" si="14"/>
        <v>#N/A</v>
      </c>
      <c r="X33" s="1355"/>
      <c r="Y33" s="366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8"/>
      <c r="Q34" s="1343" t="str">
        <f t="shared" si="11"/>
        <v>物业管理</v>
      </c>
      <c r="R34" s="701" t="s">
        <v>14</v>
      </c>
      <c r="S34" s="702">
        <f t="shared" si="12"/>
        <v>100</v>
      </c>
      <c r="T34" s="701" t="s">
        <v>14</v>
      </c>
      <c r="U34" s="702">
        <f t="shared" si="13"/>
        <v>100</v>
      </c>
      <c r="V34" s="701" t="s">
        <v>14</v>
      </c>
      <c r="W34" s="702">
        <f t="shared" si="14"/>
        <v>100</v>
      </c>
      <c r="X34" s="703"/>
      <c r="Y34" s="366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8" t="s">
        <v>1696</v>
      </c>
      <c r="Q35" s="1352" t="str">
        <f t="shared" si="11"/>
        <v>市政基础设施</v>
      </c>
      <c r="R35" s="705" t="s">
        <v>14</v>
      </c>
      <c r="S35" s="706">
        <f t="shared" si="12"/>
        <v>100</v>
      </c>
      <c r="T35" s="705" t="s">
        <v>14</v>
      </c>
      <c r="U35" s="706">
        <f t="shared" si="13"/>
        <v>100</v>
      </c>
      <c r="V35" s="705" t="s">
        <v>14</v>
      </c>
      <c r="W35" s="706">
        <f t="shared" si="14"/>
        <v>100</v>
      </c>
      <c r="X35" s="1355"/>
      <c r="Y35" s="366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8"/>
      <c r="Q36" s="1352" t="str">
        <f t="shared" si="11"/>
        <v>内部装修</v>
      </c>
      <c r="R36" s="705" t="s">
        <v>14</v>
      </c>
      <c r="S36" s="706">
        <f t="shared" si="12"/>
        <v>100</v>
      </c>
      <c r="T36" s="705" t="s">
        <v>14</v>
      </c>
      <c r="U36" s="706">
        <f t="shared" si="13"/>
        <v>100</v>
      </c>
      <c r="V36" s="705" t="s">
        <v>14</v>
      </c>
      <c r="W36" s="706">
        <f t="shared" si="14"/>
        <v>100</v>
      </c>
      <c r="X36" s="1355"/>
      <c r="Y36" s="366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8"/>
      <c r="Q37" s="1352" t="str">
        <f t="shared" si="11"/>
        <v>内部装修状况</v>
      </c>
      <c r="R37" s="705" t="s">
        <v>14</v>
      </c>
      <c r="S37" s="706">
        <f t="shared" si="12"/>
        <v>100</v>
      </c>
      <c r="T37" s="705" t="s">
        <v>14</v>
      </c>
      <c r="U37" s="706">
        <f t="shared" si="13"/>
        <v>100</v>
      </c>
      <c r="V37" s="705" t="s">
        <v>14</v>
      </c>
      <c r="W37" s="706">
        <f t="shared" si="14"/>
        <v>100</v>
      </c>
      <c r="X37" s="1355"/>
      <c r="Y37" s="366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8"/>
      <c r="Q38" s="707">
        <f t="shared" si="11"/>
        <v>111</v>
      </c>
      <c r="R38" s="708" t="s">
        <v>14</v>
      </c>
      <c r="S38" s="709">
        <f t="shared" si="12"/>
        <v>100</v>
      </c>
      <c r="T38" s="708" t="s">
        <v>14</v>
      </c>
      <c r="U38" s="709">
        <f t="shared" si="13"/>
        <v>100</v>
      </c>
      <c r="V38" s="708" t="s">
        <v>14</v>
      </c>
      <c r="W38" s="709">
        <f t="shared" si="14"/>
        <v>100</v>
      </c>
      <c r="X38" s="710"/>
      <c r="Y38" s="366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8"/>
      <c r="Q39" s="1352">
        <f t="shared" si="11"/>
        <v>111</v>
      </c>
      <c r="R39" s="705" t="s">
        <v>14</v>
      </c>
      <c r="S39" s="706">
        <f t="shared" si="12"/>
        <v>100</v>
      </c>
      <c r="T39" s="705" t="s">
        <v>14</v>
      </c>
      <c r="U39" s="706">
        <f t="shared" si="13"/>
        <v>100</v>
      </c>
      <c r="V39" s="705" t="s">
        <v>14</v>
      </c>
      <c r="W39" s="706">
        <f t="shared" si="14"/>
        <v>100</v>
      </c>
      <c r="X39" s="1355"/>
      <c r="Y39" s="366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9" t="str">
        <f>A41</f>
        <v>成交单价（元/平方米）</v>
      </c>
      <c r="Q41" s="3649"/>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9" t="str">
        <f>A42</f>
        <v>比较价值（元/平方米）</v>
      </c>
      <c r="Q42" s="3649"/>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46" t="s">
        <v>1770</v>
      </c>
      <c r="D4" s="3672"/>
      <c r="E4" s="3673" t="s">
        <v>1771</v>
      </c>
      <c r="F4" s="3674"/>
      <c r="G4" s="3646" t="s">
        <v>1772</v>
      </c>
      <c r="H4" s="3672"/>
      <c r="I4" s="3646" t="s">
        <v>1773</v>
      </c>
      <c r="J4" s="3672"/>
      <c r="K4" s="559" t="s">
        <v>1774</v>
      </c>
      <c r="L4" s="2714"/>
      <c r="M4" s="2715"/>
      <c r="N4" s="2715"/>
      <c r="O4" s="2715"/>
      <c r="P4" s="3675" t="s">
        <v>1775</v>
      </c>
      <c r="Q4" s="3676"/>
      <c r="R4" s="3652" t="s">
        <v>1771</v>
      </c>
      <c r="S4" s="3653"/>
      <c r="T4" s="3652" t="s">
        <v>1772</v>
      </c>
      <c r="U4" s="3653"/>
      <c r="V4" s="3665" t="s">
        <v>1773</v>
      </c>
      <c r="W4" s="3665"/>
      <c r="X4" s="1355"/>
      <c r="Y4" s="3652" t="s">
        <v>1775</v>
      </c>
      <c r="Z4" s="3653"/>
      <c r="AA4" s="3669" t="s">
        <v>1771</v>
      </c>
      <c r="AB4" s="3670" t="s">
        <v>1772</v>
      </c>
      <c r="AC4" s="3669" t="s">
        <v>1773</v>
      </c>
    </row>
    <row r="5" spans="1:29" ht="15">
      <c r="A5" s="358"/>
      <c r="B5" s="359"/>
      <c r="C5" s="3656" t="s">
        <v>1673</v>
      </c>
      <c r="D5" s="3657"/>
      <c r="E5" s="3681" t="s">
        <v>1674</v>
      </c>
      <c r="F5" s="3682"/>
      <c r="G5" s="3656" t="s">
        <v>1675</v>
      </c>
      <c r="H5" s="3657"/>
      <c r="I5" s="3656" t="s">
        <v>1676</v>
      </c>
      <c r="J5" s="3657"/>
      <c r="K5" s="559"/>
      <c r="L5" s="2714"/>
      <c r="M5" s="2715"/>
      <c r="N5" s="2715"/>
      <c r="O5" s="2715"/>
      <c r="P5" s="3677"/>
      <c r="Q5" s="3678"/>
      <c r="R5" s="3654"/>
      <c r="S5" s="3655"/>
      <c r="T5" s="3654"/>
      <c r="U5" s="3655"/>
      <c r="V5" s="3665"/>
      <c r="W5" s="3665"/>
      <c r="X5" s="1355"/>
      <c r="Y5" s="3654"/>
      <c r="Z5" s="3655"/>
      <c r="AA5" s="3670"/>
      <c r="AB5" s="3670"/>
      <c r="AC5" s="3670"/>
    </row>
    <row r="6" spans="1:29" ht="15.75" thickBot="1">
      <c r="A6" s="360"/>
      <c r="B6" s="361"/>
      <c r="C6" s="3722" t="s">
        <v>1677</v>
      </c>
      <c r="D6" s="3723"/>
      <c r="E6" s="3724" t="s">
        <v>1677</v>
      </c>
      <c r="F6" s="3725"/>
      <c r="G6" s="3722" t="s">
        <v>1677</v>
      </c>
      <c r="H6" s="3723"/>
      <c r="I6" s="3722" t="s">
        <v>1677</v>
      </c>
      <c r="J6" s="3723"/>
      <c r="K6" s="559" t="s">
        <v>1678</v>
      </c>
      <c r="L6" s="2714"/>
      <c r="M6" s="2715"/>
      <c r="N6" s="2715"/>
      <c r="O6" s="2715"/>
      <c r="P6" s="3679"/>
      <c r="Q6" s="3680"/>
      <c r="R6" s="3654"/>
      <c r="S6" s="3655"/>
      <c r="T6" s="3663"/>
      <c r="U6" s="3664"/>
      <c r="V6" s="3665"/>
      <c r="W6" s="3665"/>
      <c r="X6" s="1355"/>
      <c r="Y6" s="3663"/>
      <c r="Z6" s="3664"/>
      <c r="AA6" s="3671"/>
      <c r="AB6" s="3671"/>
      <c r="AC6" s="3671"/>
    </row>
    <row r="7" spans="1:29" s="108" customFormat="1" ht="15.75" thickBot="1">
      <c r="A7" s="362" t="s">
        <v>1679</v>
      </c>
      <c r="B7" s="363"/>
      <c r="C7" s="364">
        <f>'数据-取费表'!B2</f>
        <v>45274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0" t="s">
        <v>1680</v>
      </c>
      <c r="Q7" s="3660"/>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0" t="s">
        <v>1683</v>
      </c>
      <c r="Q8" s="3651"/>
      <c r="R8" s="701" t="s">
        <v>14</v>
      </c>
      <c r="S8" s="702">
        <f t="shared" si="0"/>
        <v>100</v>
      </c>
      <c r="T8" s="701" t="s">
        <v>14</v>
      </c>
      <c r="U8" s="702">
        <f t="shared" si="1"/>
        <v>100</v>
      </c>
      <c r="V8" s="701" t="s">
        <v>14</v>
      </c>
      <c r="W8" s="702">
        <f t="shared" si="2"/>
        <v>100</v>
      </c>
      <c r="X8" s="703"/>
      <c r="Y8" s="3650" t="s">
        <v>1683</v>
      </c>
      <c r="Z8" s="365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9"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9"/>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9"/>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9"/>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9"/>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8"/>
      <c r="Q27" s="707" t="str">
        <f t="shared" si="11"/>
        <v>项目停车位配比</v>
      </c>
      <c r="R27" s="708" t="s">
        <v>14</v>
      </c>
      <c r="S27" s="709">
        <f t="shared" si="12"/>
        <v>100</v>
      </c>
      <c r="T27" s="708" t="s">
        <v>14</v>
      </c>
      <c r="U27" s="709">
        <f t="shared" si="13"/>
        <v>100</v>
      </c>
      <c r="V27" s="708" t="s">
        <v>14</v>
      </c>
      <c r="W27" s="709">
        <f t="shared" si="14"/>
        <v>100</v>
      </c>
      <c r="X27" s="710"/>
      <c r="Y27" s="366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8"/>
      <c r="Q28" s="1352" t="str">
        <f t="shared" si="11"/>
        <v>公共部分装修</v>
      </c>
      <c r="R28" s="705" t="s">
        <v>14</v>
      </c>
      <c r="S28" s="706">
        <f t="shared" si="12"/>
        <v>100</v>
      </c>
      <c r="T28" s="705" t="s">
        <v>14</v>
      </c>
      <c r="U28" s="706">
        <f t="shared" si="13"/>
        <v>100</v>
      </c>
      <c r="V28" s="705" t="s">
        <v>14</v>
      </c>
      <c r="W28" s="706">
        <f t="shared" si="14"/>
        <v>100</v>
      </c>
      <c r="X28" s="1355"/>
      <c r="Y28" s="366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8"/>
      <c r="Q29" s="1352" t="str">
        <f t="shared" si="11"/>
        <v>成新率</v>
      </c>
      <c r="R29" s="705" t="s">
        <v>14</v>
      </c>
      <c r="S29" s="706" t="e">
        <f t="shared" si="12"/>
        <v>#N/A</v>
      </c>
      <c r="T29" s="705" t="s">
        <v>14</v>
      </c>
      <c r="U29" s="706" t="e">
        <f t="shared" si="13"/>
        <v>#N/A</v>
      </c>
      <c r="V29" s="705" t="s">
        <v>14</v>
      </c>
      <c r="W29" s="706" t="e">
        <f t="shared" si="14"/>
        <v>#N/A</v>
      </c>
      <c r="X29" s="1355"/>
      <c r="Y29" s="366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8"/>
      <c r="Q30" s="1352" t="str">
        <f t="shared" si="11"/>
        <v>物业等级</v>
      </c>
      <c r="R30" s="705" t="s">
        <v>14</v>
      </c>
      <c r="S30" s="706">
        <f t="shared" si="12"/>
        <v>100</v>
      </c>
      <c r="T30" s="705" t="s">
        <v>14</v>
      </c>
      <c r="U30" s="706">
        <f t="shared" si="13"/>
        <v>100</v>
      </c>
      <c r="V30" s="705" t="s">
        <v>14</v>
      </c>
      <c r="W30" s="706">
        <f t="shared" si="14"/>
        <v>100</v>
      </c>
      <c r="X30" s="1355"/>
      <c r="Y30" s="366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8"/>
      <c r="Q31" s="1343" t="str">
        <f t="shared" si="11"/>
        <v>停车位面积</v>
      </c>
      <c r="R31" s="701" t="s">
        <v>14</v>
      </c>
      <c r="S31" s="702" t="e">
        <f t="shared" si="12"/>
        <v>#N/A</v>
      </c>
      <c r="T31" s="701" t="s">
        <v>14</v>
      </c>
      <c r="U31" s="702" t="e">
        <f t="shared" si="13"/>
        <v>#N/A</v>
      </c>
      <c r="V31" s="701" t="s">
        <v>14</v>
      </c>
      <c r="W31" s="702" t="e">
        <f t="shared" si="14"/>
        <v>#N/A</v>
      </c>
      <c r="X31" s="703"/>
      <c r="Y31" s="366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8" t="s">
        <v>1696</v>
      </c>
      <c r="Q32" s="1352" t="str">
        <f t="shared" si="11"/>
        <v>车位类型</v>
      </c>
      <c r="R32" s="705" t="s">
        <v>14</v>
      </c>
      <c r="S32" s="706">
        <f t="shared" si="12"/>
        <v>100</v>
      </c>
      <c r="T32" s="705" t="s">
        <v>14</v>
      </c>
      <c r="U32" s="706">
        <f t="shared" si="13"/>
        <v>100</v>
      </c>
      <c r="V32" s="705" t="s">
        <v>14</v>
      </c>
      <c r="W32" s="706">
        <f t="shared" si="14"/>
        <v>100</v>
      </c>
      <c r="X32" s="1355"/>
      <c r="Y32" s="366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8"/>
      <c r="Q33" s="1352" t="str">
        <f t="shared" si="11"/>
        <v>是否直接入户</v>
      </c>
      <c r="R33" s="705" t="s">
        <v>14</v>
      </c>
      <c r="S33" s="706">
        <f t="shared" si="12"/>
        <v>100</v>
      </c>
      <c r="T33" s="705" t="s">
        <v>14</v>
      </c>
      <c r="U33" s="706">
        <f t="shared" si="13"/>
        <v>100</v>
      </c>
      <c r="V33" s="705" t="s">
        <v>14</v>
      </c>
      <c r="W33" s="706">
        <f t="shared" si="14"/>
        <v>100</v>
      </c>
      <c r="X33" s="1355"/>
      <c r="Y33" s="366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8"/>
      <c r="Q34" s="1352">
        <f t="shared" si="11"/>
        <v>111</v>
      </c>
      <c r="R34" s="705" t="s">
        <v>14</v>
      </c>
      <c r="S34" s="706">
        <f t="shared" si="12"/>
        <v>100</v>
      </c>
      <c r="T34" s="705" t="s">
        <v>14</v>
      </c>
      <c r="U34" s="706">
        <f t="shared" si="13"/>
        <v>100</v>
      </c>
      <c r="V34" s="705" t="s">
        <v>14</v>
      </c>
      <c r="W34" s="706">
        <f t="shared" si="14"/>
        <v>100</v>
      </c>
      <c r="X34" s="1355"/>
      <c r="Y34" s="366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8"/>
      <c r="Q35" s="707">
        <f t="shared" si="11"/>
        <v>111</v>
      </c>
      <c r="R35" s="708" t="s">
        <v>14</v>
      </c>
      <c r="S35" s="709">
        <f t="shared" si="12"/>
        <v>100</v>
      </c>
      <c r="T35" s="708" t="s">
        <v>14</v>
      </c>
      <c r="U35" s="709">
        <f t="shared" si="13"/>
        <v>100</v>
      </c>
      <c r="V35" s="708" t="s">
        <v>14</v>
      </c>
      <c r="W35" s="709">
        <f t="shared" si="14"/>
        <v>100</v>
      </c>
      <c r="X35" s="710"/>
      <c r="Y35" s="366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8"/>
      <c r="Q36" s="1352">
        <f t="shared" si="11"/>
        <v>111</v>
      </c>
      <c r="R36" s="705" t="s">
        <v>14</v>
      </c>
      <c r="S36" s="706">
        <f t="shared" si="12"/>
        <v>100</v>
      </c>
      <c r="T36" s="705" t="s">
        <v>14</v>
      </c>
      <c r="U36" s="706">
        <f t="shared" si="13"/>
        <v>100</v>
      </c>
      <c r="V36" s="705" t="s">
        <v>14</v>
      </c>
      <c r="W36" s="706">
        <f t="shared" si="14"/>
        <v>100</v>
      </c>
      <c r="X36" s="1355"/>
      <c r="Y36" s="366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3"/>
      <c r="M37" s="2724"/>
      <c r="N37" s="2715"/>
      <c r="O37" s="2724"/>
      <c r="P37" s="3649" t="str">
        <f>A37</f>
        <v>成交单价</v>
      </c>
      <c r="Q37" s="3649"/>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49" t="str">
        <f>A38</f>
        <v>比较价值（元/平方米）</v>
      </c>
      <c r="Q38" s="3649"/>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4" t="str">
        <f>A39</f>
        <v>估价对象XX用房的比较价值（楼面单价，元/平方米）</v>
      </c>
      <c r="Q39" s="3685"/>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46" t="s">
        <v>1770</v>
      </c>
      <c r="D4" s="3672"/>
      <c r="E4" s="3673" t="s">
        <v>1771</v>
      </c>
      <c r="F4" s="3674"/>
      <c r="G4" s="3646" t="s">
        <v>1772</v>
      </c>
      <c r="H4" s="3672"/>
      <c r="I4" s="3646" t="s">
        <v>1773</v>
      </c>
      <c r="J4" s="3672"/>
      <c r="K4" s="559" t="s">
        <v>1774</v>
      </c>
      <c r="L4" s="2714"/>
      <c r="M4" s="2715"/>
      <c r="N4" s="2715"/>
      <c r="O4" s="2715"/>
      <c r="P4" s="3675" t="s">
        <v>1775</v>
      </c>
      <c r="Q4" s="3676"/>
      <c r="R4" s="3652" t="s">
        <v>1771</v>
      </c>
      <c r="S4" s="3653"/>
      <c r="T4" s="3652" t="s">
        <v>1772</v>
      </c>
      <c r="U4" s="3653"/>
      <c r="V4" s="3665" t="s">
        <v>1773</v>
      </c>
      <c r="W4" s="3665"/>
      <c r="X4" s="1355"/>
      <c r="Y4" s="3652" t="s">
        <v>1775</v>
      </c>
      <c r="Z4" s="3653"/>
      <c r="AA4" s="3669" t="s">
        <v>1771</v>
      </c>
      <c r="AB4" s="3670" t="s">
        <v>1772</v>
      </c>
      <c r="AC4" s="3669" t="s">
        <v>1773</v>
      </c>
    </row>
    <row r="5" spans="1:29" ht="15">
      <c r="A5" s="358"/>
      <c r="B5" s="359"/>
      <c r="C5" s="3656" t="s">
        <v>1673</v>
      </c>
      <c r="D5" s="3657"/>
      <c r="E5" s="3681" t="s">
        <v>1674</v>
      </c>
      <c r="F5" s="3682"/>
      <c r="G5" s="3656" t="s">
        <v>1675</v>
      </c>
      <c r="H5" s="3657"/>
      <c r="I5" s="3656" t="s">
        <v>1676</v>
      </c>
      <c r="J5" s="3657"/>
      <c r="K5" s="559"/>
      <c r="L5" s="2714"/>
      <c r="M5" s="2715"/>
      <c r="N5" s="2715"/>
      <c r="O5" s="2715"/>
      <c r="P5" s="3677"/>
      <c r="Q5" s="3678"/>
      <c r="R5" s="3654"/>
      <c r="S5" s="3655"/>
      <c r="T5" s="3654"/>
      <c r="U5" s="3655"/>
      <c r="V5" s="3665"/>
      <c r="W5" s="3665"/>
      <c r="X5" s="1355"/>
      <c r="Y5" s="3654"/>
      <c r="Z5" s="3655"/>
      <c r="AA5" s="3670"/>
      <c r="AB5" s="3670"/>
      <c r="AC5" s="3670"/>
    </row>
    <row r="6" spans="1:29" ht="15.75" thickBot="1">
      <c r="A6" s="360"/>
      <c r="B6" s="361"/>
      <c r="C6" s="3722" t="s">
        <v>1677</v>
      </c>
      <c r="D6" s="3723"/>
      <c r="E6" s="3724" t="s">
        <v>1677</v>
      </c>
      <c r="F6" s="3725"/>
      <c r="G6" s="3722" t="s">
        <v>1677</v>
      </c>
      <c r="H6" s="3723"/>
      <c r="I6" s="3722" t="s">
        <v>1677</v>
      </c>
      <c r="J6" s="3723"/>
      <c r="K6" s="559" t="s">
        <v>1678</v>
      </c>
      <c r="L6" s="2714"/>
      <c r="M6" s="2715"/>
      <c r="N6" s="2715"/>
      <c r="O6" s="2715"/>
      <c r="P6" s="3679"/>
      <c r="Q6" s="3680"/>
      <c r="R6" s="3654"/>
      <c r="S6" s="3655"/>
      <c r="T6" s="3663"/>
      <c r="U6" s="3664"/>
      <c r="V6" s="3665"/>
      <c r="W6" s="3665"/>
      <c r="X6" s="1355"/>
      <c r="Y6" s="3663"/>
      <c r="Z6" s="3664"/>
      <c r="AA6" s="3671"/>
      <c r="AB6" s="3671"/>
      <c r="AC6" s="3671"/>
    </row>
    <row r="7" spans="1:29" s="108" customFormat="1" ht="15.75" thickBot="1">
      <c r="A7" s="362" t="s">
        <v>1679</v>
      </c>
      <c r="B7" s="363"/>
      <c r="C7" s="364">
        <f>'数据-取费表'!B2</f>
        <v>45274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50" t="s">
        <v>1680</v>
      </c>
      <c r="Q7" s="3660"/>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0" t="s">
        <v>1683</v>
      </c>
      <c r="Q8" s="3651"/>
      <c r="R8" s="701" t="s">
        <v>14</v>
      </c>
      <c r="S8" s="702">
        <f t="shared" si="0"/>
        <v>100</v>
      </c>
      <c r="T8" s="701" t="s">
        <v>14</v>
      </c>
      <c r="U8" s="702">
        <f t="shared" si="1"/>
        <v>100</v>
      </c>
      <c r="V8" s="701" t="s">
        <v>14</v>
      </c>
      <c r="W8" s="702">
        <f t="shared" si="2"/>
        <v>100</v>
      </c>
      <c r="X8" s="703"/>
      <c r="Y8" s="3650" t="s">
        <v>1683</v>
      </c>
      <c r="Z8" s="365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9"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9"/>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9"/>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6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8"/>
      <c r="Q27" s="707" t="str">
        <f t="shared" si="11"/>
        <v>成新率</v>
      </c>
      <c r="R27" s="708" t="s">
        <v>14</v>
      </c>
      <c r="S27" s="709" t="e">
        <f t="shared" si="12"/>
        <v>#N/A</v>
      </c>
      <c r="T27" s="708" t="s">
        <v>14</v>
      </c>
      <c r="U27" s="709" t="e">
        <f t="shared" si="13"/>
        <v>#N/A</v>
      </c>
      <c r="V27" s="708" t="s">
        <v>14</v>
      </c>
      <c r="W27" s="709" t="e">
        <f t="shared" si="14"/>
        <v>#N/A</v>
      </c>
      <c r="X27" s="710"/>
      <c r="Y27" s="366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8"/>
      <c r="Q28" s="1352" t="str">
        <f t="shared" si="11"/>
        <v>物业等级</v>
      </c>
      <c r="R28" s="705" t="s">
        <v>14</v>
      </c>
      <c r="S28" s="706">
        <f t="shared" si="12"/>
        <v>100</v>
      </c>
      <c r="T28" s="705" t="s">
        <v>14</v>
      </c>
      <c r="U28" s="706">
        <f t="shared" si="13"/>
        <v>100</v>
      </c>
      <c r="V28" s="705" t="s">
        <v>14</v>
      </c>
      <c r="W28" s="706">
        <f t="shared" si="14"/>
        <v>100</v>
      </c>
      <c r="X28" s="1355"/>
      <c r="Y28" s="366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8"/>
      <c r="Q29" s="1352" t="str">
        <f t="shared" si="11"/>
        <v>有无电梯</v>
      </c>
      <c r="R29" s="705" t="s">
        <v>14</v>
      </c>
      <c r="S29" s="706">
        <f t="shared" si="12"/>
        <v>100</v>
      </c>
      <c r="T29" s="705" t="s">
        <v>14</v>
      </c>
      <c r="U29" s="706">
        <f t="shared" si="13"/>
        <v>100</v>
      </c>
      <c r="V29" s="705" t="s">
        <v>14</v>
      </c>
      <c r="W29" s="706">
        <f t="shared" si="14"/>
        <v>100</v>
      </c>
      <c r="X29" s="1355"/>
      <c r="Y29" s="366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8"/>
      <c r="Q30" s="1352" t="str">
        <f t="shared" si="11"/>
        <v>建筑面积</v>
      </c>
      <c r="R30" s="705" t="s">
        <v>14</v>
      </c>
      <c r="S30" s="706" t="e">
        <f t="shared" si="12"/>
        <v>#N/A</v>
      </c>
      <c r="T30" s="705" t="s">
        <v>14</v>
      </c>
      <c r="U30" s="706" t="e">
        <f t="shared" si="13"/>
        <v>#N/A</v>
      </c>
      <c r="V30" s="705" t="s">
        <v>14</v>
      </c>
      <c r="W30" s="706" t="e">
        <f t="shared" si="14"/>
        <v>#N/A</v>
      </c>
      <c r="X30" s="1355"/>
      <c r="Y30" s="366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8"/>
      <c r="Q31" s="1343" t="str">
        <f t="shared" si="11"/>
        <v>是否封闭</v>
      </c>
      <c r="R31" s="701" t="s">
        <v>14</v>
      </c>
      <c r="S31" s="702">
        <f t="shared" si="12"/>
        <v>100</v>
      </c>
      <c r="T31" s="701" t="s">
        <v>14</v>
      </c>
      <c r="U31" s="702">
        <f t="shared" si="13"/>
        <v>100</v>
      </c>
      <c r="V31" s="701" t="s">
        <v>14</v>
      </c>
      <c r="W31" s="702">
        <f t="shared" si="14"/>
        <v>100</v>
      </c>
      <c r="X31" s="703"/>
      <c r="Y31" s="366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8" t="s">
        <v>1696</v>
      </c>
      <c r="Q32" s="1352">
        <f t="shared" si="11"/>
        <v>111</v>
      </c>
      <c r="R32" s="705" t="s">
        <v>14</v>
      </c>
      <c r="S32" s="706">
        <f t="shared" si="12"/>
        <v>100</v>
      </c>
      <c r="T32" s="705" t="s">
        <v>14</v>
      </c>
      <c r="U32" s="706">
        <f t="shared" si="13"/>
        <v>100</v>
      </c>
      <c r="V32" s="705" t="s">
        <v>14</v>
      </c>
      <c r="W32" s="706">
        <f t="shared" si="14"/>
        <v>100</v>
      </c>
      <c r="X32" s="1355"/>
      <c r="Y32" s="366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8"/>
      <c r="Q33" s="1352">
        <f t="shared" si="11"/>
        <v>111</v>
      </c>
      <c r="R33" s="705" t="s">
        <v>14</v>
      </c>
      <c r="S33" s="706">
        <f t="shared" si="12"/>
        <v>100</v>
      </c>
      <c r="T33" s="705" t="s">
        <v>14</v>
      </c>
      <c r="U33" s="706">
        <f t="shared" si="13"/>
        <v>100</v>
      </c>
      <c r="V33" s="705" t="s">
        <v>14</v>
      </c>
      <c r="W33" s="706">
        <f t="shared" si="14"/>
        <v>100</v>
      </c>
      <c r="X33" s="1355"/>
      <c r="Y33" s="366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68"/>
      <c r="Q34" s="1352">
        <f t="shared" si="11"/>
        <v>111</v>
      </c>
      <c r="R34" s="705" t="s">
        <v>14</v>
      </c>
      <c r="S34" s="706">
        <f t="shared" si="12"/>
        <v>100</v>
      </c>
      <c r="T34" s="705" t="s">
        <v>14</v>
      </c>
      <c r="U34" s="706">
        <f t="shared" si="13"/>
        <v>100</v>
      </c>
      <c r="V34" s="705" t="s">
        <v>14</v>
      </c>
      <c r="W34" s="706">
        <f t="shared" si="14"/>
        <v>100</v>
      </c>
      <c r="X34" s="1355"/>
      <c r="Y34" s="366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9" t="str">
        <f>A35</f>
        <v>成交单价（元/平方米）</v>
      </c>
      <c r="Q35" s="3649"/>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49" t="str">
        <f>A36</f>
        <v>比较价值（元/平方米）</v>
      </c>
      <c r="Q36" s="3649"/>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4" t="str">
        <f>A37</f>
        <v>估价对象XX用房的比较价值（楼面单价，元/平方米）</v>
      </c>
      <c r="Q37" s="3685"/>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46" t="s">
        <v>1770</v>
      </c>
      <c r="D4" s="3672"/>
      <c r="E4" s="3673" t="s">
        <v>1771</v>
      </c>
      <c r="F4" s="3674"/>
      <c r="G4" s="3646" t="s">
        <v>1772</v>
      </c>
      <c r="H4" s="3672"/>
      <c r="I4" s="3646" t="s">
        <v>1773</v>
      </c>
      <c r="J4" s="3672"/>
      <c r="K4" s="559" t="s">
        <v>1774</v>
      </c>
      <c r="L4" s="2714"/>
      <c r="M4" s="2715"/>
      <c r="N4" s="2715"/>
      <c r="O4" s="2715"/>
      <c r="P4" s="3675" t="s">
        <v>1775</v>
      </c>
      <c r="Q4" s="3676"/>
      <c r="R4" s="3652" t="s">
        <v>1771</v>
      </c>
      <c r="S4" s="3653"/>
      <c r="T4" s="3652" t="s">
        <v>1772</v>
      </c>
      <c r="U4" s="3653"/>
      <c r="V4" s="3665" t="s">
        <v>1773</v>
      </c>
      <c r="W4" s="3665"/>
      <c r="X4" s="1355"/>
      <c r="Y4" s="3652" t="s">
        <v>1775</v>
      </c>
      <c r="Z4" s="3653"/>
      <c r="AA4" s="3669" t="s">
        <v>1771</v>
      </c>
      <c r="AB4" s="3670" t="s">
        <v>1772</v>
      </c>
      <c r="AC4" s="3669" t="s">
        <v>1773</v>
      </c>
    </row>
    <row r="5" spans="1:30" ht="15">
      <c r="A5" s="358"/>
      <c r="B5" s="359"/>
      <c r="C5" s="3656" t="s">
        <v>1673</v>
      </c>
      <c r="D5" s="3657"/>
      <c r="E5" s="3681" t="s">
        <v>1674</v>
      </c>
      <c r="F5" s="3682"/>
      <c r="G5" s="3656" t="s">
        <v>1675</v>
      </c>
      <c r="H5" s="3657"/>
      <c r="I5" s="3656" t="s">
        <v>1676</v>
      </c>
      <c r="J5" s="3657"/>
      <c r="K5" s="559"/>
      <c r="L5" s="2714"/>
      <c r="M5" s="2715"/>
      <c r="N5" s="2715"/>
      <c r="O5" s="2715"/>
      <c r="P5" s="3677"/>
      <c r="Q5" s="3678"/>
      <c r="R5" s="3654"/>
      <c r="S5" s="3655"/>
      <c r="T5" s="3654"/>
      <c r="U5" s="3655"/>
      <c r="V5" s="3665"/>
      <c r="W5" s="3665"/>
      <c r="X5" s="1355"/>
      <c r="Y5" s="3654"/>
      <c r="Z5" s="3655"/>
      <c r="AA5" s="3670"/>
      <c r="AB5" s="3670"/>
      <c r="AC5" s="3670"/>
    </row>
    <row r="6" spans="1:30" ht="15.75" thickBot="1">
      <c r="A6" s="360"/>
      <c r="B6" s="361"/>
      <c r="C6" s="3722" t="s">
        <v>1677</v>
      </c>
      <c r="D6" s="3723"/>
      <c r="E6" s="3724" t="s">
        <v>1677</v>
      </c>
      <c r="F6" s="3725"/>
      <c r="G6" s="3722" t="s">
        <v>1677</v>
      </c>
      <c r="H6" s="3723"/>
      <c r="I6" s="3722" t="s">
        <v>1677</v>
      </c>
      <c r="J6" s="3723"/>
      <c r="K6" s="559" t="s">
        <v>1678</v>
      </c>
      <c r="L6" s="2714"/>
      <c r="M6" s="2715"/>
      <c r="N6" s="2715"/>
      <c r="O6" s="2715"/>
      <c r="P6" s="3679"/>
      <c r="Q6" s="3680"/>
      <c r="R6" s="3654"/>
      <c r="S6" s="3655"/>
      <c r="T6" s="3663"/>
      <c r="U6" s="3664"/>
      <c r="V6" s="3665"/>
      <c r="W6" s="3665"/>
      <c r="X6" s="1355"/>
      <c r="Y6" s="3663"/>
      <c r="Z6" s="3664"/>
      <c r="AA6" s="3671"/>
      <c r="AB6" s="3671"/>
      <c r="AC6" s="3671"/>
    </row>
    <row r="7" spans="1:30" s="108" customFormat="1" ht="15.75" thickBot="1">
      <c r="A7" s="362" t="s">
        <v>1679</v>
      </c>
      <c r="B7" s="363"/>
      <c r="C7" s="364">
        <f>'数据-取费表'!B2</f>
        <v>45274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50" t="s">
        <v>1680</v>
      </c>
      <c r="Q7" s="3660"/>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0" t="s">
        <v>1683</v>
      </c>
      <c r="Q8" s="3651"/>
      <c r="R8" s="701" t="s">
        <v>14</v>
      </c>
      <c r="S8" s="702">
        <f t="shared" si="0"/>
        <v>0</v>
      </c>
      <c r="T8" s="701" t="s">
        <v>14</v>
      </c>
      <c r="U8" s="702">
        <f t="shared" si="1"/>
        <v>0</v>
      </c>
      <c r="V8" s="701" t="s">
        <v>14</v>
      </c>
      <c r="W8" s="702">
        <f t="shared" si="2"/>
        <v>0</v>
      </c>
      <c r="X8" s="703"/>
      <c r="Y8" s="3650" t="s">
        <v>1683</v>
      </c>
      <c r="Z8" s="365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649"/>
      <c r="Q10" s="1343" t="str">
        <f t="shared" si="6"/>
        <v>土地使用年限（年）</v>
      </c>
      <c r="R10" s="701" t="s">
        <v>14</v>
      </c>
      <c r="S10" s="702">
        <f t="shared" si="0"/>
        <v>101</v>
      </c>
      <c r="T10" s="701" t="s">
        <v>14</v>
      </c>
      <c r="U10" s="702">
        <f t="shared" si="1"/>
        <v>101</v>
      </c>
      <c r="V10" s="701" t="s">
        <v>14</v>
      </c>
      <c r="W10" s="702">
        <f t="shared" si="2"/>
        <v>101</v>
      </c>
      <c r="X10" s="703"/>
      <c r="Y10" s="3550"/>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9"/>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9"/>
      <c r="Q12" s="1343"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83" t="s">
        <v>1696</v>
      </c>
      <c r="Q36" s="1352">
        <f t="shared" si="8"/>
        <v>111</v>
      </c>
      <c r="R36" s="705" t="s">
        <v>14</v>
      </c>
      <c r="S36" s="706">
        <f t="shared" si="10"/>
        <v>100</v>
      </c>
      <c r="T36" s="705" t="s">
        <v>14</v>
      </c>
      <c r="U36" s="706">
        <f t="shared" si="11"/>
        <v>100</v>
      </c>
      <c r="V36" s="705" t="s">
        <v>14</v>
      </c>
      <c r="W36" s="706">
        <f t="shared" si="12"/>
        <v>100</v>
      </c>
      <c r="X36" s="1355"/>
      <c r="Y36" s="366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8"/>
      <c r="Q37" s="1352">
        <f t="shared" si="8"/>
        <v>111</v>
      </c>
      <c r="R37" s="708" t="s">
        <v>14</v>
      </c>
      <c r="S37" s="709">
        <f t="shared" si="10"/>
        <v>100</v>
      </c>
      <c r="T37" s="708" t="s">
        <v>14</v>
      </c>
      <c r="U37" s="709">
        <f t="shared" si="11"/>
        <v>100</v>
      </c>
      <c r="V37" s="708" t="s">
        <v>14</v>
      </c>
      <c r="W37" s="709">
        <f t="shared" si="12"/>
        <v>100</v>
      </c>
      <c r="X37" s="710"/>
      <c r="Y37" s="366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8"/>
      <c r="Q38" s="1352" t="str">
        <f>B38</f>
        <v>宗地面积</v>
      </c>
      <c r="R38" s="705" t="s">
        <v>14</v>
      </c>
      <c r="S38" s="706" t="e">
        <f t="shared" si="10"/>
        <v>#N/A</v>
      </c>
      <c r="T38" s="705" t="s">
        <v>14</v>
      </c>
      <c r="U38" s="706" t="e">
        <f t="shared" si="11"/>
        <v>#N/A</v>
      </c>
      <c r="V38" s="705" t="s">
        <v>14</v>
      </c>
      <c r="W38" s="706" t="e">
        <f t="shared" si="12"/>
        <v>#N/A</v>
      </c>
      <c r="X38" s="1355"/>
      <c r="Y38" s="366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68"/>
      <c r="Q39" s="1352" t="str">
        <f t="shared" ref="Q39:Q45" si="14">B39</f>
        <v>宗地形状</v>
      </c>
      <c r="R39" s="705" t="s">
        <v>14</v>
      </c>
      <c r="S39" s="706">
        <f t="shared" si="10"/>
        <v>100</v>
      </c>
      <c r="T39" s="705" t="s">
        <v>14</v>
      </c>
      <c r="U39" s="706">
        <f t="shared" si="11"/>
        <v>100</v>
      </c>
      <c r="V39" s="705" t="s">
        <v>14</v>
      </c>
      <c r="W39" s="706">
        <f t="shared" si="12"/>
        <v>100</v>
      </c>
      <c r="X39" s="1355"/>
      <c r="Y39" s="366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68"/>
      <c r="Q40" s="1352" t="str">
        <f t="shared" si="14"/>
        <v>临街宽度及深度</v>
      </c>
      <c r="R40" s="705" t="s">
        <v>14</v>
      </c>
      <c r="S40" s="706">
        <f t="shared" si="10"/>
        <v>100</v>
      </c>
      <c r="T40" s="705" t="s">
        <v>14</v>
      </c>
      <c r="U40" s="706">
        <f t="shared" si="11"/>
        <v>100</v>
      </c>
      <c r="V40" s="705" t="s">
        <v>14</v>
      </c>
      <c r="W40" s="706">
        <f t="shared" si="12"/>
        <v>100</v>
      </c>
      <c r="X40" s="1355"/>
      <c r="Y40" s="366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68"/>
      <c r="Q41" s="1352" t="str">
        <f t="shared" si="14"/>
        <v>宗地开发程度</v>
      </c>
      <c r="R41" s="701" t="s">
        <v>14</v>
      </c>
      <c r="S41" s="702">
        <f t="shared" si="10"/>
        <v>100</v>
      </c>
      <c r="T41" s="701" t="s">
        <v>14</v>
      </c>
      <c r="U41" s="702">
        <f t="shared" si="11"/>
        <v>100</v>
      </c>
      <c r="V41" s="701" t="s">
        <v>14</v>
      </c>
      <c r="W41" s="702">
        <f t="shared" si="12"/>
        <v>100</v>
      </c>
      <c r="X41" s="703"/>
      <c r="Y41" s="366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68" t="s">
        <v>1696</v>
      </c>
      <c r="Q42" s="1352" t="str">
        <f t="shared" si="14"/>
        <v>工程地质条件</v>
      </c>
      <c r="R42" s="705" t="s">
        <v>14</v>
      </c>
      <c r="S42" s="706">
        <f t="shared" si="10"/>
        <v>100</v>
      </c>
      <c r="T42" s="705" t="s">
        <v>14</v>
      </c>
      <c r="U42" s="706">
        <f t="shared" si="11"/>
        <v>100</v>
      </c>
      <c r="V42" s="705" t="s">
        <v>14</v>
      </c>
      <c r="W42" s="706">
        <f t="shared" si="12"/>
        <v>100</v>
      </c>
      <c r="X42" s="1355"/>
      <c r="Y42" s="366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8"/>
      <c r="Q43" s="1352">
        <f t="shared" si="14"/>
        <v>111</v>
      </c>
      <c r="R43" s="705" t="s">
        <v>14</v>
      </c>
      <c r="S43" s="706">
        <f t="shared" si="10"/>
        <v>100</v>
      </c>
      <c r="T43" s="705" t="s">
        <v>14</v>
      </c>
      <c r="U43" s="706">
        <f t="shared" si="11"/>
        <v>100</v>
      </c>
      <c r="V43" s="705" t="s">
        <v>14</v>
      </c>
      <c r="W43" s="706">
        <f t="shared" si="12"/>
        <v>100</v>
      </c>
      <c r="X43" s="1355"/>
      <c r="Y43" s="366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8"/>
      <c r="Q44" s="1352">
        <f t="shared" si="14"/>
        <v>111</v>
      </c>
      <c r="R44" s="705" t="s">
        <v>14</v>
      </c>
      <c r="S44" s="706">
        <f t="shared" si="10"/>
        <v>100</v>
      </c>
      <c r="T44" s="705" t="s">
        <v>14</v>
      </c>
      <c r="U44" s="706">
        <f t="shared" si="11"/>
        <v>100</v>
      </c>
      <c r="V44" s="705" t="s">
        <v>14</v>
      </c>
      <c r="W44" s="706">
        <f t="shared" si="12"/>
        <v>100</v>
      </c>
      <c r="X44" s="1355"/>
      <c r="Y44" s="366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8"/>
      <c r="Q45" s="1352">
        <f t="shared" si="14"/>
        <v>111</v>
      </c>
      <c r="R45" s="708" t="s">
        <v>14</v>
      </c>
      <c r="S45" s="709">
        <f t="shared" si="10"/>
        <v>100</v>
      </c>
      <c r="T45" s="708" t="s">
        <v>14</v>
      </c>
      <c r="U45" s="709">
        <f t="shared" si="11"/>
        <v>100</v>
      </c>
      <c r="V45" s="708" t="s">
        <v>14</v>
      </c>
      <c r="W45" s="709">
        <f t="shared" si="12"/>
        <v>100</v>
      </c>
      <c r="X45" s="710"/>
      <c r="Y45" s="366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49" t="str">
        <f>A46</f>
        <v>成交单价</v>
      </c>
      <c r="Q46" s="3649"/>
      <c r="R46" s="3665">
        <f>E46</f>
        <v>0</v>
      </c>
      <c r="S46" s="3665"/>
      <c r="T46" s="3665">
        <f>G46</f>
        <v>0</v>
      </c>
      <c r="U46" s="3665"/>
      <c r="V46" s="3665">
        <f>I46</f>
        <v>0</v>
      </c>
      <c r="W46" s="366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49" t="str">
        <f>A47</f>
        <v>比较价值（元/平方米）</v>
      </c>
      <c r="Q47" s="3649"/>
      <c r="R47" s="3687" t="e">
        <f>ROUND(PRODUCT(R46,AA7:AA45),0)</f>
        <v>#DIV/0!</v>
      </c>
      <c r="S47" s="3687"/>
      <c r="T47" s="3687" t="e">
        <f>ROUND(PRODUCT(T46,AB7:AB45),0)</f>
        <v>#DIV/0!</v>
      </c>
      <c r="U47" s="3687"/>
      <c r="V47" s="3687" t="e">
        <f>ROUND(PRODUCT(V46,AC7:AC45),0)</f>
        <v>#DIV/0!</v>
      </c>
      <c r="W47" s="368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4" t="str">
        <f>A48</f>
        <v>估价对象XX用房的比较价值（楼面单价，元/平方米）</v>
      </c>
      <c r="Q48" s="3685"/>
      <c r="R48" s="3686" t="e">
        <f>ROUND(IF(D47="简单平均",AVERAGE(R47:W47),R47*F47+T47*H47+V47*J47),0)</f>
        <v>#DIV/0!</v>
      </c>
      <c r="S48" s="3686"/>
      <c r="T48" s="3686"/>
      <c r="U48" s="3686"/>
      <c r="V48" s="3686"/>
      <c r="W48" s="368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46" t="s">
        <v>1887</v>
      </c>
      <c r="H55" s="36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253546.02500000002</v>
      </c>
      <c r="F56" s="886" t="e">
        <f t="shared" ref="F56:F64" si="15">ROUND(B56*E56/10000,0)</f>
        <v>#DIV/0!</v>
      </c>
      <c r="G56" s="3648"/>
      <c r="H56" s="364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253546.02500000002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5" t="s">
        <v>2083</v>
      </c>
      <c r="D1" s="3746"/>
      <c r="E1" s="3746"/>
      <c r="F1" s="3746"/>
      <c r="G1" s="3746"/>
      <c r="H1" s="3746"/>
      <c r="I1" s="3746"/>
      <c r="J1" s="3746"/>
      <c r="K1" s="3746"/>
      <c r="L1" s="3746"/>
      <c r="M1" s="3746"/>
      <c r="N1" s="3746"/>
      <c r="O1" s="3746"/>
      <c r="P1" s="3746"/>
      <c r="Q1" s="3746"/>
      <c r="R1" s="3746"/>
      <c r="S1" s="374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2" t="e">
        <f ca="1">SUMIF(B6:B13,"&lt;&gt;#ref!",B6:B13)</f>
        <v>#DIV/0!</v>
      </c>
      <c r="C2" s="2145" t="s">
        <v>2073</v>
      </c>
      <c r="D2" s="2145" t="s">
        <v>2074</v>
      </c>
      <c r="E2" s="2612">
        <f ca="1">SUMIF(E6:E13,"&lt;&gt;#ref!",E6:E13)</f>
        <v>0</v>
      </c>
      <c r="F2" s="2792"/>
      <c r="G2" s="2792"/>
      <c r="H2" s="2792"/>
      <c r="I2" s="2792"/>
      <c r="J2" s="2792"/>
      <c r="K2" s="2792"/>
      <c r="L2" s="2792"/>
      <c r="M2" s="2792"/>
      <c r="N2" s="2792"/>
      <c r="O2" s="2792"/>
      <c r="P2" s="2792"/>
    </row>
    <row r="3" spans="1:16" ht="15.75">
      <c r="A3" s="2145" t="s">
        <v>2075</v>
      </c>
      <c r="B3" s="2602" t="e">
        <f ca="1">ROUND(B2*10000/E2,0)</f>
        <v>#DIV/0!</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2076</v>
      </c>
      <c r="B5" s="2610" t="s">
        <v>2077</v>
      </c>
      <c r="C5" s="2146"/>
      <c r="D5" s="2792"/>
      <c r="E5" s="2611" t="s">
        <v>2078</v>
      </c>
      <c r="F5" s="2792"/>
      <c r="G5" s="2792"/>
      <c r="H5" s="2792"/>
      <c r="I5" s="2792"/>
      <c r="J5" s="2792"/>
      <c r="K5" s="2792"/>
      <c r="L5" s="2792"/>
      <c r="M5" s="2792"/>
      <c r="N5" s="2792"/>
      <c r="O5" s="2792"/>
      <c r="P5" s="2792"/>
    </row>
    <row r="6" spans="1:16" ht="15.75">
      <c r="A6" s="2609" t="s">
        <v>2079</v>
      </c>
      <c r="B6" s="2602" t="e">
        <f ca="1">SUMIF(INDIRECT("'"&amp;A6&amp;"'"&amp;"!A:A"),"总价",INDIRECT("'"&amp;A6&amp;"'"&amp;"!B:B"))</f>
        <v>#DIV/0!</v>
      </c>
      <c r="C6" s="2145" t="s">
        <v>2073</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2073</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2073</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2073</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2073</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2073</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2073</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2073</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9"/>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3240</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2" t="s">
        <v>1959</v>
      </c>
      <c r="X8" s="375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4"/>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3245</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3246</v>
      </c>
      <c r="G14" s="3311" t="s">
        <v>3246</v>
      </c>
      <c r="H14" s="3311" t="s">
        <v>3246</v>
      </c>
      <c r="I14" s="3311" t="s">
        <v>3246</v>
      </c>
      <c r="J14" s="3311" t="s">
        <v>3246</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3251</v>
      </c>
      <c r="E18" s="3328"/>
      <c r="F18" s="3323" t="s">
        <v>3254</v>
      </c>
      <c r="G18" s="3327">
        <f>ROUND(1-(1/(POWER(1+G24,E18))),4)</f>
        <v>0</v>
      </c>
      <c r="H18" s="3323" t="s">
        <v>3256</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9" t="s">
        <v>3257</v>
      </c>
      <c r="B20" s="167" t="s">
        <v>1993</v>
      </c>
      <c r="C20" s="3324" t="e">
        <f>ROUND(IF(F21="与级别开发程度一致",0,(G21-E21)/C21),0)</f>
        <v>#DIV/0!</v>
      </c>
      <c r="D20" s="3340" t="s">
        <v>1997</v>
      </c>
      <c r="E20" s="3341"/>
      <c r="F20" s="3765" t="s">
        <v>1994</v>
      </c>
      <c r="G20" s="376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0"/>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2001</v>
      </c>
      <c r="E23" s="761">
        <v>44197</v>
      </c>
      <c r="F23" s="2054" t="s">
        <v>2002</v>
      </c>
      <c r="G23" s="762">
        <f>'数据-取费表'!B2</f>
        <v>45274</v>
      </c>
      <c r="H23" s="3342" t="s">
        <v>3259</v>
      </c>
      <c r="I23" s="3343" t="str">
        <f>IF(H23="季度增幅（自定义）",SUMIF(N25:N28,E2,O25:O28),"")</f>
        <v/>
      </c>
      <c r="J23" s="3445" t="s">
        <v>3258</v>
      </c>
      <c r="K23" s="1125"/>
      <c r="L23" s="2055" t="s">
        <v>2003</v>
      </c>
      <c r="M23" s="1328">
        <f>ROUND(SUMIF(地价!B2:G2,E2,地价!B16:G16),0)</f>
        <v>0</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存贷款利率!E24/100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3338</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3264</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4"/>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3297</v>
      </c>
      <c r="B103" s="3761"/>
      <c r="C103" s="3761"/>
      <c r="D103" s="3761"/>
      <c r="E103" s="3761"/>
      <c r="F103" s="3761"/>
      <c r="G103" s="3761"/>
      <c r="H103" s="3761"/>
      <c r="I103" s="3761"/>
      <c r="J103" s="3761"/>
      <c r="K103" s="3389"/>
      <c r="L103" s="3389"/>
      <c r="M103" s="3389"/>
      <c r="N103" s="3389"/>
    </row>
    <row r="104" spans="1:14">
      <c r="A104" s="3762" t="s">
        <v>3298</v>
      </c>
      <c r="B104" s="3762" t="s">
        <v>3299</v>
      </c>
      <c r="C104" s="3390" t="s">
        <v>3300</v>
      </c>
      <c r="D104" s="3391"/>
      <c r="E104" s="3391"/>
      <c r="F104" s="3391"/>
      <c r="G104" s="3391"/>
      <c r="H104" s="3391"/>
      <c r="I104" s="3391"/>
      <c r="J104" s="3392"/>
      <c r="K104" s="3393"/>
      <c r="L104" s="3393"/>
      <c r="M104" s="3393"/>
      <c r="N104" s="3393"/>
    </row>
    <row r="105" spans="1:14">
      <c r="A105" s="3762"/>
      <c r="B105" s="3762"/>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8"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1" t="s">
        <v>3314</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f>E2</f>
        <v>0</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6" t="s">
        <v>2610</v>
      </c>
      <c r="B20" s="3771" t="s">
        <v>2631</v>
      </c>
      <c r="C20" s="3102" t="s">
        <v>2442</v>
      </c>
      <c r="D20" s="3103"/>
      <c r="E20" s="3104">
        <v>1</v>
      </c>
      <c r="F20" s="3105" t="s">
        <v>2443</v>
      </c>
      <c r="G20" s="3105"/>
    </row>
    <row r="21" spans="1:13" ht="19.5" customHeight="1">
      <c r="A21" s="3777"/>
      <c r="B21" s="3770"/>
      <c r="C21" s="3106" t="s">
        <v>2444</v>
      </c>
      <c r="D21" s="3107"/>
      <c r="E21" s="3108">
        <v>1</v>
      </c>
      <c r="F21" s="3105" t="s">
        <v>2445</v>
      </c>
      <c r="G21" s="3105"/>
    </row>
    <row r="22" spans="1:13" ht="19.5" customHeight="1">
      <c r="A22" s="3777"/>
      <c r="B22" s="3770"/>
      <c r="C22" s="3106" t="s">
        <v>2446</v>
      </c>
      <c r="D22" s="3107"/>
      <c r="E22" s="3108">
        <v>0.9</v>
      </c>
      <c r="F22" s="3105" t="s">
        <v>2447</v>
      </c>
      <c r="G22" s="3105"/>
    </row>
    <row r="23" spans="1:13" ht="19.5" customHeight="1">
      <c r="A23" s="3777"/>
      <c r="B23" s="3770"/>
      <c r="C23" s="3106" t="s">
        <v>2448</v>
      </c>
      <c r="D23" s="3107"/>
      <c r="E23" s="3108">
        <v>0.9</v>
      </c>
      <c r="F23" s="3105" t="s">
        <v>2449</v>
      </c>
      <c r="G23" s="3105"/>
    </row>
    <row r="24" spans="1:13" ht="19.5" customHeight="1">
      <c r="A24" s="3777"/>
      <c r="B24" s="3770"/>
      <c r="C24" s="3106" t="s">
        <v>2450</v>
      </c>
      <c r="D24" s="3107"/>
      <c r="E24" s="3108">
        <v>0.8</v>
      </c>
      <c r="F24" s="3105" t="s">
        <v>2451</v>
      </c>
      <c r="G24" s="3105"/>
    </row>
    <row r="25" spans="1:13" ht="19.5" customHeight="1" thickBot="1">
      <c r="A25" s="3778"/>
      <c r="B25" s="377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3" t="s">
        <v>2634</v>
      </c>
      <c r="B27" s="3771" t="s">
        <v>2615</v>
      </c>
      <c r="C27" s="3102" t="s">
        <v>2455</v>
      </c>
      <c r="D27" s="3103"/>
      <c r="E27" s="3104">
        <v>1</v>
      </c>
      <c r="F27" s="3105" t="s">
        <v>2456</v>
      </c>
      <c r="G27" s="3105"/>
    </row>
    <row r="28" spans="1:13" ht="19.5" customHeight="1">
      <c r="A28" s="3774"/>
      <c r="B28" s="3770"/>
      <c r="C28" s="3106" t="s">
        <v>2457</v>
      </c>
      <c r="D28" s="3107"/>
      <c r="E28" s="3108">
        <v>1</v>
      </c>
      <c r="F28" s="3105" t="s">
        <v>2458</v>
      </c>
      <c r="G28" s="3105"/>
    </row>
    <row r="29" spans="1:13" ht="19.5" customHeight="1">
      <c r="A29" s="3774"/>
      <c r="B29" s="3770"/>
      <c r="C29" s="3106" t="s">
        <v>2459</v>
      </c>
      <c r="D29" s="3107"/>
      <c r="E29" s="3108">
        <v>0.8</v>
      </c>
      <c r="F29" s="3105" t="s">
        <v>2460</v>
      </c>
      <c r="G29" s="3105"/>
    </row>
    <row r="30" spans="1:13" ht="19.5" customHeight="1">
      <c r="A30" s="3774"/>
      <c r="B30" s="3770"/>
      <c r="C30" s="3106" t="s">
        <v>2461</v>
      </c>
      <c r="D30" s="3107"/>
      <c r="E30" s="3108">
        <v>0.8</v>
      </c>
      <c r="F30" s="3105" t="s">
        <v>2462</v>
      </c>
      <c r="G30" s="3105"/>
    </row>
    <row r="31" spans="1:13" ht="19.5" customHeight="1">
      <c r="A31" s="3774"/>
      <c r="B31" s="3770"/>
      <c r="C31" s="3106" t="s">
        <v>2463</v>
      </c>
      <c r="D31" s="3107"/>
      <c r="E31" s="3108">
        <v>0.8</v>
      </c>
      <c r="F31" s="3105" t="s">
        <v>2464</v>
      </c>
      <c r="G31" s="3105"/>
    </row>
    <row r="32" spans="1:13" ht="19.5" customHeight="1">
      <c r="A32" s="3774"/>
      <c r="B32" s="3770"/>
      <c r="C32" s="3106" t="s">
        <v>2465</v>
      </c>
      <c r="D32" s="3107"/>
      <c r="E32" s="3108">
        <v>0.7</v>
      </c>
      <c r="F32" s="3105" t="s">
        <v>2466</v>
      </c>
      <c r="G32" s="3105"/>
    </row>
    <row r="33" spans="1:7" ht="19.5" customHeight="1">
      <c r="A33" s="3774"/>
      <c r="B33" s="3770"/>
      <c r="C33" s="3106" t="s">
        <v>2467</v>
      </c>
      <c r="D33" s="3107"/>
      <c r="E33" s="3108">
        <v>0.8</v>
      </c>
      <c r="F33" s="3105" t="s">
        <v>2468</v>
      </c>
      <c r="G33" s="3105"/>
    </row>
    <row r="34" spans="1:7" ht="19.5" customHeight="1">
      <c r="A34" s="3774"/>
      <c r="B34" s="3770"/>
      <c r="C34" s="3106" t="s">
        <v>2469</v>
      </c>
      <c r="D34" s="3107"/>
      <c r="E34" s="3108">
        <v>0.6</v>
      </c>
      <c r="F34" s="3105" t="s">
        <v>2470</v>
      </c>
      <c r="G34" s="3105"/>
    </row>
    <row r="35" spans="1:7" ht="19.5" customHeight="1">
      <c r="A35" s="3774"/>
      <c r="B35" s="3770"/>
      <c r="C35" s="3106" t="s">
        <v>2471</v>
      </c>
      <c r="D35" s="3107"/>
      <c r="E35" s="3108">
        <v>0.2</v>
      </c>
      <c r="F35" s="3105" t="s">
        <v>2472</v>
      </c>
      <c r="G35" s="3105"/>
    </row>
    <row r="36" spans="1:7" ht="19.5" customHeight="1">
      <c r="A36" s="3774"/>
      <c r="B36" s="3770"/>
      <c r="C36" s="3106" t="s">
        <v>2473</v>
      </c>
      <c r="D36" s="3107"/>
      <c r="E36" s="3108">
        <v>0.2</v>
      </c>
      <c r="F36" s="3105" t="s">
        <v>2474</v>
      </c>
      <c r="G36" s="3105"/>
    </row>
    <row r="37" spans="1:7" ht="19.5" customHeight="1">
      <c r="A37" s="3774"/>
      <c r="B37" s="3768" t="s">
        <v>2635</v>
      </c>
      <c r="C37" s="3106" t="s">
        <v>2475</v>
      </c>
      <c r="D37" s="3107"/>
      <c r="E37" s="3108">
        <v>0.6</v>
      </c>
      <c r="F37" s="3105" t="s">
        <v>2476</v>
      </c>
      <c r="G37" s="3105"/>
    </row>
    <row r="38" spans="1:7" ht="19.5" customHeight="1">
      <c r="A38" s="3774"/>
      <c r="B38" s="3770"/>
      <c r="C38" s="3106" t="s">
        <v>2477</v>
      </c>
      <c r="D38" s="3107"/>
      <c r="E38" s="3108">
        <v>0.6</v>
      </c>
      <c r="F38" s="3105" t="s">
        <v>2478</v>
      </c>
      <c r="G38" s="3105"/>
    </row>
    <row r="39" spans="1:7" ht="19.5" customHeight="1" thickBot="1">
      <c r="A39" s="3775"/>
      <c r="B39" s="377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6" t="s">
        <v>2613</v>
      </c>
      <c r="B41" s="3771" t="s">
        <v>2637</v>
      </c>
      <c r="C41" s="3102" t="s">
        <v>2482</v>
      </c>
      <c r="D41" s="3103"/>
      <c r="E41" s="3104">
        <v>1</v>
      </c>
      <c r="F41" s="3105" t="s">
        <v>2483</v>
      </c>
      <c r="G41" s="3105"/>
    </row>
    <row r="42" spans="1:7" ht="19.5" customHeight="1">
      <c r="A42" s="3777"/>
      <c r="B42" s="3770"/>
      <c r="C42" s="3106" t="s">
        <v>2484</v>
      </c>
      <c r="D42" s="3107"/>
      <c r="E42" s="3108">
        <v>1</v>
      </c>
      <c r="F42" s="3105" t="s">
        <v>2485</v>
      </c>
      <c r="G42" s="3105"/>
    </row>
    <row r="43" spans="1:7" ht="19.5" customHeight="1">
      <c r="A43" s="3777"/>
      <c r="B43" s="3769"/>
      <c r="C43" s="3106" t="s">
        <v>2486</v>
      </c>
      <c r="D43" s="3107"/>
      <c r="E43" s="3108">
        <v>1.5</v>
      </c>
      <c r="F43" s="3105" t="s">
        <v>2487</v>
      </c>
      <c r="G43" s="3105"/>
    </row>
    <row r="44" spans="1:7" ht="19.5" customHeight="1">
      <c r="A44" s="3777"/>
      <c r="B44" s="3117" t="s">
        <v>2638</v>
      </c>
      <c r="C44" s="3106" t="s">
        <v>2639</v>
      </c>
      <c r="D44" s="3107"/>
      <c r="E44" s="3108">
        <v>2</v>
      </c>
      <c r="F44" s="3105" t="s">
        <v>2488</v>
      </c>
      <c r="G44" s="3105"/>
    </row>
    <row r="45" spans="1:7" ht="19.5" customHeight="1">
      <c r="A45" s="3777"/>
      <c r="B45" s="3768" t="s">
        <v>2640</v>
      </c>
      <c r="C45" s="3106" t="s">
        <v>2489</v>
      </c>
      <c r="D45" s="3107"/>
      <c r="E45" s="3108">
        <v>1</v>
      </c>
      <c r="F45" s="3105" t="s">
        <v>2490</v>
      </c>
      <c r="G45" s="3105"/>
    </row>
    <row r="46" spans="1:7" ht="19.5" customHeight="1">
      <c r="A46" s="3777"/>
      <c r="B46" s="3770"/>
      <c r="C46" s="3106" t="s">
        <v>2491</v>
      </c>
      <c r="D46" s="3107"/>
      <c r="E46" s="3108">
        <v>1</v>
      </c>
      <c r="F46" s="3105" t="s">
        <v>2492</v>
      </c>
      <c r="G46" s="3105"/>
    </row>
    <row r="47" spans="1:7" ht="19.5" customHeight="1">
      <c r="A47" s="3777"/>
      <c r="B47" s="3770"/>
      <c r="C47" s="3106" t="s">
        <v>2493</v>
      </c>
      <c r="D47" s="3107"/>
      <c r="E47" s="3108">
        <v>1</v>
      </c>
      <c r="F47" s="3105" t="s">
        <v>2494</v>
      </c>
      <c r="G47" s="3105"/>
    </row>
    <row r="48" spans="1:7" ht="19.5" customHeight="1">
      <c r="A48" s="3777"/>
      <c r="B48" s="3770"/>
      <c r="C48" s="3106" t="s">
        <v>2495</v>
      </c>
      <c r="D48" s="3107"/>
      <c r="E48" s="3108">
        <v>1</v>
      </c>
      <c r="F48" s="3105" t="s">
        <v>2496</v>
      </c>
      <c r="G48" s="3105"/>
    </row>
    <row r="49" spans="1:7" ht="19.5" customHeight="1">
      <c r="A49" s="3777"/>
      <c r="B49" s="3770"/>
      <c r="C49" s="3106" t="s">
        <v>2497</v>
      </c>
      <c r="D49" s="3107"/>
      <c r="E49" s="3108">
        <v>1</v>
      </c>
      <c r="F49" s="3105" t="s">
        <v>2498</v>
      </c>
      <c r="G49" s="3105"/>
    </row>
    <row r="50" spans="1:7" ht="19.5" customHeight="1">
      <c r="A50" s="3777"/>
      <c r="B50" s="3770"/>
      <c r="C50" s="3106" t="s">
        <v>2499</v>
      </c>
      <c r="D50" s="3107"/>
      <c r="E50" s="3108">
        <v>1</v>
      </c>
      <c r="F50" s="3105" t="s">
        <v>2500</v>
      </c>
      <c r="G50" s="3105"/>
    </row>
    <row r="51" spans="1:7" ht="19.5" customHeight="1" thickBot="1">
      <c r="A51" s="3778"/>
      <c r="B51" s="377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8" t="s">
        <v>2654</v>
      </c>
      <c r="C73" s="3091" t="s">
        <v>2655</v>
      </c>
      <c r="D73" s="3091" t="s">
        <v>2656</v>
      </c>
      <c r="E73" s="3117">
        <v>0.2</v>
      </c>
      <c r="F73" s="3117">
        <v>25</v>
      </c>
    </row>
    <row r="74" spans="1:7" ht="24">
      <c r="A74" s="3117">
        <v>2</v>
      </c>
      <c r="B74" s="3770"/>
      <c r="C74" s="3091" t="s">
        <v>2657</v>
      </c>
      <c r="D74" s="3091" t="s">
        <v>2658</v>
      </c>
      <c r="E74" s="3117">
        <v>0.2</v>
      </c>
      <c r="F74" s="3117">
        <v>25</v>
      </c>
    </row>
    <row r="75" spans="1:7" ht="24">
      <c r="A75" s="3117">
        <v>3</v>
      </c>
      <c r="B75" s="3770"/>
      <c r="C75" s="3091" t="s">
        <v>2659</v>
      </c>
      <c r="D75" s="3091" t="s">
        <v>2660</v>
      </c>
      <c r="E75" s="3117">
        <v>0.2</v>
      </c>
      <c r="F75" s="3117">
        <v>25</v>
      </c>
    </row>
    <row r="76" spans="1:7" ht="13.5">
      <c r="A76" s="3117">
        <v>4</v>
      </c>
      <c r="B76" s="3770"/>
      <c r="C76" s="3091" t="s">
        <v>2661</v>
      </c>
      <c r="D76" s="3091" t="s">
        <v>2662</v>
      </c>
      <c r="E76" s="3117">
        <v>0.15</v>
      </c>
      <c r="F76" s="3117">
        <v>20</v>
      </c>
    </row>
    <row r="77" spans="1:7" ht="24">
      <c r="A77" s="3117">
        <v>5</v>
      </c>
      <c r="B77" s="3770"/>
      <c r="C77" s="3091" t="s">
        <v>2663</v>
      </c>
      <c r="D77" s="3091" t="s">
        <v>2664</v>
      </c>
      <c r="E77" s="3117">
        <v>0.15</v>
      </c>
      <c r="F77" s="3117">
        <v>20</v>
      </c>
    </row>
    <row r="78" spans="1:7" ht="24">
      <c r="A78" s="3117">
        <v>6</v>
      </c>
      <c r="B78" s="3770"/>
      <c r="C78" s="3091" t="s">
        <v>2665</v>
      </c>
      <c r="D78" s="3091" t="s">
        <v>2666</v>
      </c>
      <c r="E78" s="3117">
        <v>0.15</v>
      </c>
      <c r="F78" s="3117">
        <v>20</v>
      </c>
    </row>
    <row r="79" spans="1:7" ht="24">
      <c r="A79" s="3117">
        <v>7</v>
      </c>
      <c r="B79" s="3770"/>
      <c r="C79" s="3091" t="s">
        <v>2667</v>
      </c>
      <c r="D79" s="3091" t="s">
        <v>2668</v>
      </c>
      <c r="E79" s="3117">
        <v>0.15</v>
      </c>
      <c r="F79" s="3117">
        <v>20</v>
      </c>
    </row>
    <row r="80" spans="1:7" ht="24">
      <c r="A80" s="3117">
        <v>8</v>
      </c>
      <c r="B80" s="3770"/>
      <c r="C80" s="3091" t="s">
        <v>2669</v>
      </c>
      <c r="D80" s="3091" t="s">
        <v>2670</v>
      </c>
      <c r="E80" s="3117">
        <v>0.1</v>
      </c>
      <c r="F80" s="3117">
        <v>15</v>
      </c>
    </row>
    <row r="81" spans="1:6" ht="24">
      <c r="A81" s="3117">
        <v>9</v>
      </c>
      <c r="B81" s="3770"/>
      <c r="C81" s="3091" t="s">
        <v>2671</v>
      </c>
      <c r="D81" s="3091" t="s">
        <v>2672</v>
      </c>
      <c r="E81" s="3117">
        <v>0.1</v>
      </c>
      <c r="F81" s="3117">
        <v>15</v>
      </c>
    </row>
    <row r="82" spans="1:6" ht="24">
      <c r="A82" s="3117">
        <v>10</v>
      </c>
      <c r="B82" s="3770"/>
      <c r="C82" s="3091" t="s">
        <v>2673</v>
      </c>
      <c r="D82" s="3091" t="s">
        <v>2674</v>
      </c>
      <c r="E82" s="3117">
        <v>0.1</v>
      </c>
      <c r="F82" s="3117">
        <v>15</v>
      </c>
    </row>
    <row r="83" spans="1:6" ht="24">
      <c r="A83" s="3117">
        <v>11</v>
      </c>
      <c r="B83" s="3770"/>
      <c r="C83" s="3091" t="s">
        <v>2675</v>
      </c>
      <c r="D83" s="3091" t="s">
        <v>2676</v>
      </c>
      <c r="E83" s="3117">
        <v>0.1</v>
      </c>
      <c r="F83" s="3117">
        <v>15</v>
      </c>
    </row>
    <row r="84" spans="1:6" ht="24">
      <c r="A84" s="3117">
        <v>12</v>
      </c>
      <c r="B84" s="3770"/>
      <c r="C84" s="3091" t="s">
        <v>2677</v>
      </c>
      <c r="D84" s="3091" t="s">
        <v>2678</v>
      </c>
      <c r="E84" s="3117">
        <v>0.1</v>
      </c>
      <c r="F84" s="3117">
        <v>15</v>
      </c>
    </row>
    <row r="85" spans="1:6" ht="13.5">
      <c r="A85" s="3117">
        <v>13</v>
      </c>
      <c r="B85" s="3770"/>
      <c r="C85" s="3091" t="s">
        <v>2679</v>
      </c>
      <c r="D85" s="3091" t="s">
        <v>2680</v>
      </c>
      <c r="E85" s="3117">
        <v>0.1</v>
      </c>
      <c r="F85" s="3117">
        <v>15</v>
      </c>
    </row>
    <row r="86" spans="1:6" ht="13.5">
      <c r="A86" s="3117">
        <v>14</v>
      </c>
      <c r="B86" s="3770"/>
      <c r="C86" s="3091" t="s">
        <v>2681</v>
      </c>
      <c r="D86" s="3091" t="s">
        <v>2682</v>
      </c>
      <c r="E86" s="3117">
        <v>0.1</v>
      </c>
      <c r="F86" s="3117">
        <v>15</v>
      </c>
    </row>
    <row r="87" spans="1:6" ht="13.5">
      <c r="A87" s="3117">
        <v>15</v>
      </c>
      <c r="B87" s="3770"/>
      <c r="C87" s="3091" t="s">
        <v>2683</v>
      </c>
      <c r="D87" s="3091" t="s">
        <v>2684</v>
      </c>
      <c r="E87" s="3117">
        <v>0.1</v>
      </c>
      <c r="F87" s="3117">
        <v>15</v>
      </c>
    </row>
    <row r="88" spans="1:6" ht="24">
      <c r="A88" s="3117">
        <v>16</v>
      </c>
      <c r="B88" s="3770"/>
      <c r="C88" s="3091" t="s">
        <v>2685</v>
      </c>
      <c r="D88" s="3091" t="s">
        <v>2686</v>
      </c>
      <c r="E88" s="3117">
        <v>0.1</v>
      </c>
      <c r="F88" s="3117">
        <v>15</v>
      </c>
    </row>
    <row r="89" spans="1:6" ht="24">
      <c r="A89" s="3117">
        <v>17</v>
      </c>
      <c r="B89" s="3769"/>
      <c r="C89" s="3091" t="s">
        <v>2687</v>
      </c>
      <c r="D89" s="3091" t="s">
        <v>2688</v>
      </c>
      <c r="E89" s="3117">
        <v>0.1</v>
      </c>
      <c r="F89" s="3117">
        <v>15</v>
      </c>
    </row>
    <row r="90" spans="1:6" ht="13.5">
      <c r="A90" s="3117">
        <v>18</v>
      </c>
      <c r="B90" s="3768" t="s">
        <v>2689</v>
      </c>
      <c r="C90" s="3091" t="s">
        <v>2690</v>
      </c>
      <c r="D90" s="3091" t="s">
        <v>2691</v>
      </c>
      <c r="E90" s="3117">
        <v>0.2</v>
      </c>
      <c r="F90" s="3117">
        <v>25</v>
      </c>
    </row>
    <row r="91" spans="1:6" ht="24">
      <c r="A91" s="3117">
        <v>19</v>
      </c>
      <c r="B91" s="3770"/>
      <c r="C91" s="3091" t="s">
        <v>2692</v>
      </c>
      <c r="D91" s="3091" t="s">
        <v>2693</v>
      </c>
      <c r="E91" s="3117">
        <v>0.2</v>
      </c>
      <c r="F91" s="3117">
        <v>25</v>
      </c>
    </row>
    <row r="92" spans="1:6" ht="13.5">
      <c r="A92" s="3117">
        <v>20</v>
      </c>
      <c r="B92" s="3770"/>
      <c r="C92" s="3091" t="s">
        <v>2694</v>
      </c>
      <c r="D92" s="3091" t="s">
        <v>2695</v>
      </c>
      <c r="E92" s="3117">
        <v>0.15</v>
      </c>
      <c r="F92" s="3117">
        <v>20</v>
      </c>
    </row>
    <row r="93" spans="1:6" ht="13.5">
      <c r="A93" s="3117">
        <v>21</v>
      </c>
      <c r="B93" s="3770"/>
      <c r="C93" s="3091" t="s">
        <v>2696</v>
      </c>
      <c r="D93" s="3091" t="s">
        <v>2697</v>
      </c>
      <c r="E93" s="3117">
        <v>0.15</v>
      </c>
      <c r="F93" s="3117">
        <v>20</v>
      </c>
    </row>
    <row r="94" spans="1:6" ht="13.5">
      <c r="A94" s="3117">
        <v>22</v>
      </c>
      <c r="B94" s="3770"/>
      <c r="C94" s="3091" t="s">
        <v>2698</v>
      </c>
      <c r="D94" s="3091" t="s">
        <v>2699</v>
      </c>
      <c r="E94" s="3117">
        <v>0.15</v>
      </c>
      <c r="F94" s="3117">
        <v>20</v>
      </c>
    </row>
    <row r="95" spans="1:6" ht="36">
      <c r="A95" s="3117">
        <v>23</v>
      </c>
      <c r="B95" s="3770"/>
      <c r="C95" s="3091" t="s">
        <v>2700</v>
      </c>
      <c r="D95" s="3091" t="s">
        <v>2701</v>
      </c>
      <c r="E95" s="3117">
        <v>0.15</v>
      </c>
      <c r="F95" s="3117">
        <v>20</v>
      </c>
    </row>
    <row r="96" spans="1:6" ht="13.5">
      <c r="A96" s="3117">
        <v>24</v>
      </c>
      <c r="B96" s="3770"/>
      <c r="C96" s="3091" t="s">
        <v>2702</v>
      </c>
      <c r="D96" s="3091" t="s">
        <v>2703</v>
      </c>
      <c r="E96" s="3117">
        <v>0.1</v>
      </c>
      <c r="F96" s="3117">
        <v>15</v>
      </c>
    </row>
    <row r="97" spans="1:6" ht="13.5">
      <c r="A97" s="3117">
        <v>25</v>
      </c>
      <c r="B97" s="3770"/>
      <c r="C97" s="3091" t="s">
        <v>2704</v>
      </c>
      <c r="D97" s="3091" t="s">
        <v>2705</v>
      </c>
      <c r="E97" s="3117">
        <v>0.1</v>
      </c>
      <c r="F97" s="3117">
        <v>15</v>
      </c>
    </row>
    <row r="98" spans="1:6" ht="24">
      <c r="A98" s="3117">
        <v>26</v>
      </c>
      <c r="B98" s="3770"/>
      <c r="C98" s="3091" t="s">
        <v>2706</v>
      </c>
      <c r="D98" s="3091" t="s">
        <v>2707</v>
      </c>
      <c r="E98" s="3117">
        <v>0.1</v>
      </c>
      <c r="F98" s="3117">
        <v>15</v>
      </c>
    </row>
    <row r="99" spans="1:6" ht="24">
      <c r="A99" s="3117">
        <v>27</v>
      </c>
      <c r="B99" s="3770"/>
      <c r="C99" s="3091" t="s">
        <v>2708</v>
      </c>
      <c r="D99" s="3091" t="s">
        <v>2709</v>
      </c>
      <c r="E99" s="3117">
        <v>0.1</v>
      </c>
      <c r="F99" s="3117">
        <v>15</v>
      </c>
    </row>
    <row r="100" spans="1:6" ht="13.5">
      <c r="A100" s="3117">
        <v>28</v>
      </c>
      <c r="B100" s="3770"/>
      <c r="C100" s="3091" t="s">
        <v>2710</v>
      </c>
      <c r="D100" s="3091" t="s">
        <v>2711</v>
      </c>
      <c r="E100" s="3117">
        <v>0.1</v>
      </c>
      <c r="F100" s="3117">
        <v>15</v>
      </c>
    </row>
    <row r="101" spans="1:6" ht="13.5">
      <c r="A101" s="3117">
        <v>29</v>
      </c>
      <c r="B101" s="3770"/>
      <c r="C101" s="3091" t="s">
        <v>2712</v>
      </c>
      <c r="D101" s="3091" t="s">
        <v>2713</v>
      </c>
      <c r="E101" s="3117">
        <v>0.1</v>
      </c>
      <c r="F101" s="3117">
        <v>15</v>
      </c>
    </row>
    <row r="102" spans="1:6" ht="13.5">
      <c r="A102" s="3117">
        <v>30</v>
      </c>
      <c r="B102" s="3770"/>
      <c r="C102" s="3091" t="s">
        <v>2714</v>
      </c>
      <c r="D102" s="3091" t="s">
        <v>2715</v>
      </c>
      <c r="E102" s="3117">
        <v>0.1</v>
      </c>
      <c r="F102" s="3117">
        <v>15</v>
      </c>
    </row>
    <row r="103" spans="1:6" ht="24">
      <c r="A103" s="3117">
        <v>31</v>
      </c>
      <c r="B103" s="3770"/>
      <c r="C103" s="3091" t="s">
        <v>2716</v>
      </c>
      <c r="D103" s="3091" t="s">
        <v>2717</v>
      </c>
      <c r="E103" s="3117">
        <v>0.1</v>
      </c>
      <c r="F103" s="3117">
        <v>15</v>
      </c>
    </row>
    <row r="104" spans="1:6" ht="24">
      <c r="A104" s="3117">
        <v>32</v>
      </c>
      <c r="B104" s="3770"/>
      <c r="C104" s="3091" t="s">
        <v>2718</v>
      </c>
      <c r="D104" s="3091" t="s">
        <v>2719</v>
      </c>
      <c r="E104" s="3117">
        <v>0.1</v>
      </c>
      <c r="F104" s="3117">
        <v>15</v>
      </c>
    </row>
    <row r="105" spans="1:6" ht="24">
      <c r="A105" s="3117">
        <v>33</v>
      </c>
      <c r="B105" s="3770"/>
      <c r="C105" s="3091" t="s">
        <v>2720</v>
      </c>
      <c r="D105" s="3091" t="s">
        <v>2721</v>
      </c>
      <c r="E105" s="3117">
        <v>0.1</v>
      </c>
      <c r="F105" s="3117">
        <v>15</v>
      </c>
    </row>
    <row r="106" spans="1:6" ht="24">
      <c r="A106" s="3117">
        <v>34</v>
      </c>
      <c r="B106" s="3769"/>
      <c r="C106" s="3091" t="s">
        <v>2722</v>
      </c>
      <c r="D106" s="3091" t="s">
        <v>2723</v>
      </c>
      <c r="E106" s="3117">
        <v>0.1</v>
      </c>
      <c r="F106" s="3117">
        <v>15</v>
      </c>
    </row>
    <row r="107" spans="1:6" ht="24">
      <c r="A107" s="3117">
        <v>35</v>
      </c>
      <c r="B107" s="3768" t="s">
        <v>2724</v>
      </c>
      <c r="C107" s="3117" t="s">
        <v>2725</v>
      </c>
      <c r="D107" s="3091" t="s">
        <v>2726</v>
      </c>
      <c r="E107" s="3117">
        <v>0.15</v>
      </c>
      <c r="F107" s="3117">
        <v>20</v>
      </c>
    </row>
    <row r="108" spans="1:6" ht="13.5">
      <c r="A108" s="3117">
        <v>36</v>
      </c>
      <c r="B108" s="3770"/>
      <c r="C108" s="3117" t="s">
        <v>2727</v>
      </c>
      <c r="D108" s="3091" t="s">
        <v>2728</v>
      </c>
      <c r="E108" s="3117">
        <v>0.15</v>
      </c>
      <c r="F108" s="3117">
        <v>20</v>
      </c>
    </row>
    <row r="109" spans="1:6" ht="13.5">
      <c r="A109" s="3117">
        <v>37</v>
      </c>
      <c r="B109" s="3770"/>
      <c r="C109" s="3117" t="s">
        <v>2729</v>
      </c>
      <c r="D109" s="3091" t="s">
        <v>2730</v>
      </c>
      <c r="E109" s="3117">
        <v>0.15</v>
      </c>
      <c r="F109" s="3117">
        <v>20</v>
      </c>
    </row>
    <row r="110" spans="1:6" ht="13.5">
      <c r="A110" s="3117">
        <v>38</v>
      </c>
      <c r="B110" s="3770"/>
      <c r="C110" s="3117" t="s">
        <v>2731</v>
      </c>
      <c r="D110" s="3091" t="s">
        <v>2732</v>
      </c>
      <c r="E110" s="3117">
        <v>0.1</v>
      </c>
      <c r="F110" s="3117">
        <v>15</v>
      </c>
    </row>
    <row r="111" spans="1:6" ht="24">
      <c r="A111" s="3117">
        <v>39</v>
      </c>
      <c r="B111" s="3770"/>
      <c r="C111" s="3117" t="s">
        <v>2733</v>
      </c>
      <c r="D111" s="3091" t="s">
        <v>2734</v>
      </c>
      <c r="E111" s="3117">
        <v>0.1</v>
      </c>
      <c r="F111" s="3117">
        <v>15</v>
      </c>
    </row>
    <row r="112" spans="1:6" ht="24">
      <c r="A112" s="3117">
        <v>40</v>
      </c>
      <c r="B112" s="3769"/>
      <c r="C112" s="3117" t="s">
        <v>2735</v>
      </c>
      <c r="D112" s="3091" t="s">
        <v>2736</v>
      </c>
      <c r="E112" s="3117">
        <v>0.1</v>
      </c>
      <c r="F112" s="3117">
        <v>15</v>
      </c>
    </row>
    <row r="113" spans="1:6" ht="13.5">
      <c r="A113" s="3117">
        <v>41</v>
      </c>
      <c r="B113" s="3767" t="s">
        <v>2737</v>
      </c>
      <c r="C113" s="3117" t="s">
        <v>2738</v>
      </c>
      <c r="D113" s="3091" t="s">
        <v>2739</v>
      </c>
      <c r="E113" s="3117">
        <v>0.1</v>
      </c>
      <c r="F113" s="3117">
        <v>15</v>
      </c>
    </row>
    <row r="114" spans="1:6" ht="13.5">
      <c r="A114" s="3117">
        <v>42</v>
      </c>
      <c r="B114" s="3767"/>
      <c r="C114" s="3117" t="s">
        <v>2740</v>
      </c>
      <c r="D114" s="3091" t="s">
        <v>2741</v>
      </c>
      <c r="E114" s="3117">
        <v>0.1</v>
      </c>
      <c r="F114" s="3117">
        <v>15</v>
      </c>
    </row>
    <row r="115" spans="1:6" ht="24">
      <c r="A115" s="3117">
        <v>43</v>
      </c>
      <c r="B115" s="3767"/>
      <c r="C115" s="3117" t="s">
        <v>2742</v>
      </c>
      <c r="D115" s="3091" t="s">
        <v>2743</v>
      </c>
      <c r="E115" s="3117">
        <v>0.1</v>
      </c>
      <c r="F115" s="3117">
        <v>15</v>
      </c>
    </row>
    <row r="116" spans="1:6" ht="13.5">
      <c r="A116" s="3117">
        <v>44</v>
      </c>
      <c r="B116" s="3768" t="s">
        <v>2744</v>
      </c>
      <c r="C116" s="3117" t="s">
        <v>2745</v>
      </c>
      <c r="D116" s="3091" t="s">
        <v>2746</v>
      </c>
      <c r="E116" s="3117">
        <v>0.1</v>
      </c>
      <c r="F116" s="3117">
        <v>15</v>
      </c>
    </row>
    <row r="117" spans="1:6" ht="24">
      <c r="A117" s="3117">
        <v>45</v>
      </c>
      <c r="B117" s="3769"/>
      <c r="C117" s="3091" t="s">
        <v>2747</v>
      </c>
      <c r="D117" s="3091" t="s">
        <v>2748</v>
      </c>
      <c r="E117" s="3117">
        <v>0.1</v>
      </c>
      <c r="F117" s="3117">
        <v>15</v>
      </c>
    </row>
    <row r="118" spans="1:6" ht="24">
      <c r="A118" s="3117">
        <v>46</v>
      </c>
      <c r="B118" s="3768" t="s">
        <v>2749</v>
      </c>
      <c r="C118" s="3117" t="s">
        <v>2750</v>
      </c>
      <c r="D118" s="3091" t="s">
        <v>2751</v>
      </c>
      <c r="E118" s="3117">
        <v>0.1</v>
      </c>
      <c r="F118" s="3117">
        <v>15</v>
      </c>
    </row>
    <row r="119" spans="1:6" ht="24">
      <c r="A119" s="3117">
        <v>47</v>
      </c>
      <c r="B119" s="3769"/>
      <c r="C119" s="3117" t="s">
        <v>2752</v>
      </c>
      <c r="D119" s="3091" t="s">
        <v>2753</v>
      </c>
      <c r="E119" s="3117">
        <v>0.1</v>
      </c>
      <c r="F119" s="3117">
        <v>15</v>
      </c>
    </row>
    <row r="120" spans="1:6" ht="13.5">
      <c r="A120" s="3117">
        <v>48</v>
      </c>
      <c r="B120" s="3768" t="s">
        <v>2754</v>
      </c>
      <c r="C120" s="3117" t="s">
        <v>2755</v>
      </c>
      <c r="D120" s="3091" t="s">
        <v>2756</v>
      </c>
      <c r="E120" s="3117">
        <v>0.1</v>
      </c>
      <c r="F120" s="3117">
        <v>15</v>
      </c>
    </row>
    <row r="121" spans="1:6" ht="13.5">
      <c r="A121" s="3117">
        <v>49</v>
      </c>
      <c r="B121" s="3769"/>
      <c r="C121" s="3117" t="s">
        <v>2757</v>
      </c>
      <c r="D121" s="3091" t="s">
        <v>2758</v>
      </c>
      <c r="E121" s="3117">
        <v>0.1</v>
      </c>
      <c r="F121" s="3117">
        <v>15</v>
      </c>
    </row>
    <row r="122" spans="1:6" ht="24">
      <c r="A122" s="3117">
        <v>50</v>
      </c>
      <c r="B122" s="3767" t="s">
        <v>2759</v>
      </c>
      <c r="C122" s="3117" t="s">
        <v>2760</v>
      </c>
      <c r="D122" s="3091" t="s">
        <v>2761</v>
      </c>
      <c r="E122" s="3117">
        <v>0.1</v>
      </c>
      <c r="F122" s="3117">
        <v>15</v>
      </c>
    </row>
    <row r="123" spans="1:6" ht="24">
      <c r="A123" s="3117">
        <v>51</v>
      </c>
      <c r="B123" s="3767"/>
      <c r="C123" s="3117" t="s">
        <v>2762</v>
      </c>
      <c r="D123" s="3091" t="s">
        <v>2763</v>
      </c>
      <c r="E123" s="3117">
        <v>0.1</v>
      </c>
      <c r="F123" s="3117">
        <v>15</v>
      </c>
    </row>
    <row r="124" spans="1:6" ht="24">
      <c r="A124" s="3117">
        <v>52</v>
      </c>
      <c r="B124" s="3767" t="s">
        <v>2764</v>
      </c>
      <c r="C124" s="3117" t="s">
        <v>2765</v>
      </c>
      <c r="D124" s="3091" t="s">
        <v>2766</v>
      </c>
      <c r="E124" s="3117">
        <v>0.1</v>
      </c>
      <c r="F124" s="3117">
        <v>15</v>
      </c>
    </row>
    <row r="125" spans="1:6" ht="24">
      <c r="A125" s="3117">
        <v>53</v>
      </c>
      <c r="B125" s="376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7" t="s">
        <v>2772</v>
      </c>
      <c r="C127" s="3117" t="s">
        <v>2773</v>
      </c>
      <c r="D127" s="3091" t="s">
        <v>2774</v>
      </c>
      <c r="E127" s="3117">
        <v>0.1</v>
      </c>
      <c r="F127" s="3117">
        <v>15</v>
      </c>
    </row>
    <row r="128" spans="1:6" ht="13.5">
      <c r="A128" s="3117">
        <v>56</v>
      </c>
      <c r="B128" s="3767"/>
      <c r="C128" s="3117" t="s">
        <v>2775</v>
      </c>
      <c r="D128" s="3091" t="s">
        <v>2776</v>
      </c>
      <c r="E128" s="3117">
        <v>0.1</v>
      </c>
      <c r="F128" s="3117">
        <v>15</v>
      </c>
    </row>
    <row r="129" spans="1:6" ht="24">
      <c r="A129" s="3117">
        <v>57</v>
      </c>
      <c r="B129" s="3767"/>
      <c r="C129" s="3117" t="s">
        <v>2777</v>
      </c>
      <c r="D129" s="3091" t="s">
        <v>2778</v>
      </c>
      <c r="E129" s="3117">
        <v>0.1</v>
      </c>
      <c r="F129" s="3117">
        <v>15</v>
      </c>
    </row>
    <row r="130" spans="1:6" ht="24">
      <c r="A130" s="3117">
        <v>58</v>
      </c>
      <c r="B130" s="3767" t="s">
        <v>2779</v>
      </c>
      <c r="C130" s="3117" t="s">
        <v>2780</v>
      </c>
      <c r="D130" s="3091" t="s">
        <v>2781</v>
      </c>
      <c r="E130" s="3117">
        <v>0.1</v>
      </c>
      <c r="F130" s="3117">
        <v>15</v>
      </c>
    </row>
    <row r="131" spans="1:6" ht="13.5">
      <c r="A131" s="3117">
        <v>59</v>
      </c>
      <c r="B131" s="3767"/>
      <c r="C131" s="3117" t="s">
        <v>2782</v>
      </c>
      <c r="D131" s="3091" t="s">
        <v>2783</v>
      </c>
      <c r="E131" s="3117">
        <v>0.1</v>
      </c>
      <c r="F131" s="3117">
        <v>15</v>
      </c>
    </row>
    <row r="132" spans="1:6" ht="13.5">
      <c r="A132" s="3117">
        <v>60</v>
      </c>
      <c r="B132" s="3768" t="s">
        <v>2784</v>
      </c>
      <c r="C132" s="3117" t="s">
        <v>2785</v>
      </c>
      <c r="D132" s="3091" t="s">
        <v>2786</v>
      </c>
      <c r="E132" s="3117">
        <v>0.1</v>
      </c>
      <c r="F132" s="3117">
        <v>15</v>
      </c>
    </row>
    <row r="133" spans="1:6" ht="13.5">
      <c r="A133" s="3117">
        <v>61</v>
      </c>
      <c r="B133" s="376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7" t="s">
        <v>2792</v>
      </c>
      <c r="C135" s="3117" t="s">
        <v>2793</v>
      </c>
      <c r="D135" s="3091" t="s">
        <v>2794</v>
      </c>
      <c r="E135" s="3117">
        <v>0.1</v>
      </c>
      <c r="F135" s="3117">
        <v>15</v>
      </c>
    </row>
    <row r="136" spans="1:6" ht="13.5">
      <c r="A136" s="3117">
        <v>64</v>
      </c>
      <c r="B136" s="376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106678</v>
      </c>
      <c r="C2" s="2" t="s">
        <v>106</v>
      </c>
      <c r="D2" s="199"/>
      <c r="E2" s="199"/>
      <c r="F2" s="199"/>
      <c r="G2" s="199"/>
    </row>
    <row r="3" spans="1:7" s="200" customFormat="1" ht="18" customHeight="1" thickBot="1">
      <c r="A3" s="203" t="s">
        <v>58</v>
      </c>
      <c r="B3" s="204">
        <f ca="1">ROUND(B2*10000/'数据-汇总表'!E3,0)</f>
        <v>4204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253739.7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3806</v>
      </c>
      <c r="D19" s="849">
        <f>'数据-汇总表'!E3</f>
        <v>253739.7</v>
      </c>
      <c r="E19" s="211">
        <f>'数据-取费表'!B31</f>
        <v>150</v>
      </c>
      <c r="F19" s="231"/>
      <c r="G19" s="1" t="s">
        <v>436</v>
      </c>
    </row>
    <row r="20" spans="1:7" s="214" customFormat="1" ht="13.5" customHeight="1">
      <c r="A20" s="777" t="s">
        <v>419</v>
      </c>
      <c r="B20" s="210" t="s">
        <v>77</v>
      </c>
      <c r="C20" s="232">
        <f>ROUND((C5+C19)*F20,0)</f>
        <v>488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1587</v>
      </c>
      <c r="D22" s="235">
        <f ca="1">C26</f>
        <v>5.9999999999999995E-4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1327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245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1146</v>
      </c>
      <c r="D27" s="235">
        <f>C29</f>
        <v>8.9999999999999998E-4</v>
      </c>
      <c r="E27" s="236" t="s">
        <v>99</v>
      </c>
      <c r="F27" s="246">
        <f>'数据-取费表'!Q16</f>
        <v>0.05</v>
      </c>
      <c r="G27" s="247" t="s">
        <v>431</v>
      </c>
    </row>
    <row r="28" spans="1:7" s="214" customFormat="1" ht="13.5" customHeight="1">
      <c r="A28" s="780" t="s">
        <v>349</v>
      </c>
      <c r="B28" s="248" t="s">
        <v>424</v>
      </c>
      <c r="C28" s="249">
        <f>ROUND((C5+C19+C20)*F27*'数据-取费表'!B21/'数据-取费表'!B20,0)</f>
        <v>1146</v>
      </c>
      <c r="D28" s="235"/>
      <c r="E28" s="236"/>
      <c r="F28" s="246"/>
      <c r="G28" s="247"/>
    </row>
    <row r="29" spans="1:7" s="214" customFormat="1" ht="13.5" customHeight="1">
      <c r="A29" s="780" t="s">
        <v>347</v>
      </c>
      <c r="B29" s="248" t="s">
        <v>425</v>
      </c>
      <c r="C29" s="238">
        <f>ROUND(C21*F27*'数据-取费表'!B21/'数据-取费表'!B20,4)</f>
        <v>8.9999999999999998E-4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64488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58360</v>
      </c>
      <c r="D34" s="217"/>
      <c r="E34" s="220"/>
      <c r="F34" s="257">
        <f>IF('数据-取费表'!B24=0,1,'数据-取费表'!N16)</f>
        <v>0.92</v>
      </c>
      <c r="G34" s="219" t="s">
        <v>89</v>
      </c>
    </row>
    <row r="35" spans="1:7" ht="13.5" customHeight="1">
      <c r="A35" s="780" t="s">
        <v>351</v>
      </c>
      <c r="B35" s="215" t="s">
        <v>33</v>
      </c>
      <c r="C35" s="220">
        <f>ROUND(C34*F35,0)</f>
        <v>1751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3502</v>
      </c>
      <c r="D37" s="217">
        <f>'数据-汇总表'!E3</f>
        <v>253739.7</v>
      </c>
      <c r="E37" s="249">
        <f>'数据-取费表'!B35</f>
        <v>150</v>
      </c>
      <c r="F37" s="259"/>
      <c r="G37" s="261" t="s">
        <v>92</v>
      </c>
    </row>
    <row r="38" spans="1:7" ht="13.5" customHeight="1">
      <c r="A38" s="780" t="s">
        <v>354</v>
      </c>
      <c r="B38" s="215" t="s">
        <v>36</v>
      </c>
      <c r="C38" s="220">
        <f>ROUND(C34*F38,0)</f>
        <v>875</v>
      </c>
      <c r="D38" s="220"/>
      <c r="E38" s="220"/>
      <c r="F38" s="259">
        <f>'数据-取费表'!B36</f>
        <v>1.4999999999999999E-2</v>
      </c>
      <c r="G38" s="219" t="s">
        <v>90</v>
      </c>
    </row>
    <row r="39" spans="1:7" s="214" customFormat="1" ht="13.5" customHeight="1">
      <c r="A39" s="777" t="s">
        <v>338</v>
      </c>
      <c r="B39" s="210" t="s">
        <v>77</v>
      </c>
      <c r="C39" s="232">
        <f>ROUND(C33*F20,0)</f>
        <v>1290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2085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2044</v>
      </c>
      <c r="D42" s="238"/>
      <c r="E42" s="238"/>
      <c r="F42" s="239"/>
      <c r="G42" s="3643" t="s">
        <v>94</v>
      </c>
    </row>
    <row r="43" spans="1:7" ht="13.5" customHeight="1">
      <c r="A43" s="780" t="s">
        <v>347</v>
      </c>
      <c r="B43" s="215" t="s">
        <v>426</v>
      </c>
      <c r="C43" s="238">
        <f ca="1">ROUND(IF('数据-取费表'!B22&lt;=1,C39*F22*'数据-取费表'!B21/2,C39*(POWER((1+F22),'数据-取费表'!B21/2)-1)),0)</f>
        <v>41</v>
      </c>
      <c r="D43" s="238"/>
      <c r="E43" s="238"/>
      <c r="F43" s="239"/>
      <c r="G43" s="3644"/>
    </row>
    <row r="44" spans="1:7" ht="13.5" customHeight="1">
      <c r="A44" s="780" t="s">
        <v>348</v>
      </c>
      <c r="B44" s="215" t="s">
        <v>428</v>
      </c>
      <c r="C44" s="238">
        <f ca="1">ROUND(IF('数据-取费表'!B22&lt;=1,C40*F22*'数据-取费表'!B21/2,C40*(POWER((1+F22),'数据-取费表'!B21/2)-1)),4)</f>
        <v>5.9999999999999995E-4</v>
      </c>
      <c r="D44" s="238"/>
      <c r="E44" s="238"/>
      <c r="F44" s="239"/>
      <c r="G44" s="3645"/>
    </row>
    <row r="45" spans="1:7" s="214" customFormat="1" ht="13.5" customHeight="1">
      <c r="A45" s="777" t="s">
        <v>341</v>
      </c>
      <c r="B45" s="244" t="s">
        <v>85</v>
      </c>
      <c r="C45" s="245">
        <f>C46</f>
        <v>3289</v>
      </c>
      <c r="D45" s="235">
        <f>C47</f>
        <v>1E-3</v>
      </c>
      <c r="E45" s="236" t="s">
        <v>102</v>
      </c>
      <c r="F45" s="246"/>
      <c r="G45" s="247" t="s">
        <v>434</v>
      </c>
    </row>
    <row r="46" spans="1:7" s="214" customFormat="1" ht="13.5" customHeight="1">
      <c r="A46" s="780" t="s">
        <v>349</v>
      </c>
      <c r="B46" s="248" t="s">
        <v>427</v>
      </c>
      <c r="C46" s="249">
        <f>ROUND((C33+C39)*F27,0)</f>
        <v>3289</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76836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76836</v>
      </c>
      <c r="D51" s="232"/>
      <c r="E51" s="232"/>
      <c r="F51" s="264"/>
      <c r="G51" s="234" t="s">
        <v>37</v>
      </c>
    </row>
    <row r="52" spans="1:7" s="208" customFormat="1" ht="16.5" thickBot="1">
      <c r="A52" s="265" t="s">
        <v>38</v>
      </c>
      <c r="B52" s="266"/>
      <c r="C52" s="267">
        <f ca="1">C31+C51</f>
        <v>106678</v>
      </c>
      <c r="D52" s="266"/>
      <c r="E52" s="266"/>
      <c r="F52" s="266"/>
      <c r="G52" s="268"/>
    </row>
    <row r="55" spans="1:7" ht="15">
      <c r="B55" s="270" t="s">
        <v>39</v>
      </c>
      <c r="C55" s="271"/>
    </row>
    <row r="56" spans="1:7">
      <c r="B56" s="273" t="s">
        <v>40</v>
      </c>
      <c r="C56" s="274">
        <f ca="1">ROUND(C51/C52,3)</f>
        <v>0.72</v>
      </c>
    </row>
    <row r="57" spans="1:7">
      <c r="B57" s="273" t="s">
        <v>41</v>
      </c>
      <c r="C57" s="275">
        <f ca="1">1-C56</f>
        <v>0.28000000000000003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74631</v>
      </c>
      <c r="E5" s="1491"/>
    </row>
    <row r="6" spans="1:5" ht="15.75">
      <c r="A6" s="1491"/>
      <c r="B6" s="3462"/>
      <c r="C6" s="1494" t="s">
        <v>911</v>
      </c>
      <c r="D6" s="850" t="str">
        <f ca="1">NUMBERSTRING(INT(D5*10000),2)&amp;"元整"</f>
        <v>柒亿肆仟陆佰叁拾壹万元整</v>
      </c>
      <c r="E6" s="1491"/>
    </row>
    <row r="7" spans="1:5" ht="15.75">
      <c r="A7" s="1491"/>
      <c r="B7" s="3467"/>
      <c r="C7" s="1495" t="s">
        <v>912</v>
      </c>
      <c r="D7" s="851">
        <f ca="1">结果表!H102</f>
        <v>2941</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74631</v>
      </c>
      <c r="E13" s="1491"/>
    </row>
    <row r="14" spans="1:5" ht="15.75">
      <c r="A14" s="1491"/>
      <c r="B14" s="3462"/>
      <c r="C14" s="1494" t="s">
        <v>911</v>
      </c>
      <c r="D14" s="850" t="str">
        <f ca="1">NUMBERSTRING(INT(D13*10000),2)&amp;"元整"</f>
        <v>柒亿肆仟陆佰叁拾壹万元整</v>
      </c>
      <c r="E14" s="1491"/>
    </row>
    <row r="15" spans="1:5" ht="15">
      <c r="A15" s="1491"/>
      <c r="B15" s="3467"/>
      <c r="C15" s="1495" t="s">
        <v>921</v>
      </c>
      <c r="D15" s="859">
        <f ca="1">结果表!H108</f>
        <v>2941</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2842</v>
      </c>
      <c r="B1" s="3781"/>
      <c r="C1" s="3781"/>
      <c r="D1" s="3781"/>
      <c r="E1" s="3781"/>
      <c r="F1" s="3781"/>
      <c r="G1" s="3782"/>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9"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0"/>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3184</v>
      </c>
      <c r="B1" s="3783"/>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4" t="s">
        <v>3235</v>
      </c>
      <c r="B1" s="3784"/>
      <c r="C1" s="3784"/>
      <c r="D1" s="3784"/>
      <c r="E1" s="3784"/>
      <c r="F1" s="3785"/>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45274</v>
      </c>
      <c r="B1" s="3209" t="s">
        <v>3375</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3379</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3380</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3381</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3373</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3376</v>
      </c>
      <c r="C23" s="3210"/>
      <c r="D23" s="3210"/>
      <c r="E23" s="3210"/>
      <c r="F23" s="3210"/>
      <c r="G23" s="3210"/>
      <c r="H23" s="3210"/>
      <c r="I23" s="3210"/>
      <c r="J23" s="3164"/>
      <c r="K23" s="3210" t="s">
        <v>2829</v>
      </c>
      <c r="L23" s="3210"/>
      <c r="M23" s="3210"/>
      <c r="N23" s="3210"/>
      <c r="O23" s="3210"/>
      <c r="P23" s="3210"/>
      <c r="Q23" s="3164"/>
      <c r="R23" s="3786" t="s">
        <v>2830</v>
      </c>
      <c r="S23" s="3787"/>
      <c r="T23" s="3787"/>
      <c r="U23" s="3787"/>
      <c r="V23" s="3787"/>
      <c r="W23" s="3787"/>
      <c r="X23" s="3164"/>
      <c r="Y23" s="3786" t="s">
        <v>2831</v>
      </c>
      <c r="Z23" s="3787"/>
      <c r="AA23" s="3787"/>
      <c r="AB23" s="3787"/>
      <c r="AC23" s="3787"/>
      <c r="AD23" s="3787"/>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3379</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3380</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3381</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3377</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3378</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Q36" sqref="Q36"/>
    </sheetView>
  </sheetViews>
  <sheetFormatPr defaultRowHeight="13.5"/>
  <cols>
    <col min="2" max="2" width="12" customWidth="1"/>
  </cols>
  <sheetData>
    <row r="1" spans="1:6">
      <c r="A1" s="3448" t="s">
        <v>3383</v>
      </c>
    </row>
    <row r="2" spans="1:6">
      <c r="A2" s="3448" t="s">
        <v>3384</v>
      </c>
      <c r="B2" s="3448" t="s">
        <v>3385</v>
      </c>
    </row>
    <row r="3" spans="1:6">
      <c r="A3" s="3448" t="s">
        <v>3386</v>
      </c>
      <c r="B3">
        <v>175204.87</v>
      </c>
    </row>
    <row r="4" spans="1:6">
      <c r="A4" s="3448" t="s">
        <v>3387</v>
      </c>
      <c r="B4" s="3449">
        <v>44571</v>
      </c>
    </row>
    <row r="5" spans="1:6">
      <c r="A5" s="3448" t="s">
        <v>3388</v>
      </c>
      <c r="B5" s="3448" t="s">
        <v>3389</v>
      </c>
      <c r="D5" s="3448" t="s">
        <v>3390</v>
      </c>
      <c r="E5" s="3448" t="s">
        <v>3391</v>
      </c>
      <c r="F5" s="3448" t="s">
        <v>3392</v>
      </c>
    </row>
    <row r="6" spans="1:6">
      <c r="A6" s="3448" t="s">
        <v>3403</v>
      </c>
      <c r="B6" s="3448" t="s">
        <v>3402</v>
      </c>
      <c r="D6" s="3448"/>
      <c r="E6" s="3448"/>
      <c r="F6" s="3448"/>
    </row>
    <row r="7" spans="1:6">
      <c r="A7" s="3448" t="s">
        <v>3393</v>
      </c>
      <c r="B7">
        <v>50</v>
      </c>
    </row>
    <row r="8" spans="1:6">
      <c r="A8" s="3448" t="s">
        <v>3394</v>
      </c>
      <c r="B8">
        <v>2522.9760000000001</v>
      </c>
    </row>
    <row r="9" spans="1:6">
      <c r="A9" s="3448" t="s">
        <v>3396</v>
      </c>
      <c r="B9">
        <v>144</v>
      </c>
      <c r="C9" s="3448" t="s">
        <v>3395</v>
      </c>
    </row>
    <row r="10" spans="1:6">
      <c r="A10" s="3448" t="s">
        <v>3397</v>
      </c>
      <c r="B10">
        <v>24</v>
      </c>
      <c r="C10">
        <v>12</v>
      </c>
    </row>
    <row r="11" spans="1:6">
      <c r="A11" s="3448" t="s">
        <v>3398</v>
      </c>
      <c r="B11" s="3450">
        <v>0.6</v>
      </c>
      <c r="C11" s="3450">
        <v>0.4</v>
      </c>
    </row>
    <row r="12" spans="1:6">
      <c r="A12" s="3448" t="s">
        <v>3399</v>
      </c>
      <c r="B12" s="3450">
        <v>0.2</v>
      </c>
      <c r="C12" s="3450">
        <v>0.05</v>
      </c>
    </row>
    <row r="13" spans="1:6">
      <c r="A13" s="3448" t="s">
        <v>3400</v>
      </c>
      <c r="B13" s="3449">
        <v>44936</v>
      </c>
    </row>
    <row r="14" spans="1:6">
      <c r="A14" s="3448" t="s">
        <v>3401</v>
      </c>
      <c r="B14" s="3449">
        <v>45667</v>
      </c>
    </row>
    <row r="15" spans="1:6">
      <c r="A15" s="3448" t="s">
        <v>3404</v>
      </c>
      <c r="B15" s="3449">
        <v>44544</v>
      </c>
    </row>
    <row r="24" spans="3:4">
      <c r="C24" s="3448" t="s">
        <v>3405</v>
      </c>
      <c r="D24" s="3448" t="s">
        <v>3406</v>
      </c>
    </row>
    <row r="25" spans="3:4">
      <c r="C25" s="3448" t="s">
        <v>3407</v>
      </c>
      <c r="D25" s="3448" t="s">
        <v>3410</v>
      </c>
    </row>
    <row r="26" spans="3:4">
      <c r="C26" s="3448" t="s">
        <v>3408</v>
      </c>
      <c r="D26" s="3448" t="s">
        <v>3411</v>
      </c>
    </row>
    <row r="27" spans="3:4">
      <c r="C27" s="3448" t="s">
        <v>3409</v>
      </c>
      <c r="D27" s="3448" t="s">
        <v>3411</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P71" sqref="P71"/>
    </sheetView>
  </sheetViews>
  <sheetFormatPr defaultRowHeight="13.5"/>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P29" sqref="P29"/>
    </sheetView>
  </sheetViews>
  <sheetFormatPr defaultRowHeight="13.5"/>
  <cols>
    <col min="1" max="1" width="18.125" customWidth="1"/>
    <col min="7" max="8" width="9.125" bestFit="1" customWidth="1"/>
    <col min="10" max="10" width="14.125" customWidth="1"/>
    <col min="12" max="12" width="10.5" bestFit="1" customWidth="1"/>
    <col min="15" max="15" width="9.125" bestFit="1" customWidth="1"/>
    <col min="16" max="16" width="18.5" customWidth="1"/>
    <col min="17" max="19" width="9.125" bestFit="1" customWidth="1"/>
  </cols>
  <sheetData>
    <row r="1" spans="1:21" ht="14.25">
      <c r="A1" s="3800" t="s">
        <v>3471</v>
      </c>
      <c r="B1" s="3800" t="s">
        <v>3472</v>
      </c>
      <c r="C1" s="3800" t="s">
        <v>3473</v>
      </c>
      <c r="D1" s="3800" t="s">
        <v>3474</v>
      </c>
      <c r="E1" s="3800" t="s">
        <v>3475</v>
      </c>
      <c r="F1" s="3800" t="s">
        <v>3476</v>
      </c>
      <c r="G1" s="3800" t="s">
        <v>3477</v>
      </c>
      <c r="H1" s="3800" t="s">
        <v>3478</v>
      </c>
      <c r="I1" s="3800" t="s">
        <v>3479</v>
      </c>
      <c r="J1" s="3800" t="s">
        <v>3480</v>
      </c>
      <c r="K1" s="3800" t="s">
        <v>3481</v>
      </c>
      <c r="L1" s="3800" t="s">
        <v>3482</v>
      </c>
      <c r="M1" s="3800" t="s">
        <v>3483</v>
      </c>
      <c r="N1" s="3800" t="s">
        <v>3484</v>
      </c>
      <c r="O1" s="3800" t="s">
        <v>3485</v>
      </c>
      <c r="P1" s="3800" t="s">
        <v>3486</v>
      </c>
      <c r="Q1" s="3800" t="s">
        <v>3487</v>
      </c>
      <c r="R1" s="3800" t="s">
        <v>3488</v>
      </c>
      <c r="S1" s="3800" t="s">
        <v>3489</v>
      </c>
      <c r="T1" s="3800" t="s">
        <v>3490</v>
      </c>
      <c r="U1" s="3800" t="s">
        <v>3491</v>
      </c>
    </row>
    <row r="2" spans="1:21" ht="14.25">
      <c r="A2" s="3800" t="s">
        <v>3492</v>
      </c>
      <c r="B2" s="3800" t="s">
        <v>3493</v>
      </c>
      <c r="C2" s="3800" t="s">
        <v>3494</v>
      </c>
      <c r="D2" s="3800" t="s">
        <v>3495</v>
      </c>
      <c r="E2" s="3800" t="s">
        <v>3497</v>
      </c>
      <c r="F2" s="3800" t="s">
        <v>3498</v>
      </c>
      <c r="G2" s="3800">
        <v>14379.15</v>
      </c>
      <c r="H2" s="3800">
        <v>28758.3</v>
      </c>
      <c r="I2" s="3800" t="s">
        <v>3499</v>
      </c>
      <c r="J2" s="3800">
        <v>2</v>
      </c>
      <c r="K2" s="3800" t="s">
        <v>3498</v>
      </c>
      <c r="L2" s="3800" t="s">
        <v>3496</v>
      </c>
      <c r="M2" s="3800" t="s">
        <v>3501</v>
      </c>
      <c r="N2" s="3800" t="s">
        <v>3500</v>
      </c>
      <c r="O2" s="3800" t="s">
        <v>3496</v>
      </c>
      <c r="P2" s="3800" t="s">
        <v>3496</v>
      </c>
      <c r="Q2" s="3800" t="s">
        <v>3496</v>
      </c>
      <c r="R2" s="3800" t="s">
        <v>3496</v>
      </c>
      <c r="S2" s="3800">
        <v>0</v>
      </c>
      <c r="T2" s="3800" t="s">
        <v>3502</v>
      </c>
      <c r="U2" s="3800" t="s">
        <v>3503</v>
      </c>
    </row>
    <row r="3" spans="1:21" ht="14.25">
      <c r="A3" s="3800" t="s">
        <v>3504</v>
      </c>
      <c r="B3" s="3800" t="s">
        <v>3493</v>
      </c>
      <c r="C3" s="3800" t="s">
        <v>3494</v>
      </c>
      <c r="D3" s="3800" t="s">
        <v>3495</v>
      </c>
      <c r="E3" s="3800" t="s">
        <v>3505</v>
      </c>
      <c r="F3" s="3800" t="s">
        <v>3498</v>
      </c>
      <c r="G3" s="3800">
        <v>61034.6</v>
      </c>
      <c r="H3" s="3800">
        <v>30517.3</v>
      </c>
      <c r="I3" s="3800" t="s">
        <v>3506</v>
      </c>
      <c r="J3" s="3800">
        <v>0</v>
      </c>
      <c r="K3" s="3800" t="s">
        <v>3498</v>
      </c>
      <c r="L3" s="3799">
        <v>45215.000497685185</v>
      </c>
      <c r="M3" s="3800" t="s">
        <v>3507</v>
      </c>
      <c r="N3" s="3800" t="s">
        <v>3508</v>
      </c>
      <c r="O3" s="3800">
        <v>2728.25</v>
      </c>
      <c r="P3" s="3800">
        <v>447</v>
      </c>
      <c r="Q3" s="3800">
        <v>29.8</v>
      </c>
      <c r="R3" s="3800">
        <v>894</v>
      </c>
      <c r="S3" s="3800">
        <v>0</v>
      </c>
      <c r="T3" s="3800" t="s">
        <v>3502</v>
      </c>
      <c r="U3" s="3800" t="s">
        <v>3509</v>
      </c>
    </row>
    <row r="4" spans="1:21" s="3458" customFormat="1" ht="14.25">
      <c r="A4" s="3802" t="s">
        <v>3510</v>
      </c>
      <c r="B4" s="3802" t="s">
        <v>3493</v>
      </c>
      <c r="C4" s="3802" t="s">
        <v>3494</v>
      </c>
      <c r="D4" s="3802" t="s">
        <v>3495</v>
      </c>
      <c r="E4" s="3802" t="s">
        <v>3511</v>
      </c>
      <c r="F4" s="3802" t="s">
        <v>3498</v>
      </c>
      <c r="G4" s="3802">
        <v>19886.2</v>
      </c>
      <c r="H4" s="3802">
        <v>99431</v>
      </c>
      <c r="I4" s="3802" t="s">
        <v>3512</v>
      </c>
      <c r="J4" s="3802">
        <v>5</v>
      </c>
      <c r="K4" s="3802" t="s">
        <v>3498</v>
      </c>
      <c r="L4" s="3801">
        <v>45134.000497685185</v>
      </c>
      <c r="M4" s="3802" t="s">
        <v>3507</v>
      </c>
      <c r="N4" s="3802" t="s">
        <v>3513</v>
      </c>
      <c r="O4" s="3802">
        <v>286.37</v>
      </c>
      <c r="P4" s="3802">
        <v>144</v>
      </c>
      <c r="Q4" s="3802">
        <v>9.6</v>
      </c>
      <c r="R4" s="3802">
        <v>29</v>
      </c>
      <c r="S4" s="3802">
        <v>0</v>
      </c>
      <c r="T4" s="3802" t="s">
        <v>3502</v>
      </c>
      <c r="U4" s="3802" t="s">
        <v>3509</v>
      </c>
    </row>
    <row r="5" spans="1:21" ht="14.25">
      <c r="A5" s="3800" t="s">
        <v>3514</v>
      </c>
      <c r="B5" s="3800" t="s">
        <v>3493</v>
      </c>
      <c r="C5" s="3800" t="s">
        <v>3494</v>
      </c>
      <c r="D5" s="3800" t="s">
        <v>3495</v>
      </c>
      <c r="E5" s="3800" t="s">
        <v>3515</v>
      </c>
      <c r="F5" s="3800" t="s">
        <v>3498</v>
      </c>
      <c r="G5" s="3800">
        <v>38327.699999999997</v>
      </c>
      <c r="H5" s="3800">
        <v>191638.5</v>
      </c>
      <c r="I5" s="3800" t="s">
        <v>3512</v>
      </c>
      <c r="J5" s="3800">
        <v>5</v>
      </c>
      <c r="K5" s="3800" t="s">
        <v>3498</v>
      </c>
      <c r="L5" s="3799">
        <v>45134.000497685185</v>
      </c>
      <c r="M5" s="3800" t="s">
        <v>3507</v>
      </c>
      <c r="N5" s="3800" t="s">
        <v>3516</v>
      </c>
      <c r="O5" s="3800">
        <v>827.88</v>
      </c>
      <c r="P5" s="3800">
        <v>216</v>
      </c>
      <c r="Q5" s="3800">
        <v>14.4</v>
      </c>
      <c r="R5" s="3800">
        <v>43</v>
      </c>
      <c r="S5" s="3800">
        <v>0</v>
      </c>
      <c r="T5" s="3800" t="s">
        <v>3502</v>
      </c>
      <c r="U5" s="3800" t="s">
        <v>3509</v>
      </c>
    </row>
    <row r="6" spans="1:21" s="3459" customFormat="1" ht="14.25">
      <c r="A6" s="3802" t="s">
        <v>3517</v>
      </c>
      <c r="B6" s="3802" t="s">
        <v>3493</v>
      </c>
      <c r="C6" s="3802" t="s">
        <v>3494</v>
      </c>
      <c r="D6" s="3802" t="s">
        <v>3495</v>
      </c>
      <c r="E6" s="3802" t="s">
        <v>3518</v>
      </c>
      <c r="F6" s="3802" t="s">
        <v>3498</v>
      </c>
      <c r="G6" s="3802">
        <v>24998.67</v>
      </c>
      <c r="H6" s="3802">
        <v>124993.35</v>
      </c>
      <c r="I6" s="3802" t="s">
        <v>3512</v>
      </c>
      <c r="J6" s="3802">
        <v>5</v>
      </c>
      <c r="K6" s="3802" t="s">
        <v>3498</v>
      </c>
      <c r="L6" s="3801">
        <v>45134.000497685185</v>
      </c>
      <c r="M6" s="3802" t="s">
        <v>3507</v>
      </c>
      <c r="N6" s="3802" t="s">
        <v>3519</v>
      </c>
      <c r="O6" s="3802">
        <v>412.5</v>
      </c>
      <c r="P6" s="3802">
        <v>165</v>
      </c>
      <c r="Q6" s="3802">
        <v>11</v>
      </c>
      <c r="R6" s="3802">
        <v>33</v>
      </c>
      <c r="S6" s="3802">
        <v>0</v>
      </c>
      <c r="T6" s="3802" t="s">
        <v>3502</v>
      </c>
      <c r="U6" s="3802" t="s">
        <v>3509</v>
      </c>
    </row>
    <row r="7" spans="1:21" ht="14.25">
      <c r="A7" s="3800" t="s">
        <v>3520</v>
      </c>
      <c r="B7" s="3800" t="s">
        <v>3493</v>
      </c>
      <c r="C7" s="3800" t="s">
        <v>3494</v>
      </c>
      <c r="D7" s="3800" t="s">
        <v>3495</v>
      </c>
      <c r="E7" s="3800" t="s">
        <v>3521</v>
      </c>
      <c r="F7" s="3800" t="s">
        <v>3498</v>
      </c>
      <c r="G7" s="3800">
        <v>2091.38</v>
      </c>
      <c r="H7" s="3800">
        <v>10456.9</v>
      </c>
      <c r="I7" s="3800" t="s">
        <v>3512</v>
      </c>
      <c r="J7" s="3800">
        <v>5</v>
      </c>
      <c r="K7" s="3800" t="s">
        <v>3498</v>
      </c>
      <c r="L7" s="3799">
        <v>45134.000497685185</v>
      </c>
      <c r="M7" s="3800" t="s">
        <v>3507</v>
      </c>
      <c r="N7" s="3800" t="s">
        <v>3522</v>
      </c>
      <c r="O7" s="3800">
        <v>64.37</v>
      </c>
      <c r="P7" s="3800">
        <v>307.77999999999997</v>
      </c>
      <c r="Q7" s="3800">
        <v>20.52</v>
      </c>
      <c r="R7" s="3800">
        <v>62</v>
      </c>
      <c r="S7" s="3800">
        <v>0</v>
      </c>
      <c r="T7" s="3800" t="s">
        <v>3523</v>
      </c>
      <c r="U7" s="3800" t="s">
        <v>3509</v>
      </c>
    </row>
    <row r="8" spans="1:21" ht="14.25">
      <c r="A8" s="3800" t="s">
        <v>3520</v>
      </c>
      <c r="B8" s="3800" t="s">
        <v>3493</v>
      </c>
      <c r="C8" s="3800" t="s">
        <v>3494</v>
      </c>
      <c r="D8" s="3800" t="s">
        <v>3495</v>
      </c>
      <c r="E8" s="3800" t="s">
        <v>3521</v>
      </c>
      <c r="F8" s="3800" t="s">
        <v>3498</v>
      </c>
      <c r="G8" s="3800">
        <v>6995.29</v>
      </c>
      <c r="H8" s="3800">
        <v>34976.449999999997</v>
      </c>
      <c r="I8" s="3800" t="s">
        <v>3512</v>
      </c>
      <c r="J8" s="3800">
        <v>5</v>
      </c>
      <c r="K8" s="3800" t="s">
        <v>3498</v>
      </c>
      <c r="L8" s="3799">
        <v>45134.000497685185</v>
      </c>
      <c r="M8" s="3800" t="s">
        <v>3507</v>
      </c>
      <c r="N8" s="3800" t="s">
        <v>3522</v>
      </c>
      <c r="O8" s="3800">
        <v>215.11</v>
      </c>
      <c r="P8" s="3800">
        <v>307.5</v>
      </c>
      <c r="Q8" s="3800">
        <v>20.5</v>
      </c>
      <c r="R8" s="3800">
        <v>62</v>
      </c>
      <c r="S8" s="3800">
        <v>0</v>
      </c>
      <c r="T8" s="3800" t="s">
        <v>3523</v>
      </c>
      <c r="U8" s="3800" t="s">
        <v>3509</v>
      </c>
    </row>
    <row r="9" spans="1:21" ht="14.25">
      <c r="A9" s="3800" t="s">
        <v>3520</v>
      </c>
      <c r="B9" s="3800" t="s">
        <v>3493</v>
      </c>
      <c r="C9" s="3800" t="s">
        <v>3494</v>
      </c>
      <c r="D9" s="3800" t="s">
        <v>3495</v>
      </c>
      <c r="E9" s="3800" t="s">
        <v>3521</v>
      </c>
      <c r="F9" s="3800" t="s">
        <v>3498</v>
      </c>
      <c r="G9" s="3800">
        <v>23636.94</v>
      </c>
      <c r="H9" s="3800">
        <v>118184.7</v>
      </c>
      <c r="I9" s="3800" t="s">
        <v>3512</v>
      </c>
      <c r="J9" s="3800">
        <v>5</v>
      </c>
      <c r="K9" s="3800" t="s">
        <v>3498</v>
      </c>
      <c r="L9" s="3799">
        <v>45134.000497685185</v>
      </c>
      <c r="M9" s="3800" t="s">
        <v>3507</v>
      </c>
      <c r="N9" s="3800" t="s">
        <v>3522</v>
      </c>
      <c r="O9" s="3800">
        <v>726.93</v>
      </c>
      <c r="P9" s="3800">
        <v>307.52999999999997</v>
      </c>
      <c r="Q9" s="3800">
        <v>20.5</v>
      </c>
      <c r="R9" s="3800">
        <v>62</v>
      </c>
      <c r="S9" s="3800">
        <v>0</v>
      </c>
      <c r="T9" s="3800" t="s">
        <v>3523</v>
      </c>
      <c r="U9" s="3800" t="s">
        <v>3509</v>
      </c>
    </row>
    <row r="10" spans="1:21" ht="14.25">
      <c r="A10" s="3800" t="s">
        <v>3524</v>
      </c>
      <c r="B10" s="3800" t="s">
        <v>3493</v>
      </c>
      <c r="C10" s="3800" t="s">
        <v>3494</v>
      </c>
      <c r="D10" s="3800" t="s">
        <v>3495</v>
      </c>
      <c r="E10" s="3800" t="s">
        <v>3525</v>
      </c>
      <c r="F10" s="3800" t="s">
        <v>3498</v>
      </c>
      <c r="G10" s="3800">
        <v>81888.2</v>
      </c>
      <c r="H10" s="3800">
        <v>81888.2</v>
      </c>
      <c r="I10" s="3800" t="s">
        <v>3526</v>
      </c>
      <c r="J10" s="3800">
        <v>0</v>
      </c>
      <c r="K10" s="3800" t="s">
        <v>3498</v>
      </c>
      <c r="L10" s="3799">
        <v>45061.000497685185</v>
      </c>
      <c r="M10" s="3800" t="s">
        <v>3507</v>
      </c>
      <c r="N10" s="3800" t="s">
        <v>3527</v>
      </c>
      <c r="O10" s="3800">
        <v>3439.3</v>
      </c>
      <c r="P10" s="3800">
        <v>419.99</v>
      </c>
      <c r="Q10" s="3800">
        <v>28</v>
      </c>
      <c r="R10" s="3800">
        <v>420</v>
      </c>
      <c r="S10" s="3800">
        <v>0</v>
      </c>
      <c r="T10" s="3800" t="s">
        <v>3502</v>
      </c>
      <c r="U10" s="3800" t="s">
        <v>3509</v>
      </c>
    </row>
    <row r="11" spans="1:21" s="3459" customFormat="1" ht="14.25">
      <c r="A11" s="3800" t="s">
        <v>3528</v>
      </c>
      <c r="B11" s="3800" t="s">
        <v>3493</v>
      </c>
      <c r="C11" s="3800" t="s">
        <v>3494</v>
      </c>
      <c r="D11" s="3800" t="s">
        <v>3495</v>
      </c>
      <c r="E11" s="3800" t="s">
        <v>3529</v>
      </c>
      <c r="F11" s="3800" t="s">
        <v>3498</v>
      </c>
      <c r="G11" s="3800">
        <v>10875.23</v>
      </c>
      <c r="H11" s="3800">
        <v>16312.85</v>
      </c>
      <c r="I11" s="3800" t="s">
        <v>3530</v>
      </c>
      <c r="J11" s="3800">
        <v>1.5</v>
      </c>
      <c r="K11" s="3800" t="s">
        <v>3498</v>
      </c>
      <c r="L11" s="3799">
        <v>45035.000497685185</v>
      </c>
      <c r="M11" s="3800" t="s">
        <v>3507</v>
      </c>
      <c r="N11" s="3800" t="s">
        <v>3531</v>
      </c>
      <c r="O11" s="3800">
        <v>206.68</v>
      </c>
      <c r="P11" s="3800">
        <v>190.04</v>
      </c>
      <c r="Q11" s="3800">
        <v>12.67</v>
      </c>
      <c r="R11" s="3800">
        <v>127</v>
      </c>
      <c r="S11" s="3800">
        <v>0</v>
      </c>
      <c r="T11" s="3800" t="s">
        <v>3502</v>
      </c>
      <c r="U11" s="3800" t="s">
        <v>3509</v>
      </c>
    </row>
    <row r="12" spans="1:21" ht="14.25">
      <c r="A12" s="3800" t="s">
        <v>3532</v>
      </c>
      <c r="B12" s="3800" t="s">
        <v>3493</v>
      </c>
      <c r="C12" s="3800" t="s">
        <v>3494</v>
      </c>
      <c r="D12" s="3800" t="s">
        <v>3495</v>
      </c>
      <c r="E12" s="3800" t="s">
        <v>3533</v>
      </c>
      <c r="F12" s="3800" t="s">
        <v>3498</v>
      </c>
      <c r="G12" s="3800">
        <v>14063.44</v>
      </c>
      <c r="H12" s="3800">
        <v>42190.32</v>
      </c>
      <c r="I12" s="3800" t="s">
        <v>3534</v>
      </c>
      <c r="J12" s="3800">
        <v>3</v>
      </c>
      <c r="K12" s="3800" t="s">
        <v>3498</v>
      </c>
      <c r="L12" s="3799">
        <v>45035.000497685185</v>
      </c>
      <c r="M12" s="3800" t="s">
        <v>3507</v>
      </c>
      <c r="N12" s="3800" t="s">
        <v>3535</v>
      </c>
      <c r="O12" s="3800">
        <v>590.79999999999995</v>
      </c>
      <c r="P12" s="3800">
        <v>420.09</v>
      </c>
      <c r="Q12" s="3800">
        <v>28.01</v>
      </c>
      <c r="R12" s="3800">
        <v>140</v>
      </c>
      <c r="S12" s="3800">
        <v>0</v>
      </c>
      <c r="T12" s="3800" t="s">
        <v>3502</v>
      </c>
      <c r="U12" s="3800" t="s">
        <v>3509</v>
      </c>
    </row>
    <row r="13" spans="1:21" ht="14.25">
      <c r="A13" s="3800" t="s">
        <v>3536</v>
      </c>
      <c r="B13" s="3800" t="s">
        <v>3493</v>
      </c>
      <c r="C13" s="3800" t="s">
        <v>3494</v>
      </c>
      <c r="D13" s="3800" t="s">
        <v>3495</v>
      </c>
      <c r="E13" s="3800" t="s">
        <v>3537</v>
      </c>
      <c r="F13" s="3800" t="s">
        <v>3498</v>
      </c>
      <c r="G13" s="3800">
        <v>8778.4699999999993</v>
      </c>
      <c r="H13" s="3800">
        <v>17556.939999999999</v>
      </c>
      <c r="I13" s="3800" t="s">
        <v>3538</v>
      </c>
      <c r="J13" s="3800">
        <v>2</v>
      </c>
      <c r="K13" s="3800" t="s">
        <v>3498</v>
      </c>
      <c r="L13" s="3799">
        <v>45035.000497685185</v>
      </c>
      <c r="M13" s="3800" t="s">
        <v>3507</v>
      </c>
      <c r="N13" s="3800" t="s">
        <v>3539</v>
      </c>
      <c r="O13" s="3800">
        <v>197.55</v>
      </c>
      <c r="P13" s="3800">
        <v>225.03</v>
      </c>
      <c r="Q13" s="3800">
        <v>15</v>
      </c>
      <c r="R13" s="3800">
        <v>113</v>
      </c>
      <c r="S13" s="3800">
        <v>0</v>
      </c>
      <c r="T13" s="3800" t="s">
        <v>3502</v>
      </c>
      <c r="U13" s="3800" t="s">
        <v>3509</v>
      </c>
    </row>
    <row r="14" spans="1:21" ht="14.25">
      <c r="A14" s="3800" t="s">
        <v>3540</v>
      </c>
      <c r="B14" s="3800" t="s">
        <v>3493</v>
      </c>
      <c r="C14" s="3800" t="s">
        <v>3494</v>
      </c>
      <c r="D14" s="3800" t="s">
        <v>3495</v>
      </c>
      <c r="E14" s="3800" t="s">
        <v>3541</v>
      </c>
      <c r="F14" s="3800" t="s">
        <v>3498</v>
      </c>
      <c r="G14" s="3800">
        <v>2274</v>
      </c>
      <c r="H14" s="3800">
        <v>6822</v>
      </c>
      <c r="I14" s="3800" t="s">
        <v>3542</v>
      </c>
      <c r="J14" s="3800">
        <v>3</v>
      </c>
      <c r="K14" s="3800" t="s">
        <v>3498</v>
      </c>
      <c r="L14" s="3799">
        <v>45035.000497685185</v>
      </c>
      <c r="M14" s="3800" t="s">
        <v>3507</v>
      </c>
      <c r="N14" s="3800" t="s">
        <v>3543</v>
      </c>
      <c r="O14" s="3800">
        <v>48.18</v>
      </c>
      <c r="P14" s="3800">
        <v>211.87</v>
      </c>
      <c r="Q14" s="3800">
        <v>14.12</v>
      </c>
      <c r="R14" s="3800">
        <v>71</v>
      </c>
      <c r="S14" s="3800">
        <v>0</v>
      </c>
      <c r="T14" s="3800" t="s">
        <v>3502</v>
      </c>
      <c r="U14" s="3800" t="s">
        <v>3509</v>
      </c>
    </row>
    <row r="15" spans="1:21" ht="14.25">
      <c r="A15" s="3800" t="s">
        <v>3544</v>
      </c>
      <c r="B15" s="3800" t="s">
        <v>3493</v>
      </c>
      <c r="C15" s="3800" t="s">
        <v>3494</v>
      </c>
      <c r="D15" s="3800" t="s">
        <v>3495</v>
      </c>
      <c r="E15" s="3800" t="s">
        <v>3545</v>
      </c>
      <c r="F15" s="3800" t="s">
        <v>3498</v>
      </c>
      <c r="G15" s="3800">
        <v>147905.4</v>
      </c>
      <c r="H15" s="3800">
        <v>147905.4</v>
      </c>
      <c r="I15" s="3800" t="s">
        <v>3526</v>
      </c>
      <c r="J15" s="3800">
        <v>0</v>
      </c>
      <c r="K15" s="3800" t="s">
        <v>3498</v>
      </c>
      <c r="L15" s="3799">
        <v>44995.000497685185</v>
      </c>
      <c r="M15" s="3800" t="s">
        <v>3507</v>
      </c>
      <c r="N15" s="3800" t="s">
        <v>3546</v>
      </c>
      <c r="O15" s="3800">
        <v>4880.92</v>
      </c>
      <c r="P15" s="3800">
        <v>330</v>
      </c>
      <c r="Q15" s="3800">
        <v>22</v>
      </c>
      <c r="R15" s="3800">
        <v>330</v>
      </c>
      <c r="S15" s="3800">
        <v>0</v>
      </c>
      <c r="T15" s="3800" t="s">
        <v>3502</v>
      </c>
      <c r="U15" s="3800" t="s">
        <v>3509</v>
      </c>
    </row>
    <row r="16" spans="1:21" ht="14.25">
      <c r="A16" s="3800" t="s">
        <v>3547</v>
      </c>
      <c r="B16" s="3800" t="s">
        <v>3493</v>
      </c>
      <c r="C16" s="3800" t="s">
        <v>3494</v>
      </c>
      <c r="D16" s="3800" t="s">
        <v>3495</v>
      </c>
      <c r="E16" s="3800" t="s">
        <v>3548</v>
      </c>
      <c r="F16" s="3800" t="s">
        <v>3498</v>
      </c>
      <c r="G16" s="3800">
        <v>44598.19</v>
      </c>
      <c r="H16" s="3800">
        <v>44598.19</v>
      </c>
      <c r="I16" s="3800" t="s">
        <v>3526</v>
      </c>
      <c r="J16" s="3800">
        <v>0</v>
      </c>
      <c r="K16" s="3800" t="s">
        <v>3498</v>
      </c>
      <c r="L16" s="3799">
        <v>44979.000497685185</v>
      </c>
      <c r="M16" s="3800" t="s">
        <v>3507</v>
      </c>
      <c r="N16" s="3800" t="s">
        <v>3549</v>
      </c>
      <c r="O16" s="3800">
        <v>2609.1</v>
      </c>
      <c r="P16" s="3800">
        <v>585.02</v>
      </c>
      <c r="Q16" s="3800">
        <v>39</v>
      </c>
      <c r="R16" s="3800">
        <v>585</v>
      </c>
      <c r="S16" s="3800">
        <v>0</v>
      </c>
      <c r="T16" s="3800" t="s">
        <v>3502</v>
      </c>
      <c r="U16" s="3800" t="s">
        <v>3509</v>
      </c>
    </row>
    <row r="17" spans="1:21" ht="14.25">
      <c r="A17" s="3800" t="s">
        <v>3550</v>
      </c>
      <c r="B17" s="3800" t="s">
        <v>3493</v>
      </c>
      <c r="C17" s="3800" t="s">
        <v>3494</v>
      </c>
      <c r="D17" s="3800" t="s">
        <v>3495</v>
      </c>
      <c r="E17" s="3800" t="s">
        <v>3551</v>
      </c>
      <c r="F17" s="3800" t="s">
        <v>3498</v>
      </c>
      <c r="G17" s="3800">
        <v>40704.33</v>
      </c>
      <c r="H17" s="3800">
        <v>40704.33</v>
      </c>
      <c r="I17" s="3800" t="s">
        <v>3526</v>
      </c>
      <c r="J17" s="3800">
        <v>0</v>
      </c>
      <c r="K17" s="3800" t="s">
        <v>3498</v>
      </c>
      <c r="L17" s="3799">
        <v>44921.000497685185</v>
      </c>
      <c r="M17" s="3800" t="s">
        <v>3507</v>
      </c>
      <c r="N17" s="3800" t="s">
        <v>3552</v>
      </c>
      <c r="O17" s="3800">
        <v>1343.32</v>
      </c>
      <c r="P17" s="3800">
        <v>330.01</v>
      </c>
      <c r="Q17" s="3800">
        <v>22</v>
      </c>
      <c r="R17" s="3800">
        <v>330</v>
      </c>
      <c r="S17" s="3800">
        <v>0</v>
      </c>
      <c r="T17" s="3800" t="s">
        <v>3502</v>
      </c>
      <c r="U17" s="3800" t="s">
        <v>3509</v>
      </c>
    </row>
    <row r="18" spans="1:21" ht="14.25">
      <c r="A18" s="3800" t="s">
        <v>3553</v>
      </c>
      <c r="B18" s="3800" t="s">
        <v>3493</v>
      </c>
      <c r="C18" s="3800" t="s">
        <v>3494</v>
      </c>
      <c r="D18" s="3800" t="s">
        <v>3495</v>
      </c>
      <c r="E18" s="3800" t="s">
        <v>3554</v>
      </c>
      <c r="F18" s="3800" t="s">
        <v>3498</v>
      </c>
      <c r="G18" s="3800">
        <v>37509.72</v>
      </c>
      <c r="H18" s="3800">
        <v>112529.16</v>
      </c>
      <c r="I18" s="3800" t="s">
        <v>3542</v>
      </c>
      <c r="J18" s="3800">
        <v>3</v>
      </c>
      <c r="K18" s="3800" t="s">
        <v>3498</v>
      </c>
      <c r="L18" s="3799">
        <v>44901.000497685185</v>
      </c>
      <c r="M18" s="3800" t="s">
        <v>3507</v>
      </c>
      <c r="N18" s="3800" t="s">
        <v>3555</v>
      </c>
      <c r="O18" s="3800">
        <v>2194.14</v>
      </c>
      <c r="P18" s="3800">
        <v>584.95000000000005</v>
      </c>
      <c r="Q18" s="3800">
        <v>39</v>
      </c>
      <c r="R18" s="3800">
        <v>195</v>
      </c>
      <c r="S18" s="3800">
        <v>0</v>
      </c>
      <c r="T18" s="3800" t="s">
        <v>3502</v>
      </c>
      <c r="U18" s="3800" t="s">
        <v>3509</v>
      </c>
    </row>
    <row r="19" spans="1:21" ht="14.25">
      <c r="A19" s="3800" t="s">
        <v>3556</v>
      </c>
      <c r="B19" s="3800" t="s">
        <v>3493</v>
      </c>
      <c r="C19" s="3800" t="s">
        <v>3494</v>
      </c>
      <c r="D19" s="3800" t="s">
        <v>3495</v>
      </c>
      <c r="E19" s="3800" t="s">
        <v>3557</v>
      </c>
      <c r="F19" s="3800" t="s">
        <v>3498</v>
      </c>
      <c r="G19" s="3800">
        <v>63577.45</v>
      </c>
      <c r="H19" s="3800">
        <v>63577.45</v>
      </c>
      <c r="I19" s="3800" t="s">
        <v>3526</v>
      </c>
      <c r="J19" s="3800">
        <v>0</v>
      </c>
      <c r="K19" s="3800" t="s">
        <v>3498</v>
      </c>
      <c r="L19" s="3799">
        <v>44901.000497685185</v>
      </c>
      <c r="M19" s="3800" t="s">
        <v>3507</v>
      </c>
      <c r="N19" s="3800" t="s">
        <v>3555</v>
      </c>
      <c r="O19" s="3800">
        <v>3147.21</v>
      </c>
      <c r="P19" s="3800">
        <v>495.01</v>
      </c>
      <c r="Q19" s="3800">
        <v>33</v>
      </c>
      <c r="R19" s="3800">
        <v>495</v>
      </c>
      <c r="S19" s="3800">
        <v>0</v>
      </c>
      <c r="T19" s="3800" t="s">
        <v>3502</v>
      </c>
      <c r="U19" s="3800" t="s">
        <v>3509</v>
      </c>
    </row>
    <row r="20" spans="1:21" ht="14.25">
      <c r="A20" s="3800" t="s">
        <v>3558</v>
      </c>
      <c r="B20" s="3800" t="s">
        <v>3493</v>
      </c>
      <c r="C20" s="3800" t="s">
        <v>3494</v>
      </c>
      <c r="D20" s="3800" t="s">
        <v>3495</v>
      </c>
      <c r="E20" s="3800" t="s">
        <v>3559</v>
      </c>
      <c r="F20" s="3800" t="s">
        <v>3498</v>
      </c>
      <c r="G20" s="3800">
        <v>90562.94</v>
      </c>
      <c r="H20" s="3800">
        <v>90562.94</v>
      </c>
      <c r="I20" s="3800" t="s">
        <v>3526</v>
      </c>
      <c r="J20" s="3800">
        <v>0</v>
      </c>
      <c r="K20" s="3800" t="s">
        <v>3498</v>
      </c>
      <c r="L20" s="3799">
        <v>44901.000497685185</v>
      </c>
      <c r="M20" s="3800" t="s">
        <v>3507</v>
      </c>
      <c r="N20" s="3800" t="s">
        <v>3549</v>
      </c>
      <c r="O20" s="3800">
        <v>5297.76</v>
      </c>
      <c r="P20" s="3800">
        <v>584.98</v>
      </c>
      <c r="Q20" s="3800">
        <v>39</v>
      </c>
      <c r="R20" s="3800">
        <v>585</v>
      </c>
      <c r="S20" s="3800">
        <v>0</v>
      </c>
      <c r="T20" s="3800" t="s">
        <v>3502</v>
      </c>
      <c r="U20" s="3800" t="s">
        <v>3509</v>
      </c>
    </row>
    <row r="21" spans="1:21" ht="14.25">
      <c r="A21" s="3800" t="s">
        <v>3560</v>
      </c>
      <c r="B21" s="3800" t="s">
        <v>3493</v>
      </c>
      <c r="C21" s="3800" t="s">
        <v>3494</v>
      </c>
      <c r="D21" s="3800" t="s">
        <v>3495</v>
      </c>
      <c r="E21" s="3800" t="s">
        <v>3561</v>
      </c>
      <c r="F21" s="3800" t="s">
        <v>3498</v>
      </c>
      <c r="G21" s="3800">
        <v>401341.6</v>
      </c>
      <c r="H21" s="3800">
        <v>401341.6</v>
      </c>
      <c r="I21" s="3800" t="s">
        <v>3526</v>
      </c>
      <c r="J21" s="3800">
        <v>0</v>
      </c>
      <c r="K21" s="3800" t="s">
        <v>3498</v>
      </c>
      <c r="L21" s="3799">
        <v>44866.000497685185</v>
      </c>
      <c r="M21" s="3800" t="s">
        <v>3507</v>
      </c>
      <c r="N21" s="3800" t="s">
        <v>3546</v>
      </c>
      <c r="O21" s="3800">
        <v>13244.22</v>
      </c>
      <c r="P21" s="3800">
        <v>329.99</v>
      </c>
      <c r="Q21" s="3800">
        <v>22</v>
      </c>
      <c r="R21" s="3800">
        <v>330</v>
      </c>
      <c r="S21" s="3800">
        <v>0</v>
      </c>
      <c r="T21" s="3800" t="s">
        <v>3502</v>
      </c>
      <c r="U21" s="3800" t="s">
        <v>3509</v>
      </c>
    </row>
    <row r="22" spans="1:21" ht="14.25">
      <c r="A22" s="3800" t="s">
        <v>3562</v>
      </c>
      <c r="B22" s="3800" t="s">
        <v>3493</v>
      </c>
      <c r="C22" s="3800" t="s">
        <v>3494</v>
      </c>
      <c r="D22" s="3800" t="s">
        <v>3495</v>
      </c>
      <c r="E22" s="3800" t="s">
        <v>3563</v>
      </c>
      <c r="F22" s="3800" t="s">
        <v>3498</v>
      </c>
      <c r="G22" s="3800">
        <v>6273.83</v>
      </c>
      <c r="H22" s="3800">
        <v>5019.0600000000004</v>
      </c>
      <c r="I22" s="3800" t="s">
        <v>3564</v>
      </c>
      <c r="J22" s="3800">
        <v>0.8</v>
      </c>
      <c r="K22" s="3800" t="s">
        <v>3498</v>
      </c>
      <c r="L22" s="3799">
        <v>44862.000497685185</v>
      </c>
      <c r="M22" s="3800" t="s">
        <v>3507</v>
      </c>
      <c r="N22" s="3800" t="s">
        <v>3565</v>
      </c>
      <c r="O22" s="3800">
        <v>138.38</v>
      </c>
      <c r="P22" s="3800">
        <v>220.56</v>
      </c>
      <c r="Q22" s="3800">
        <v>14.7</v>
      </c>
      <c r="R22" s="3800">
        <v>276</v>
      </c>
      <c r="S22" s="3800">
        <v>0</v>
      </c>
      <c r="T22" s="3800" t="s">
        <v>3502</v>
      </c>
      <c r="U22" s="3800" t="s">
        <v>3509</v>
      </c>
    </row>
    <row r="23" spans="1:21" ht="14.25">
      <c r="A23" s="3800" t="s">
        <v>3566</v>
      </c>
      <c r="B23" s="3800" t="s">
        <v>3493</v>
      </c>
      <c r="C23" s="3800" t="s">
        <v>3494</v>
      </c>
      <c r="D23" s="3800" t="s">
        <v>3495</v>
      </c>
      <c r="E23" s="3800" t="s">
        <v>3567</v>
      </c>
      <c r="F23" s="3800" t="s">
        <v>3498</v>
      </c>
      <c r="G23" s="3800">
        <v>15401.54</v>
      </c>
      <c r="H23" s="3800">
        <v>15401.54</v>
      </c>
      <c r="I23" s="3800" t="s">
        <v>3526</v>
      </c>
      <c r="J23" s="3800">
        <v>0</v>
      </c>
      <c r="K23" s="3800" t="s">
        <v>3498</v>
      </c>
      <c r="L23" s="3799">
        <v>44862.000497685185</v>
      </c>
      <c r="M23" s="3800" t="s">
        <v>3507</v>
      </c>
      <c r="N23" s="3800" t="s">
        <v>3568</v>
      </c>
      <c r="O23" s="3800">
        <v>508.2</v>
      </c>
      <c r="P23" s="3800">
        <v>329.96</v>
      </c>
      <c r="Q23" s="3800">
        <v>22</v>
      </c>
      <c r="R23" s="3800">
        <v>330</v>
      </c>
      <c r="S23" s="3800">
        <v>0</v>
      </c>
      <c r="T23" s="3800" t="s">
        <v>3502</v>
      </c>
      <c r="U23" s="3800" t="s">
        <v>3509</v>
      </c>
    </row>
    <row r="24" spans="1:21" ht="14.25">
      <c r="A24" s="3800" t="s">
        <v>3569</v>
      </c>
      <c r="B24" s="3800" t="s">
        <v>3493</v>
      </c>
      <c r="C24" s="3800" t="s">
        <v>3494</v>
      </c>
      <c r="D24" s="3800" t="s">
        <v>3495</v>
      </c>
      <c r="E24" s="3800" t="s">
        <v>3570</v>
      </c>
      <c r="F24" s="3800" t="s">
        <v>3498</v>
      </c>
      <c r="G24" s="3800">
        <v>21596.69</v>
      </c>
      <c r="H24" s="3800">
        <v>21596.69</v>
      </c>
      <c r="I24" s="3800" t="s">
        <v>3526</v>
      </c>
      <c r="J24" s="3800">
        <v>0</v>
      </c>
      <c r="K24" s="3800" t="s">
        <v>3498</v>
      </c>
      <c r="L24" s="3799">
        <v>44825.000497685185</v>
      </c>
      <c r="M24" s="3800" t="s">
        <v>3507</v>
      </c>
      <c r="N24" s="3800" t="s">
        <v>3571</v>
      </c>
      <c r="O24" s="3800">
        <v>725.76</v>
      </c>
      <c r="P24" s="3800">
        <v>336.05</v>
      </c>
      <c r="Q24" s="3800">
        <v>22.4</v>
      </c>
      <c r="R24" s="3800">
        <v>336</v>
      </c>
      <c r="S24" s="3800">
        <v>0</v>
      </c>
      <c r="T24" s="3800" t="s">
        <v>3502</v>
      </c>
      <c r="U24" s="3800" t="s">
        <v>3509</v>
      </c>
    </row>
    <row r="25" spans="1:21" ht="14.25">
      <c r="A25" s="3800" t="s">
        <v>3572</v>
      </c>
      <c r="B25" s="3800" t="s">
        <v>3493</v>
      </c>
      <c r="C25" s="3800" t="s">
        <v>3494</v>
      </c>
      <c r="D25" s="3800" t="s">
        <v>3495</v>
      </c>
      <c r="E25" s="3800" t="s">
        <v>3573</v>
      </c>
      <c r="F25" s="3800" t="s">
        <v>3498</v>
      </c>
      <c r="G25" s="3800">
        <v>55227.18</v>
      </c>
      <c r="H25" s="3800">
        <v>55227.18</v>
      </c>
      <c r="I25" s="3800" t="s">
        <v>3526</v>
      </c>
      <c r="J25" s="3800">
        <v>0</v>
      </c>
      <c r="K25" s="3800" t="s">
        <v>3498</v>
      </c>
      <c r="L25" s="3799">
        <v>44825.000497685185</v>
      </c>
      <c r="M25" s="3800" t="s">
        <v>3507</v>
      </c>
      <c r="N25" s="3800" t="s">
        <v>3574</v>
      </c>
      <c r="O25" s="3800">
        <v>1273.05</v>
      </c>
      <c r="P25" s="3800">
        <v>230.51</v>
      </c>
      <c r="Q25" s="3800">
        <v>15.37</v>
      </c>
      <c r="R25" s="3800">
        <v>231</v>
      </c>
      <c r="S25" s="3800">
        <v>0</v>
      </c>
      <c r="T25" s="3800" t="s">
        <v>3502</v>
      </c>
      <c r="U25" s="3800" t="s">
        <v>3509</v>
      </c>
    </row>
    <row r="26" spans="1:21" ht="14.25">
      <c r="A26" s="3800" t="s">
        <v>3575</v>
      </c>
      <c r="B26" s="3800" t="s">
        <v>3493</v>
      </c>
      <c r="C26" s="3800" t="s">
        <v>3494</v>
      </c>
      <c r="D26" s="3800" t="s">
        <v>3495</v>
      </c>
      <c r="E26" s="3800" t="s">
        <v>3576</v>
      </c>
      <c r="F26" s="3800" t="s">
        <v>3498</v>
      </c>
      <c r="G26" s="3800">
        <v>40033.199999999997</v>
      </c>
      <c r="H26" s="3800">
        <v>40033.199999999997</v>
      </c>
      <c r="I26" s="3800">
        <v>1</v>
      </c>
      <c r="J26" s="3800">
        <v>1</v>
      </c>
      <c r="K26" s="3800" t="s">
        <v>3498</v>
      </c>
      <c r="L26" s="3799">
        <v>44502.000497685185</v>
      </c>
      <c r="M26" s="3800" t="s">
        <v>3507</v>
      </c>
      <c r="N26" s="3800" t="s">
        <v>3577</v>
      </c>
      <c r="O26" s="3800">
        <v>1321.1</v>
      </c>
      <c r="P26" s="3800">
        <v>330</v>
      </c>
      <c r="Q26" s="3800">
        <v>22</v>
      </c>
      <c r="R26" s="3800">
        <v>330</v>
      </c>
      <c r="S26" s="3800">
        <v>0</v>
      </c>
      <c r="T26" s="3800">
        <v>50</v>
      </c>
      <c r="U26" s="3800" t="s">
        <v>3578</v>
      </c>
    </row>
    <row r="27" spans="1:21" ht="14.25">
      <c r="A27" s="3800" t="s">
        <v>3579</v>
      </c>
      <c r="B27" s="3800" t="s">
        <v>3493</v>
      </c>
      <c r="C27" s="3800" t="s">
        <v>3494</v>
      </c>
      <c r="D27" s="3800" t="s">
        <v>3495</v>
      </c>
      <c r="E27" s="3800" t="s">
        <v>3580</v>
      </c>
      <c r="F27" s="3800" t="s">
        <v>3498</v>
      </c>
      <c r="G27" s="3800">
        <v>42294.84</v>
      </c>
      <c r="H27" s="3800">
        <v>42294.84</v>
      </c>
      <c r="I27" s="3800">
        <v>1</v>
      </c>
      <c r="J27" s="3800">
        <v>1</v>
      </c>
      <c r="K27" s="3800" t="s">
        <v>3498</v>
      </c>
      <c r="L27" s="3799">
        <v>44502.000497685185</v>
      </c>
      <c r="M27" s="3800" t="s">
        <v>3507</v>
      </c>
      <c r="N27" s="3800" t="s">
        <v>3581</v>
      </c>
      <c r="O27" s="3800">
        <v>1395.68</v>
      </c>
      <c r="P27" s="3800">
        <v>329.98</v>
      </c>
      <c r="Q27" s="3800">
        <v>22</v>
      </c>
      <c r="R27" s="3800">
        <v>330</v>
      </c>
      <c r="S27" s="3800">
        <v>0</v>
      </c>
      <c r="T27" s="3800">
        <v>50</v>
      </c>
      <c r="U27" s="3800" t="s">
        <v>3578</v>
      </c>
    </row>
    <row r="28" spans="1:21" ht="14.25">
      <c r="A28" s="3800" t="s">
        <v>3582</v>
      </c>
      <c r="B28" s="3800" t="s">
        <v>3493</v>
      </c>
      <c r="C28" s="3800" t="s">
        <v>3494</v>
      </c>
      <c r="D28" s="3800" t="s">
        <v>3495</v>
      </c>
      <c r="E28" s="3800" t="s">
        <v>3583</v>
      </c>
      <c r="F28" s="3800" t="s">
        <v>3498</v>
      </c>
      <c r="G28" s="3800">
        <v>11371</v>
      </c>
      <c r="H28" s="3800">
        <v>11371</v>
      </c>
      <c r="I28" s="3800">
        <v>1</v>
      </c>
      <c r="J28" s="3800">
        <v>1</v>
      </c>
      <c r="K28" s="3800" t="s">
        <v>3498</v>
      </c>
      <c r="L28" s="3799">
        <v>44502.000497685185</v>
      </c>
      <c r="M28" s="3800" t="s">
        <v>3507</v>
      </c>
      <c r="N28" s="3800" t="s">
        <v>3584</v>
      </c>
      <c r="O28" s="3800">
        <v>192.96</v>
      </c>
      <c r="P28" s="3800">
        <v>169.69</v>
      </c>
      <c r="Q28" s="3800">
        <v>11.31</v>
      </c>
      <c r="R28" s="3800">
        <v>170</v>
      </c>
      <c r="S28" s="3800">
        <v>0</v>
      </c>
      <c r="T28" s="3800">
        <v>50</v>
      </c>
      <c r="U28" s="3800" t="s">
        <v>3578</v>
      </c>
    </row>
    <row r="29" spans="1:21" s="3459" customFormat="1" ht="14.25">
      <c r="A29" s="3802" t="s">
        <v>3585</v>
      </c>
      <c r="B29" s="3802" t="s">
        <v>3493</v>
      </c>
      <c r="C29" s="3802" t="s">
        <v>3494</v>
      </c>
      <c r="D29" s="3802" t="s">
        <v>3495</v>
      </c>
      <c r="E29" s="3802" t="s">
        <v>3586</v>
      </c>
      <c r="F29" s="3802" t="s">
        <v>3498</v>
      </c>
      <c r="G29" s="3802">
        <v>16250.3</v>
      </c>
      <c r="H29" s="3802">
        <v>16250.3</v>
      </c>
      <c r="I29" s="3802">
        <v>1</v>
      </c>
      <c r="J29" s="3802">
        <v>1</v>
      </c>
      <c r="K29" s="3802" t="s">
        <v>3498</v>
      </c>
      <c r="L29" s="3801">
        <v>44502.000497685185</v>
      </c>
      <c r="M29" s="3802" t="s">
        <v>3507</v>
      </c>
      <c r="N29" s="3802" t="s">
        <v>3587</v>
      </c>
      <c r="O29" s="3802">
        <v>246.24</v>
      </c>
      <c r="P29" s="3802">
        <v>151.52000000000001</v>
      </c>
      <c r="Q29" s="3802">
        <v>10.1</v>
      </c>
      <c r="R29" s="3802">
        <v>152</v>
      </c>
      <c r="S29" s="3802">
        <v>0</v>
      </c>
      <c r="T29" s="3802">
        <v>50</v>
      </c>
      <c r="U29" s="3802" t="s">
        <v>3578</v>
      </c>
    </row>
    <row r="30" spans="1:21" ht="14.25">
      <c r="A30" s="3800" t="s">
        <v>3588</v>
      </c>
      <c r="B30" s="3800" t="s">
        <v>3493</v>
      </c>
      <c r="C30" s="3800" t="s">
        <v>3494</v>
      </c>
      <c r="D30" s="3800" t="s">
        <v>3495</v>
      </c>
      <c r="E30" s="3800" t="s">
        <v>3589</v>
      </c>
      <c r="F30" s="3800" t="s">
        <v>3498</v>
      </c>
      <c r="G30" s="3800">
        <v>7692.95</v>
      </c>
      <c r="H30" s="3800">
        <v>7692.95</v>
      </c>
      <c r="I30" s="3800">
        <v>1</v>
      </c>
      <c r="J30" s="3800">
        <v>1</v>
      </c>
      <c r="K30" s="3800" t="s">
        <v>3498</v>
      </c>
      <c r="L30" s="3799">
        <v>44502.000497685185</v>
      </c>
      <c r="M30" s="3800" t="s">
        <v>3507</v>
      </c>
      <c r="N30" s="3800" t="s">
        <v>3590</v>
      </c>
      <c r="O30" s="3800">
        <v>140.16</v>
      </c>
      <c r="P30" s="3800">
        <v>182.19</v>
      </c>
      <c r="Q30" s="3800">
        <v>12.15</v>
      </c>
      <c r="R30" s="3800">
        <v>182</v>
      </c>
      <c r="S30" s="3800">
        <v>0</v>
      </c>
      <c r="T30" s="3800">
        <v>50</v>
      </c>
      <c r="U30" s="3800" t="s">
        <v>3578</v>
      </c>
    </row>
    <row r="31" spans="1:21" ht="14.25">
      <c r="A31" s="3800" t="s">
        <v>3591</v>
      </c>
      <c r="B31" s="3800" t="s">
        <v>3493</v>
      </c>
      <c r="C31" s="3800" t="s">
        <v>3494</v>
      </c>
      <c r="D31" s="3800" t="s">
        <v>3495</v>
      </c>
      <c r="E31" s="3800" t="s">
        <v>3592</v>
      </c>
      <c r="F31" s="3800" t="s">
        <v>3498</v>
      </c>
      <c r="G31" s="3800">
        <v>4006</v>
      </c>
      <c r="H31" s="3800">
        <v>4006</v>
      </c>
      <c r="I31" s="3800">
        <v>1</v>
      </c>
      <c r="J31" s="3800">
        <v>1</v>
      </c>
      <c r="K31" s="3800" t="s">
        <v>3498</v>
      </c>
      <c r="L31" s="3799">
        <v>44502.000497685185</v>
      </c>
      <c r="M31" s="3800" t="s">
        <v>3507</v>
      </c>
      <c r="N31" s="3800" t="s">
        <v>3587</v>
      </c>
      <c r="O31" s="3800">
        <v>60.7</v>
      </c>
      <c r="P31" s="3800">
        <v>151.52000000000001</v>
      </c>
      <c r="Q31" s="3800">
        <v>10.1</v>
      </c>
      <c r="R31" s="3800">
        <v>152</v>
      </c>
      <c r="S31" s="3800">
        <v>0</v>
      </c>
      <c r="T31" s="3800">
        <v>50</v>
      </c>
      <c r="U31" s="3800" t="s">
        <v>3578</v>
      </c>
    </row>
    <row r="32" spans="1:21" ht="14.25">
      <c r="A32" s="3800" t="s">
        <v>3593</v>
      </c>
      <c r="B32" s="3800" t="s">
        <v>3493</v>
      </c>
      <c r="C32" s="3800" t="s">
        <v>3494</v>
      </c>
      <c r="D32" s="3800" t="s">
        <v>3495</v>
      </c>
      <c r="E32" s="3800" t="s">
        <v>3594</v>
      </c>
      <c r="F32" s="3800" t="s">
        <v>3498</v>
      </c>
      <c r="G32" s="3800">
        <v>2746.07</v>
      </c>
      <c r="H32" s="3800">
        <v>2746.07</v>
      </c>
      <c r="I32" s="3800" t="s">
        <v>3526</v>
      </c>
      <c r="J32" s="3800">
        <v>0</v>
      </c>
      <c r="K32" s="3800" t="s">
        <v>3498</v>
      </c>
      <c r="L32" s="3800" t="s">
        <v>3496</v>
      </c>
      <c r="M32" s="3800" t="s">
        <v>3595</v>
      </c>
      <c r="N32" s="3800" t="s">
        <v>3500</v>
      </c>
      <c r="O32" s="3800" t="s">
        <v>3496</v>
      </c>
      <c r="P32" s="3800" t="s">
        <v>3496</v>
      </c>
      <c r="Q32" s="3800" t="s">
        <v>3496</v>
      </c>
      <c r="R32" s="3800" t="s">
        <v>3496</v>
      </c>
      <c r="S32" s="3800">
        <v>0</v>
      </c>
      <c r="T32" s="3800" t="s">
        <v>3502</v>
      </c>
      <c r="U32" s="3800" t="s">
        <v>3503</v>
      </c>
    </row>
    <row r="33" spans="1:21" ht="14.25">
      <c r="A33" s="3800" t="s">
        <v>3596</v>
      </c>
      <c r="B33" s="3800" t="s">
        <v>3493</v>
      </c>
      <c r="C33" s="3800" t="s">
        <v>3494</v>
      </c>
      <c r="D33" s="3800" t="s">
        <v>3495</v>
      </c>
      <c r="E33" s="3800" t="s">
        <v>3597</v>
      </c>
      <c r="F33" s="3800" t="s">
        <v>3498</v>
      </c>
      <c r="G33" s="3800">
        <v>51616.87</v>
      </c>
      <c r="H33" s="3800">
        <v>51616.87</v>
      </c>
      <c r="I33" s="3800" t="s">
        <v>3526</v>
      </c>
      <c r="J33" s="3800">
        <v>0</v>
      </c>
      <c r="K33" s="3800" t="s">
        <v>3498</v>
      </c>
      <c r="L33" s="3800" t="s">
        <v>3496</v>
      </c>
      <c r="M33" s="3800" t="s">
        <v>3595</v>
      </c>
      <c r="N33" s="3800" t="s">
        <v>3500</v>
      </c>
      <c r="O33" s="3800" t="s">
        <v>3496</v>
      </c>
      <c r="P33" s="3800" t="s">
        <v>3496</v>
      </c>
      <c r="Q33" s="3800" t="s">
        <v>3496</v>
      </c>
      <c r="R33" s="3800" t="s">
        <v>3496</v>
      </c>
      <c r="S33" s="3800">
        <v>0</v>
      </c>
      <c r="T33" s="3800" t="s">
        <v>3502</v>
      </c>
      <c r="U33" s="3800" t="s">
        <v>3503</v>
      </c>
    </row>
    <row r="34" spans="1:21" ht="14.25">
      <c r="A34" s="3800" t="s">
        <v>3596</v>
      </c>
      <c r="B34" s="3800" t="s">
        <v>3493</v>
      </c>
      <c r="C34" s="3800" t="s">
        <v>3494</v>
      </c>
      <c r="D34" s="3800" t="s">
        <v>3495</v>
      </c>
      <c r="E34" s="3800" t="s">
        <v>3597</v>
      </c>
      <c r="F34" s="3800" t="s">
        <v>3498</v>
      </c>
      <c r="G34" s="3800">
        <v>1717.26</v>
      </c>
      <c r="H34" s="3800">
        <v>1717.26</v>
      </c>
      <c r="I34" s="3800" t="s">
        <v>3526</v>
      </c>
      <c r="J34" s="3800">
        <v>0</v>
      </c>
      <c r="K34" s="3800" t="s">
        <v>3498</v>
      </c>
      <c r="L34" s="3800" t="s">
        <v>3496</v>
      </c>
      <c r="M34" s="3800" t="s">
        <v>3595</v>
      </c>
      <c r="N34" s="3800" t="s">
        <v>3500</v>
      </c>
      <c r="O34" s="3800" t="s">
        <v>3496</v>
      </c>
      <c r="P34" s="3800" t="s">
        <v>3496</v>
      </c>
      <c r="Q34" s="3800" t="s">
        <v>3496</v>
      </c>
      <c r="R34" s="3800" t="s">
        <v>3496</v>
      </c>
      <c r="S34" s="3800">
        <v>0</v>
      </c>
      <c r="T34" s="3800" t="s">
        <v>3502</v>
      </c>
      <c r="U34" s="3800" t="s">
        <v>3503</v>
      </c>
    </row>
    <row r="35" spans="1:21" ht="14.25">
      <c r="A35" s="3800" t="s">
        <v>3598</v>
      </c>
      <c r="B35" s="3800" t="s">
        <v>3493</v>
      </c>
      <c r="C35" s="3800" t="s">
        <v>3494</v>
      </c>
      <c r="D35" s="3800" t="s">
        <v>3495</v>
      </c>
      <c r="E35" s="3800" t="s">
        <v>3599</v>
      </c>
      <c r="F35" s="3800" t="s">
        <v>3498</v>
      </c>
      <c r="G35" s="3800">
        <v>192948.43</v>
      </c>
      <c r="H35" s="3800">
        <v>192948.43</v>
      </c>
      <c r="I35" s="3800" t="s">
        <v>3526</v>
      </c>
      <c r="J35" s="3800">
        <v>0</v>
      </c>
      <c r="K35" s="3800" t="s">
        <v>3498</v>
      </c>
      <c r="L35" s="3800" t="s">
        <v>3496</v>
      </c>
      <c r="M35" s="3800" t="s">
        <v>3595</v>
      </c>
      <c r="N35" s="3800" t="s">
        <v>3500</v>
      </c>
      <c r="O35" s="3800" t="s">
        <v>3496</v>
      </c>
      <c r="P35" s="3800" t="s">
        <v>3496</v>
      </c>
      <c r="Q35" s="3800" t="s">
        <v>3496</v>
      </c>
      <c r="R35" s="3800" t="s">
        <v>3496</v>
      </c>
      <c r="S35" s="3800">
        <v>0</v>
      </c>
      <c r="T35" s="3800" t="s">
        <v>3502</v>
      </c>
      <c r="U35" s="3800" t="s">
        <v>3503</v>
      </c>
    </row>
    <row r="36" spans="1:21" ht="14.25">
      <c r="A36" s="3800" t="s">
        <v>3600</v>
      </c>
      <c r="B36" s="3800" t="s">
        <v>3493</v>
      </c>
      <c r="C36" s="3800" t="s">
        <v>3494</v>
      </c>
      <c r="D36" s="3800" t="s">
        <v>3495</v>
      </c>
      <c r="E36" s="3800" t="s">
        <v>3601</v>
      </c>
      <c r="F36" s="3800" t="s">
        <v>3498</v>
      </c>
      <c r="G36" s="3800">
        <v>19103.63</v>
      </c>
      <c r="H36" s="3800">
        <v>28655.45</v>
      </c>
      <c r="I36" s="3800" t="s">
        <v>3530</v>
      </c>
      <c r="J36" s="3800">
        <v>1.5</v>
      </c>
      <c r="K36" s="3800" t="s">
        <v>3602</v>
      </c>
      <c r="L36" s="3799">
        <v>44333.000497685185</v>
      </c>
      <c r="M36" s="3800" t="s">
        <v>3507</v>
      </c>
      <c r="N36" s="3800" t="s">
        <v>3603</v>
      </c>
      <c r="O36" s="3800">
        <v>716.5</v>
      </c>
      <c r="P36" s="3800">
        <v>375.05</v>
      </c>
      <c r="Q36" s="3800">
        <v>25</v>
      </c>
      <c r="R36" s="3800">
        <v>250</v>
      </c>
      <c r="S36" s="3800">
        <v>0</v>
      </c>
      <c r="T36" s="3800" t="s">
        <v>3502</v>
      </c>
      <c r="U36" s="3800" t="s">
        <v>3578</v>
      </c>
    </row>
    <row r="37" spans="1:21" ht="14.25">
      <c r="A37" s="3800" t="s">
        <v>3604</v>
      </c>
      <c r="B37" s="3800" t="s">
        <v>3493</v>
      </c>
      <c r="C37" s="3800" t="s">
        <v>3494</v>
      </c>
      <c r="D37" s="3800" t="s">
        <v>3495</v>
      </c>
      <c r="E37" s="3800" t="s">
        <v>3605</v>
      </c>
      <c r="F37" s="3800" t="s">
        <v>3498</v>
      </c>
      <c r="G37" s="3800">
        <v>27062.1</v>
      </c>
      <c r="H37" s="3800">
        <v>27062.1</v>
      </c>
      <c r="I37" s="3800" t="s">
        <v>3526</v>
      </c>
      <c r="J37" s="3800">
        <v>0</v>
      </c>
      <c r="K37" s="3800" t="s">
        <v>3498</v>
      </c>
      <c r="L37" s="3800" t="s">
        <v>3496</v>
      </c>
      <c r="M37" s="3800" t="s">
        <v>3595</v>
      </c>
      <c r="N37" s="3800" t="s">
        <v>3500</v>
      </c>
      <c r="O37" s="3800" t="s">
        <v>3496</v>
      </c>
      <c r="P37" s="3800" t="s">
        <v>3496</v>
      </c>
      <c r="Q37" s="3800" t="s">
        <v>3496</v>
      </c>
      <c r="R37" s="3800" t="s">
        <v>3496</v>
      </c>
      <c r="S37" s="3800">
        <v>0</v>
      </c>
      <c r="T37" s="3800" t="s">
        <v>3502</v>
      </c>
      <c r="U37" s="3800" t="s">
        <v>3503</v>
      </c>
    </row>
  </sheetData>
  <mergeCells count="777">
    <mergeCell ref="N1"/>
    <mergeCell ref="A1"/>
    <mergeCell ref="B1"/>
    <mergeCell ref="C1"/>
    <mergeCell ref="D1"/>
    <mergeCell ref="E1"/>
    <mergeCell ref="F1"/>
    <mergeCell ref="G1"/>
    <mergeCell ref="H1"/>
    <mergeCell ref="I1"/>
    <mergeCell ref="J1"/>
    <mergeCell ref="K1"/>
    <mergeCell ref="L1"/>
    <mergeCell ref="M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O1"/>
    <mergeCell ref="P1"/>
    <mergeCell ref="Q1"/>
    <mergeCell ref="R1"/>
    <mergeCell ref="S1"/>
    <mergeCell ref="T1"/>
    <mergeCell ref="A3"/>
    <mergeCell ref="B3"/>
    <mergeCell ref="C3"/>
    <mergeCell ref="D3"/>
    <mergeCell ref="E3"/>
    <mergeCell ref="F3"/>
    <mergeCell ref="G3"/>
    <mergeCell ref="H3"/>
    <mergeCell ref="I3"/>
    <mergeCell ref="J3"/>
    <mergeCell ref="K3"/>
    <mergeCell ref="N3"/>
    <mergeCell ref="R2"/>
    <mergeCell ref="S2"/>
    <mergeCell ref="T2"/>
    <mergeCell ref="U2"/>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O3"/>
    <mergeCell ref="P3"/>
    <mergeCell ref="Q3"/>
    <mergeCell ref="R3"/>
    <mergeCell ref="S3"/>
    <mergeCell ref="T3"/>
    <mergeCell ref="R4"/>
    <mergeCell ref="S4"/>
    <mergeCell ref="T4"/>
    <mergeCell ref="U4"/>
    <mergeCell ref="A5"/>
    <mergeCell ref="B5"/>
    <mergeCell ref="C5"/>
    <mergeCell ref="D5"/>
    <mergeCell ref="E5"/>
    <mergeCell ref="F5"/>
    <mergeCell ref="G5"/>
    <mergeCell ref="H5"/>
    <mergeCell ref="I5"/>
    <mergeCell ref="J5"/>
    <mergeCell ref="K5"/>
    <mergeCell ref="U5"/>
    <mergeCell ref="S5"/>
    <mergeCell ref="T5"/>
    <mergeCell ref="Q4"/>
    <mergeCell ref="O6"/>
    <mergeCell ref="P6"/>
    <mergeCell ref="Q6"/>
    <mergeCell ref="R6"/>
    <mergeCell ref="O5"/>
    <mergeCell ref="P5"/>
    <mergeCell ref="Q5"/>
    <mergeCell ref="R5"/>
    <mergeCell ref="A6"/>
    <mergeCell ref="B6"/>
    <mergeCell ref="C6"/>
    <mergeCell ref="D6"/>
    <mergeCell ref="E6"/>
    <mergeCell ref="F6"/>
    <mergeCell ref="G6"/>
    <mergeCell ref="H6"/>
    <mergeCell ref="I6"/>
    <mergeCell ref="S6"/>
    <mergeCell ref="T6"/>
    <mergeCell ref="U6"/>
    <mergeCell ref="A7"/>
    <mergeCell ref="B7"/>
    <mergeCell ref="C7"/>
    <mergeCell ref="D7"/>
    <mergeCell ref="E7"/>
    <mergeCell ref="F7"/>
    <mergeCell ref="G7"/>
    <mergeCell ref="H7"/>
    <mergeCell ref="I7"/>
    <mergeCell ref="J7"/>
    <mergeCell ref="K7"/>
    <mergeCell ref="O7"/>
    <mergeCell ref="P7"/>
    <mergeCell ref="Q7"/>
    <mergeCell ref="R7"/>
    <mergeCell ref="S7"/>
    <mergeCell ref="T7"/>
    <mergeCell ref="U7"/>
    <mergeCell ref="J6"/>
    <mergeCell ref="K6"/>
    <mergeCell ref="M6"/>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A9"/>
    <mergeCell ref="B9"/>
    <mergeCell ref="C9"/>
    <mergeCell ref="D9"/>
    <mergeCell ref="E9"/>
    <mergeCell ref="F9"/>
    <mergeCell ref="G9"/>
    <mergeCell ref="H9"/>
    <mergeCell ref="I9"/>
    <mergeCell ref="J9"/>
    <mergeCell ref="K9"/>
    <mergeCell ref="O9"/>
    <mergeCell ref="P9"/>
    <mergeCell ref="Q9"/>
    <mergeCell ref="R9"/>
    <mergeCell ref="S9"/>
    <mergeCell ref="T9"/>
    <mergeCell ref="U9"/>
    <mergeCell ref="L9"/>
    <mergeCell ref="M9"/>
    <mergeCell ref="N9"/>
    <mergeCell ref="O10"/>
    <mergeCell ref="P10"/>
    <mergeCell ref="Q10"/>
    <mergeCell ref="R10"/>
    <mergeCell ref="A10"/>
    <mergeCell ref="B10"/>
    <mergeCell ref="C10"/>
    <mergeCell ref="D10"/>
    <mergeCell ref="E10"/>
    <mergeCell ref="F10"/>
    <mergeCell ref="G10"/>
    <mergeCell ref="H10"/>
    <mergeCell ref="I10"/>
    <mergeCell ref="S10"/>
    <mergeCell ref="T10"/>
    <mergeCell ref="U10"/>
    <mergeCell ref="A11"/>
    <mergeCell ref="B11"/>
    <mergeCell ref="C11"/>
    <mergeCell ref="D11"/>
    <mergeCell ref="E11"/>
    <mergeCell ref="F11"/>
    <mergeCell ref="G11"/>
    <mergeCell ref="H11"/>
    <mergeCell ref="I11"/>
    <mergeCell ref="J11"/>
    <mergeCell ref="K11"/>
    <mergeCell ref="P11"/>
    <mergeCell ref="Q11"/>
    <mergeCell ref="R11"/>
    <mergeCell ref="S11"/>
    <mergeCell ref="T11"/>
    <mergeCell ref="J10"/>
    <mergeCell ref="K10"/>
    <mergeCell ref="L10"/>
    <mergeCell ref="M10"/>
    <mergeCell ref="N10"/>
    <mergeCell ref="U11"/>
    <mergeCell ref="A12"/>
    <mergeCell ref="B12"/>
    <mergeCell ref="C12"/>
    <mergeCell ref="D12"/>
    <mergeCell ref="E12"/>
    <mergeCell ref="F12"/>
    <mergeCell ref="G12"/>
    <mergeCell ref="H12"/>
    <mergeCell ref="I12"/>
    <mergeCell ref="J12"/>
    <mergeCell ref="K12"/>
    <mergeCell ref="M12"/>
    <mergeCell ref="N12"/>
    <mergeCell ref="O12"/>
    <mergeCell ref="P12"/>
    <mergeCell ref="Q12"/>
    <mergeCell ref="R12"/>
    <mergeCell ref="L12"/>
    <mergeCell ref="L11"/>
    <mergeCell ref="M11"/>
    <mergeCell ref="N11"/>
    <mergeCell ref="O11"/>
    <mergeCell ref="O13"/>
    <mergeCell ref="T12"/>
    <mergeCell ref="U12"/>
    <mergeCell ref="A13"/>
    <mergeCell ref="B13"/>
    <mergeCell ref="C13"/>
    <mergeCell ref="D13"/>
    <mergeCell ref="E13"/>
    <mergeCell ref="F13"/>
    <mergeCell ref="G13"/>
    <mergeCell ref="H13"/>
    <mergeCell ref="I13"/>
    <mergeCell ref="J13"/>
    <mergeCell ref="K13"/>
    <mergeCell ref="P13"/>
    <mergeCell ref="Q13"/>
    <mergeCell ref="R13"/>
    <mergeCell ref="S13"/>
    <mergeCell ref="T13"/>
    <mergeCell ref="U13"/>
    <mergeCell ref="L13"/>
    <mergeCell ref="M13"/>
    <mergeCell ref="N13"/>
    <mergeCell ref="S12"/>
    <mergeCell ref="N14"/>
    <mergeCell ref="A14"/>
    <mergeCell ref="B14"/>
    <mergeCell ref="C14"/>
    <mergeCell ref="D14"/>
    <mergeCell ref="E14"/>
    <mergeCell ref="F14"/>
    <mergeCell ref="G14"/>
    <mergeCell ref="H14"/>
    <mergeCell ref="I14"/>
    <mergeCell ref="J14"/>
    <mergeCell ref="K14"/>
    <mergeCell ref="L14"/>
    <mergeCell ref="M14"/>
    <mergeCell ref="U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O14"/>
    <mergeCell ref="P14"/>
    <mergeCell ref="Q14"/>
    <mergeCell ref="R14"/>
    <mergeCell ref="S14"/>
    <mergeCell ref="T14"/>
    <mergeCell ref="A16"/>
    <mergeCell ref="B16"/>
    <mergeCell ref="C16"/>
    <mergeCell ref="D16"/>
    <mergeCell ref="E16"/>
    <mergeCell ref="F16"/>
    <mergeCell ref="G16"/>
    <mergeCell ref="H16"/>
    <mergeCell ref="I16"/>
    <mergeCell ref="J16"/>
    <mergeCell ref="K16"/>
    <mergeCell ref="N16"/>
    <mergeCell ref="R15"/>
    <mergeCell ref="S15"/>
    <mergeCell ref="T15"/>
    <mergeCell ref="U15"/>
    <mergeCell ref="U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O16"/>
    <mergeCell ref="P16"/>
    <mergeCell ref="Q16"/>
    <mergeCell ref="R16"/>
    <mergeCell ref="S16"/>
    <mergeCell ref="T16"/>
    <mergeCell ref="R17"/>
    <mergeCell ref="S17"/>
    <mergeCell ref="T17"/>
    <mergeCell ref="U17"/>
    <mergeCell ref="A18"/>
    <mergeCell ref="B18"/>
    <mergeCell ref="C18"/>
    <mergeCell ref="D18"/>
    <mergeCell ref="E18"/>
    <mergeCell ref="F18"/>
    <mergeCell ref="G18"/>
    <mergeCell ref="H18"/>
    <mergeCell ref="I18"/>
    <mergeCell ref="J18"/>
    <mergeCell ref="K18"/>
    <mergeCell ref="U18"/>
    <mergeCell ref="S18"/>
    <mergeCell ref="T18"/>
    <mergeCell ref="Q17"/>
    <mergeCell ref="O19"/>
    <mergeCell ref="P19"/>
    <mergeCell ref="Q19"/>
    <mergeCell ref="R19"/>
    <mergeCell ref="O18"/>
    <mergeCell ref="P18"/>
    <mergeCell ref="Q18"/>
    <mergeCell ref="R18"/>
    <mergeCell ref="A19"/>
    <mergeCell ref="B19"/>
    <mergeCell ref="C19"/>
    <mergeCell ref="D19"/>
    <mergeCell ref="E19"/>
    <mergeCell ref="F19"/>
    <mergeCell ref="G19"/>
    <mergeCell ref="H19"/>
    <mergeCell ref="I19"/>
    <mergeCell ref="S19"/>
    <mergeCell ref="T19"/>
    <mergeCell ref="U19"/>
    <mergeCell ref="A20"/>
    <mergeCell ref="B20"/>
    <mergeCell ref="C20"/>
    <mergeCell ref="D20"/>
    <mergeCell ref="E20"/>
    <mergeCell ref="F20"/>
    <mergeCell ref="G20"/>
    <mergeCell ref="H20"/>
    <mergeCell ref="I20"/>
    <mergeCell ref="J20"/>
    <mergeCell ref="K20"/>
    <mergeCell ref="O20"/>
    <mergeCell ref="P20"/>
    <mergeCell ref="Q20"/>
    <mergeCell ref="R20"/>
    <mergeCell ref="S20"/>
    <mergeCell ref="T20"/>
    <mergeCell ref="U20"/>
    <mergeCell ref="J19"/>
    <mergeCell ref="K19"/>
    <mergeCell ref="M19"/>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A22"/>
    <mergeCell ref="B22"/>
    <mergeCell ref="C22"/>
    <mergeCell ref="D22"/>
    <mergeCell ref="E22"/>
    <mergeCell ref="F22"/>
    <mergeCell ref="G22"/>
    <mergeCell ref="H22"/>
    <mergeCell ref="I22"/>
    <mergeCell ref="J22"/>
    <mergeCell ref="K22"/>
    <mergeCell ref="O22"/>
    <mergeCell ref="P22"/>
    <mergeCell ref="Q22"/>
    <mergeCell ref="R22"/>
    <mergeCell ref="S22"/>
    <mergeCell ref="T22"/>
    <mergeCell ref="U22"/>
    <mergeCell ref="L22"/>
    <mergeCell ref="M22"/>
    <mergeCell ref="N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O24"/>
    <mergeCell ref="S23"/>
    <mergeCell ref="T23"/>
    <mergeCell ref="U23"/>
    <mergeCell ref="A24"/>
    <mergeCell ref="B24"/>
    <mergeCell ref="C24"/>
    <mergeCell ref="D24"/>
    <mergeCell ref="E24"/>
    <mergeCell ref="F24"/>
    <mergeCell ref="G24"/>
    <mergeCell ref="H24"/>
    <mergeCell ref="I24"/>
    <mergeCell ref="J24"/>
    <mergeCell ref="K24"/>
    <mergeCell ref="P24"/>
    <mergeCell ref="Q24"/>
    <mergeCell ref="R24"/>
    <mergeCell ref="S24"/>
    <mergeCell ref="T24"/>
    <mergeCell ref="U24"/>
    <mergeCell ref="L24"/>
    <mergeCell ref="M24"/>
    <mergeCell ref="N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A37"/>
    <mergeCell ref="B37"/>
    <mergeCell ref="C37"/>
    <mergeCell ref="D37"/>
    <mergeCell ref="E37"/>
    <mergeCell ref="F37"/>
    <mergeCell ref="G37"/>
    <mergeCell ref="H37"/>
    <mergeCell ref="I37"/>
    <mergeCell ref="J37"/>
    <mergeCell ref="K37"/>
    <mergeCell ref="L37"/>
    <mergeCell ref="M37"/>
    <mergeCell ref="N37"/>
    <mergeCell ref="O37"/>
    <mergeCell ref="U37"/>
    <mergeCell ref="P37"/>
    <mergeCell ref="Q37"/>
    <mergeCell ref="R37"/>
    <mergeCell ref="S37"/>
    <mergeCell ref="T37"/>
    <mergeCell ref="L3"/>
    <mergeCell ref="M3"/>
    <mergeCell ref="L5"/>
    <mergeCell ref="M5"/>
    <mergeCell ref="N5"/>
    <mergeCell ref="L6"/>
    <mergeCell ref="L7"/>
    <mergeCell ref="M7"/>
    <mergeCell ref="N7"/>
    <mergeCell ref="N6"/>
    <mergeCell ref="L16"/>
    <mergeCell ref="M16"/>
    <mergeCell ref="L18"/>
    <mergeCell ref="M18"/>
    <mergeCell ref="N18"/>
    <mergeCell ref="L19"/>
    <mergeCell ref="L20"/>
    <mergeCell ref="M20"/>
    <mergeCell ref="N20"/>
    <mergeCell ref="N19"/>
  </mergeCells>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74"/>
      <c r="B3" s="3474"/>
      <c r="C3" s="3474"/>
      <c r="D3" s="854" t="s">
        <v>925</v>
      </c>
      <c r="E3" s="854" t="s">
        <v>931</v>
      </c>
      <c r="F3" s="854" t="s">
        <v>925</v>
      </c>
      <c r="G3" s="854" t="s">
        <v>926</v>
      </c>
      <c r="H3" s="854" t="s">
        <v>925</v>
      </c>
      <c r="I3" s="854" t="s">
        <v>926</v>
      </c>
    </row>
    <row r="4" spans="1:9" ht="45">
      <c r="A4" s="1505" t="str">
        <f>项目基本情况!S2</f>
        <v>四川省绵阳市江油市工业用房出让国有建设用地使用权及在建建筑物房地产</v>
      </c>
      <c r="B4" s="854">
        <f>项目基本情况!C17</f>
        <v>253739.7</v>
      </c>
      <c r="C4" s="854">
        <f>项目基本情况!C18</f>
        <v>368153.3</v>
      </c>
      <c r="D4" s="854" t="e">
        <f ca="1">结果表!D118</f>
        <v>#REF!</v>
      </c>
      <c r="E4" s="854" t="e">
        <f ca="1">结果表!E118</f>
        <v>#REF!</v>
      </c>
      <c r="F4" s="854" t="e">
        <f ca="1">结果表!F118</f>
        <v>#REF!</v>
      </c>
      <c r="G4" s="854" t="e">
        <f ca="1">结果表!G118</f>
        <v>#REF!</v>
      </c>
      <c r="H4" s="854">
        <f ca="1">结果表!H118</f>
        <v>74631</v>
      </c>
      <c r="I4" s="854">
        <f ca="1">结果表!I118</f>
        <v>2941</v>
      </c>
    </row>
    <row r="5" spans="1:9" ht="30" customHeight="1">
      <c r="A5" s="3474" t="s">
        <v>927</v>
      </c>
      <c r="B5" s="3474"/>
      <c r="C5" s="3474"/>
      <c r="D5" s="3474" t="e">
        <f ca="1">结果表!D119</f>
        <v>#REF!</v>
      </c>
      <c r="E5" s="3474"/>
      <c r="F5" s="3474" t="e">
        <f ca="1">结果表!F119</f>
        <v>#REF!</v>
      </c>
      <c r="G5" s="3474"/>
      <c r="H5" s="3474" t="str">
        <f ca="1">结果表!H119</f>
        <v>柒亿肆仟陆佰叁拾壹万元整</v>
      </c>
      <c r="I5" s="3474"/>
    </row>
    <row r="6" spans="1:9" ht="15.75">
      <c r="A6" s="3473" t="str">
        <f>结果表!A120</f>
        <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
      </c>
      <c r="B8" s="3473"/>
      <c r="C8" s="3473"/>
      <c r="D8" s="3473">
        <f ca="1">结果表!D122</f>
        <v>74631</v>
      </c>
      <c r="E8" s="3473"/>
      <c r="F8" s="3473"/>
      <c r="G8" s="3473"/>
      <c r="H8" s="3473"/>
      <c r="I8" s="3473"/>
    </row>
    <row r="9" spans="1:9" ht="15">
      <c r="A9" s="3474" t="s">
        <v>927</v>
      </c>
      <c r="B9" s="3474"/>
      <c r="C9" s="3474"/>
      <c r="D9" s="3474" t="str">
        <f ca="1">结果表!D123</f>
        <v>柒亿肆仟陆佰叁拾壹万元整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45278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3"/>
      <c r="E18" s="3499" t="s">
        <v>2161</v>
      </c>
      <c r="F18" s="3498"/>
      <c r="G18" s="34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Sheet2</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2023-12-18T08:04:29Z</dcterms:modified>
</cp:coreProperties>
</file>