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收益还原法" sheetId="44" state="hidden" r:id="rId40"/>
    <sheet name="存贷款利率" sheetId="65" r:id="rId41"/>
    <sheet name="地价" sheetId="59" r:id="rId42"/>
  </sheets>
  <externalReferences>
    <externalReference r:id="rId43"/>
    <externalReference r:id="rId44"/>
    <externalReference r:id="rId45"/>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地价!$A$2:$A$32</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 i="59" l="1"/>
  <c r="P7" i="59"/>
  <c r="O7" i="59"/>
  <c r="N7" i="59"/>
  <c r="Q6" i="59"/>
  <c r="P6" i="59"/>
  <c r="O6" i="59"/>
  <c r="N6" i="59"/>
  <c r="AH5" i="59"/>
  <c r="AG5" i="59"/>
  <c r="AE5" i="59"/>
  <c r="AF5" i="59" s="1"/>
  <c r="AD5" i="59"/>
  <c r="Q5" i="59"/>
  <c r="P5" i="59"/>
  <c r="O5" i="59"/>
  <c r="N5" i="59"/>
  <c r="D3" i="4" l="1"/>
  <c r="N15" i="68" l="1"/>
  <c r="C8" i="11"/>
  <c r="I13" i="3" l="1"/>
  <c r="H14" i="69"/>
  <c r="P15" i="68"/>
  <c r="M33" i="68"/>
  <c r="L33" i="68"/>
  <c r="K33" i="68"/>
  <c r="N32" i="68"/>
  <c r="N31" i="68"/>
  <c r="N30" i="68"/>
  <c r="N29" i="68"/>
  <c r="N28" i="68"/>
  <c r="N27" i="68"/>
  <c r="N26" i="68"/>
  <c r="N25" i="68"/>
  <c r="N24" i="68"/>
  <c r="N23" i="68"/>
  <c r="N22" i="68"/>
  <c r="N21" i="68"/>
  <c r="N20" i="68"/>
  <c r="N19" i="68"/>
  <c r="N18" i="68"/>
  <c r="N17" i="68"/>
  <c r="N16" i="68"/>
  <c r="N14" i="68"/>
  <c r="N13" i="68"/>
  <c r="N12" i="68"/>
  <c r="N11" i="68"/>
  <c r="N10" i="68"/>
  <c r="N9" i="68"/>
  <c r="N8" i="68"/>
  <c r="N7" i="68"/>
  <c r="N6" i="68"/>
  <c r="N5" i="68"/>
  <c r="N4" i="68"/>
  <c r="F19" i="6"/>
  <c r="A21" i="31"/>
  <c r="C109" i="9"/>
  <c r="Q9" i="59"/>
  <c r="P9" i="59"/>
  <c r="O9" i="59"/>
  <c r="N9" i="59"/>
  <c r="AH8" i="59"/>
  <c r="AG8" i="59"/>
  <c r="AE8" i="59"/>
  <c r="AF8" i="59"/>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J50" i="15"/>
  <c r="J51" i="15"/>
  <c r="D17" i="59"/>
  <c r="AH15" i="59"/>
  <c r="AG15" i="59"/>
  <c r="AE15" i="59"/>
  <c r="AF15" i="59" s="1"/>
  <c r="AD15" i="59"/>
  <c r="AE16" i="59"/>
  <c r="AF16" i="59" s="1"/>
  <c r="AG16" i="59"/>
  <c r="AH16" i="59"/>
  <c r="AD16" i="59"/>
  <c r="Q16" i="59"/>
  <c r="P16" i="59"/>
  <c r="E16" i="59" s="1"/>
  <c r="O16" i="59"/>
  <c r="N16" i="59"/>
  <c r="B16" i="59" s="1"/>
  <c r="N17" i="59"/>
  <c r="Q17" i="59"/>
  <c r="P17" i="59"/>
  <c r="O17" i="59"/>
  <c r="K59" i="15"/>
  <c r="P62" i="15"/>
  <c r="P75" i="15"/>
  <c r="Q74" i="44"/>
  <c r="Q61" i="44"/>
  <c r="Q60" i="44"/>
  <c r="Q53" i="44"/>
  <c r="J51" i="44"/>
  <c r="J52" i="44" s="1"/>
  <c r="M48" i="44"/>
  <c r="A16" i="55"/>
  <c r="A15" i="55"/>
  <c r="B66" i="63"/>
  <c r="A14" i="55"/>
  <c r="A11" i="55"/>
  <c r="A10" i="55"/>
  <c r="B61" i="63"/>
  <c r="A9" i="55"/>
  <c r="B60" i="63"/>
  <c r="A8" i="55"/>
  <c r="A6" i="54"/>
  <c r="A8" i="54"/>
  <c r="A7" i="54"/>
  <c r="A28" i="51"/>
  <c r="A27" i="51"/>
  <c r="B20" i="63"/>
  <c r="Q18" i="59"/>
  <c r="O18" i="59"/>
  <c r="N19" i="59"/>
  <c r="O19" i="59"/>
  <c r="P19" i="59"/>
  <c r="Q19" i="59"/>
  <c r="N18" i="59"/>
  <c r="P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F16" i="59"/>
  <c r="V16" i="59" s="1"/>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s="1"/>
  <c r="C3" i="65"/>
  <c r="C1" i="65"/>
  <c r="N1" i="65" s="1"/>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F20" i="59" s="1"/>
  <c r="P20" i="59"/>
  <c r="E20" i="59" s="1"/>
  <c r="O20" i="59"/>
  <c r="C20" i="59" s="1"/>
  <c r="N20" i="59"/>
  <c r="D81" i="59"/>
  <c r="F80" i="59"/>
  <c r="F79" i="59" s="1"/>
  <c r="F78" i="59" s="1"/>
  <c r="E80" i="59"/>
  <c r="E79" i="59" s="1"/>
  <c r="E78" i="59" s="1"/>
  <c r="C80" i="59"/>
  <c r="D80" i="59" s="1"/>
  <c r="B80" i="59"/>
  <c r="B79" i="59"/>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F60" i="59"/>
  <c r="V60" i="59" s="1"/>
  <c r="E60" i="59"/>
  <c r="E59" i="59" s="1"/>
  <c r="P59" i="59" s="1"/>
  <c r="C60" i="59"/>
  <c r="B60" i="59"/>
  <c r="N60" i="59" s="1"/>
  <c r="F59" i="59"/>
  <c r="F58" i="59" s="1"/>
  <c r="D57" i="59"/>
  <c r="Q56" i="59"/>
  <c r="P56" i="59"/>
  <c r="O56" i="59"/>
  <c r="N56" i="59"/>
  <c r="Q55" i="59"/>
  <c r="P55" i="59"/>
  <c r="O55" i="59"/>
  <c r="N55" i="59"/>
  <c r="Q54" i="59"/>
  <c r="P54" i="59"/>
  <c r="O54" i="59"/>
  <c r="N54" i="59"/>
  <c r="Q53" i="59"/>
  <c r="F54"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C39" i="59" s="1"/>
  <c r="D39"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AB31" i="59" s="1"/>
  <c r="P31" i="59"/>
  <c r="O31" i="59"/>
  <c r="Y31" i="59" s="1"/>
  <c r="Z31" i="59" s="1"/>
  <c r="N31" i="59"/>
  <c r="X31" i="59" s="1"/>
  <c r="Q30" i="59"/>
  <c r="AB30" i="59" s="1"/>
  <c r="P30" i="59"/>
  <c r="O30" i="59"/>
  <c r="N30" i="59"/>
  <c r="X30" i="59" s="1"/>
  <c r="Q29" i="59"/>
  <c r="AB29" i="59" s="1"/>
  <c r="P29" i="59"/>
  <c r="E30" i="59" s="1"/>
  <c r="E31" i="59" s="1"/>
  <c r="E32" i="59" s="1"/>
  <c r="U32" i="59" s="1"/>
  <c r="O29" i="59"/>
  <c r="Y29" i="59" s="1"/>
  <c r="Z29" i="59" s="1"/>
  <c r="N29" i="59"/>
  <c r="X29" i="59" s="1"/>
  <c r="D29" i="59"/>
  <c r="Q28" i="59"/>
  <c r="AB28" i="59" s="1"/>
  <c r="P28" i="59"/>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O25" i="59"/>
  <c r="C26" i="59" s="1"/>
  <c r="N25" i="59"/>
  <c r="X25" i="59" s="1"/>
  <c r="D25" i="59"/>
  <c r="Q24" i="59"/>
  <c r="P24" i="59"/>
  <c r="AA24" i="59" s="1"/>
  <c r="O24" i="59"/>
  <c r="N24" i="59"/>
  <c r="X24" i="59" s="1"/>
  <c r="Q23" i="59"/>
  <c r="P23" i="59"/>
  <c r="AA23" i="59" s="1"/>
  <c r="O23" i="59"/>
  <c r="N23" i="59"/>
  <c r="X23" i="59" s="1"/>
  <c r="Q22" i="59"/>
  <c r="P22" i="59"/>
  <c r="AA22" i="59" s="1"/>
  <c r="O22" i="59"/>
  <c r="N22" i="59"/>
  <c r="X22" i="59" s="1"/>
  <c r="Q21" i="59"/>
  <c r="F22" i="59"/>
  <c r="F23" i="59" s="1"/>
  <c r="F24" i="59" s="1"/>
  <c r="V24" i="59" s="1"/>
  <c r="P21" i="59"/>
  <c r="O21" i="59"/>
  <c r="Y21" i="59" s="1"/>
  <c r="Z21" i="59" s="1"/>
  <c r="N21" i="59"/>
  <c r="D21" i="59"/>
  <c r="AA18" i="59"/>
  <c r="AB20" i="59"/>
  <c r="AB3" i="59"/>
  <c r="AB17" i="59"/>
  <c r="AB18" i="59"/>
  <c r="AB19" i="59"/>
  <c r="E22" i="59"/>
  <c r="E43" i="59"/>
  <c r="E44" i="59" s="1"/>
  <c r="U44" i="59" s="1"/>
  <c r="S60" i="59"/>
  <c r="AA31" i="59"/>
  <c r="F35" i="59"/>
  <c r="F36" i="59" s="1"/>
  <c r="V36" i="59" s="1"/>
  <c r="F47" i="59"/>
  <c r="F48" i="59" s="1"/>
  <c r="V48" i="59" s="1"/>
  <c r="F55" i="59"/>
  <c r="F56" i="59" s="1"/>
  <c r="V56" i="59" s="1"/>
  <c r="C43" i="59"/>
  <c r="C44" i="59" s="1"/>
  <c r="D42" i="59"/>
  <c r="C47" i="59"/>
  <c r="C48" i="59" s="1"/>
  <c r="D46" i="59"/>
  <c r="C51" i="59"/>
  <c r="D51" i="59" s="1"/>
  <c r="C55" i="59"/>
  <c r="C56" i="59" s="1"/>
  <c r="D54" i="59"/>
  <c r="E58" i="59"/>
  <c r="P57" i="59" s="1"/>
  <c r="Q59" i="59"/>
  <c r="T60" i="59"/>
  <c r="O60" i="59"/>
  <c r="D60" i="59"/>
  <c r="C59" i="59"/>
  <c r="P60" i="59"/>
  <c r="U60" i="59"/>
  <c r="Q60" i="59"/>
  <c r="C63" i="59"/>
  <c r="E63" i="59"/>
  <c r="E62" i="59" s="1"/>
  <c r="D64" i="59"/>
  <c r="C67" i="59"/>
  <c r="C66" i="59" s="1"/>
  <c r="D66" i="59" s="1"/>
  <c r="E67" i="59"/>
  <c r="E66" i="59" s="1"/>
  <c r="D68" i="59"/>
  <c r="C71" i="59"/>
  <c r="E71" i="59"/>
  <c r="E70" i="59" s="1"/>
  <c r="D72" i="59"/>
  <c r="C75" i="59"/>
  <c r="C74" i="59" s="1"/>
  <c r="D74" i="59" s="1"/>
  <c r="C79" i="59"/>
  <c r="D79" i="59" s="1"/>
  <c r="U16" i="4"/>
  <c r="S16" i="4"/>
  <c r="Q16" i="4"/>
  <c r="O16" i="4"/>
  <c r="M16" i="4"/>
  <c r="K16" i="4"/>
  <c r="P58" i="59"/>
  <c r="C78" i="59"/>
  <c r="D78" i="59" s="1"/>
  <c r="D71" i="59"/>
  <c r="C70" i="59"/>
  <c r="D70" i="59"/>
  <c r="D63" i="59"/>
  <c r="C62" i="59"/>
  <c r="D62" i="59" s="1"/>
  <c r="C58" i="59"/>
  <c r="O58" i="59" s="1"/>
  <c r="O59" i="59"/>
  <c r="D59" i="59"/>
  <c r="D75" i="59"/>
  <c r="D55" i="59"/>
  <c r="C52" i="59"/>
  <c r="T52" i="59" s="1"/>
  <c r="D47" i="59"/>
  <c r="D43" i="59"/>
  <c r="N16" i="4"/>
  <c r="L16" i="4"/>
  <c r="D52" i="59"/>
  <c r="D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P11" i="1"/>
  <c r="B9" i="1"/>
  <c r="E9" i="1"/>
  <c r="K9" i="1"/>
  <c r="M9" i="1"/>
  <c r="O9" i="1"/>
  <c r="P9" i="1"/>
  <c r="B7" i="1"/>
  <c r="E7" i="1"/>
  <c r="K7" i="1"/>
  <c r="M7" i="1"/>
  <c r="O7" i="1"/>
  <c r="P7" i="1"/>
  <c r="C20" i="43"/>
  <c r="F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10" i="48"/>
  <c r="K10" i="1"/>
  <c r="M10" i="1"/>
  <c r="O10" i="1"/>
  <c r="P10" i="1"/>
  <c r="S11" i="1"/>
  <c r="R11" i="1"/>
  <c r="S13" i="1"/>
  <c r="R13" i="1"/>
  <c r="B6" i="1"/>
  <c r="E6" i="1"/>
  <c r="B10" i="1"/>
  <c r="E10" i="1"/>
  <c r="S10" i="1"/>
  <c r="B8" i="1"/>
  <c r="E8" i="1"/>
  <c r="B12" i="1"/>
  <c r="E12" i="1"/>
  <c r="S12" i="1"/>
  <c r="K6" i="1"/>
  <c r="M6" i="1"/>
  <c r="M1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50" i="3"/>
  <c r="A17" i="51"/>
  <c r="B13" i="63"/>
  <c r="E41" i="3"/>
  <c r="E471" i="3"/>
  <c r="E418" i="3"/>
  <c r="E408" i="3"/>
  <c r="E92" i="3"/>
  <c r="E238" i="3"/>
  <c r="E414" i="3"/>
  <c r="E44" i="3"/>
  <c r="E202" i="3"/>
  <c r="E58" i="39"/>
  <c r="E53" i="40"/>
  <c r="F27" i="6"/>
  <c r="E5" i="6"/>
  <c r="D21" i="12"/>
  <c r="C21" i="12" s="1"/>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AZ5" i="3"/>
  <c r="E3" i="6"/>
  <c r="G29" i="6"/>
  <c r="E29" i="6"/>
  <c r="K15" i="1"/>
  <c r="AZ16" i="3"/>
  <c r="A9" i="64"/>
  <c r="A9" i="51"/>
  <c r="B9" i="63"/>
  <c r="A3" i="55"/>
  <c r="B56" i="63"/>
  <c r="E4" i="4"/>
  <c r="B21" i="55"/>
  <c r="B72" i="63"/>
  <c r="C4" i="4"/>
  <c r="G66" i="36"/>
  <c r="J18" i="36"/>
  <c r="AE8" i="1"/>
  <c r="AE7" i="1"/>
  <c r="W18" i="36"/>
  <c r="AC18" i="36"/>
  <c r="AG6" i="1"/>
  <c r="D12" i="11"/>
  <c r="C12" i="11"/>
  <c r="L20" i="6"/>
  <c r="L19" i="6"/>
  <c r="B20" i="55"/>
  <c r="B70" i="63"/>
  <c r="S7" i="1"/>
  <c r="S8" i="1"/>
  <c r="S9" i="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70" i="39"/>
  <c r="C72" i="39"/>
  <c r="C67" i="40"/>
  <c r="D65" i="40"/>
  <c r="H58" i="46"/>
  <c r="J17" i="46"/>
  <c r="C17" i="46"/>
  <c r="F34" i="46"/>
  <c r="F38" i="46"/>
  <c r="F37" i="46"/>
  <c r="H113" i="46"/>
  <c r="H49" i="46"/>
  <c r="H53" i="46"/>
  <c r="F15" i="59"/>
  <c r="F14" i="59"/>
  <c r="F13" i="59" s="1"/>
  <c r="F12" i="59" s="1"/>
  <c r="Y14" i="59"/>
  <c r="Z14" i="59" s="1"/>
  <c r="AA14" i="59"/>
  <c r="AB14" i="59"/>
  <c r="Y13" i="59"/>
  <c r="Z13" i="59" s="1"/>
  <c r="Y12" i="59"/>
  <c r="Z12" i="59" s="1"/>
  <c r="Y11" i="59"/>
  <c r="Z11" i="59"/>
  <c r="AB13" i="59"/>
  <c r="AB12" i="59"/>
  <c r="AB11" i="59"/>
  <c r="AA16" i="59"/>
  <c r="X14" i="59"/>
  <c r="X12" i="59"/>
  <c r="X11" i="59"/>
  <c r="AA12" i="59"/>
  <c r="AA11" i="59"/>
  <c r="G30" i="6"/>
  <c r="G31" i="6"/>
  <c r="D10" i="11"/>
  <c r="C15"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27" i="43"/>
  <c r="C15" i="12"/>
  <c r="H1" i="65"/>
  <c r="Q16" i="1"/>
  <c r="F18" i="11" s="1"/>
  <c r="H51" i="46"/>
  <c r="X7" i="46"/>
  <c r="E17" i="46"/>
  <c r="N17" i="46"/>
  <c r="O17" i="46"/>
  <c r="M17" i="46"/>
  <c r="L17" i="46"/>
  <c r="E28" i="6"/>
  <c r="O13" i="1"/>
  <c r="E14" i="6"/>
  <c r="E66" i="39"/>
  <c r="E13" i="6"/>
  <c r="E65" i="39"/>
  <c r="E10" i="6"/>
  <c r="O12" i="1"/>
  <c r="AY6" i="3"/>
  <c r="D3" i="6"/>
  <c r="AP7" i="1"/>
  <c r="G13" i="1"/>
  <c r="E52" i="37"/>
  <c r="D46" i="36"/>
  <c r="E48" i="35"/>
  <c r="H50" i="46"/>
  <c r="H48" i="46"/>
  <c r="F35" i="46"/>
  <c r="I17" i="46"/>
  <c r="H63" i="46"/>
  <c r="H64" i="46"/>
  <c r="H66" i="46"/>
  <c r="D100" i="46"/>
  <c r="H62" i="46"/>
  <c r="AF12" i="46"/>
  <c r="K100" i="46"/>
  <c r="AB12" i="46"/>
  <c r="AJ12" i="46"/>
  <c r="H60" i="46"/>
  <c r="H59" i="46"/>
  <c r="H74" i="46"/>
  <c r="H65" i="46"/>
  <c r="H75" i="46"/>
  <c r="E10" i="46"/>
  <c r="E9" i="46"/>
  <c r="E11" i="46"/>
  <c r="E8" i="46"/>
  <c r="C7" i="46"/>
  <c r="H72" i="46"/>
  <c r="H69" i="46"/>
  <c r="H77" i="46"/>
  <c r="H76" i="46"/>
  <c r="H55" i="46"/>
  <c r="H54" i="46"/>
  <c r="H52" i="46"/>
  <c r="H47" i="46"/>
  <c r="AD12" i="46"/>
  <c r="AH12" i="46"/>
  <c r="E65" i="40"/>
  <c r="F65" i="40" s="1"/>
  <c r="G65" i="40" s="1"/>
  <c r="G67" i="40" s="1"/>
  <c r="D67" i="40"/>
  <c r="E70" i="39"/>
  <c r="F70" i="39" s="1"/>
  <c r="G70" i="39" s="1"/>
  <c r="G72" i="39" s="1"/>
  <c r="D72" i="39"/>
  <c r="AY425" i="3"/>
  <c r="AY378" i="3"/>
  <c r="AY446" i="3"/>
  <c r="AY287" i="3"/>
  <c r="AY478" i="3"/>
  <c r="AY212" i="3"/>
  <c r="AY134" i="3"/>
  <c r="AY165" i="3"/>
  <c r="AY354" i="3"/>
  <c r="E60" i="40"/>
  <c r="E61" i="40"/>
  <c r="K19" i="6"/>
  <c r="K20" i="6"/>
  <c r="M20" i="6"/>
  <c r="I20" i="6"/>
  <c r="S20" i="6"/>
  <c r="K14" i="1"/>
  <c r="M14" i="1"/>
  <c r="K26" i="6"/>
  <c r="M26" i="6"/>
  <c r="I26" i="6"/>
  <c r="S26" i="6"/>
  <c r="K24" i="6"/>
  <c r="M24" i="6"/>
  <c r="I24" i="6"/>
  <c r="S24" i="6"/>
  <c r="K22" i="6"/>
  <c r="M22" i="6"/>
  <c r="I22" i="6"/>
  <c r="S22" i="6"/>
  <c r="E30" i="6"/>
  <c r="E31" i="6"/>
  <c r="K23" i="6"/>
  <c r="M23" i="6"/>
  <c r="I23" i="6"/>
  <c r="S23" i="6"/>
  <c r="K25" i="6"/>
  <c r="M25" i="6"/>
  <c r="I25" i="6"/>
  <c r="S25" i="6"/>
  <c r="K21" i="6"/>
  <c r="M21" i="6"/>
  <c r="I21" i="6"/>
  <c r="S21" i="6"/>
  <c r="E46" i="36"/>
  <c r="F52" i="37"/>
  <c r="G52" i="37" s="1"/>
  <c r="H52" i="37" s="1"/>
  <c r="I52" i="37" s="1"/>
  <c r="J52" i="37" s="1"/>
  <c r="K52" i="37" s="1"/>
  <c r="L52" i="37" s="1"/>
  <c r="M52" i="37" s="1"/>
  <c r="N52" i="37" s="1"/>
  <c r="O52" i="37" s="1"/>
  <c r="E72" i="39"/>
  <c r="E67" i="40"/>
  <c r="F46" i="36"/>
  <c r="G46" i="36"/>
  <c r="H46" i="36" s="1"/>
  <c r="F67" i="40"/>
  <c r="F72" i="39"/>
  <c r="H70" i="39"/>
  <c r="H65" i="40"/>
  <c r="I65" i="40" s="1"/>
  <c r="J65" i="40" s="1"/>
  <c r="K65" i="40" s="1"/>
  <c r="L65" i="40" s="1"/>
  <c r="L67" i="40" s="1"/>
  <c r="H67" i="40"/>
  <c r="I70" i="39"/>
  <c r="H72" i="39"/>
  <c r="I67" i="40"/>
  <c r="J67" i="40"/>
  <c r="K67" i="40"/>
  <c r="Y11" i="46"/>
  <c r="Y13" i="46"/>
  <c r="H101" i="46"/>
  <c r="G22" i="46"/>
  <c r="F101" i="46"/>
  <c r="D101" i="46"/>
  <c r="M101" i="46"/>
  <c r="AC11" i="46"/>
  <c r="AC13" i="46"/>
  <c r="AJ11" i="46"/>
  <c r="AJ13" i="46"/>
  <c r="C101" i="46"/>
  <c r="J101" i="46"/>
  <c r="N104" i="45"/>
  <c r="F22" i="46"/>
  <c r="Z7" i="46"/>
  <c r="E22" i="46"/>
  <c r="Z11" i="46"/>
  <c r="Z13" i="46"/>
  <c r="AA11" i="46"/>
  <c r="AA13" i="46"/>
  <c r="AF11" i="46"/>
  <c r="AF13" i="46"/>
  <c r="AB11" i="46"/>
  <c r="AB13" i="46"/>
  <c r="H22" i="46"/>
  <c r="J22" i="46"/>
  <c r="I101" i="46"/>
  <c r="N101" i="46"/>
  <c r="G101" i="46"/>
  <c r="B113" i="46"/>
  <c r="L101" i="46"/>
  <c r="K101" i="46"/>
  <c r="AG11" i="46"/>
  <c r="AG13" i="46"/>
  <c r="AI11" i="46"/>
  <c r="AI13" i="46"/>
  <c r="AE11" i="46"/>
  <c r="AE13" i="46"/>
  <c r="AD11" i="46"/>
  <c r="AD13" i="46"/>
  <c r="E101" i="46"/>
  <c r="AH11" i="46"/>
  <c r="AH13" i="46"/>
  <c r="K16" i="1"/>
  <c r="C7" i="11"/>
  <c r="F1" i="46"/>
  <c r="D29" i="46"/>
  <c r="D1" i="46"/>
  <c r="AH6" i="1"/>
  <c r="C10" i="11"/>
  <c r="D22" i="46"/>
  <c r="F80" i="46"/>
  <c r="F30" i="44"/>
  <c r="M20" i="44"/>
  <c r="F70" i="9"/>
  <c r="F32" i="15"/>
  <c r="F59" i="15"/>
  <c r="F72" i="9"/>
  <c r="F66" i="9"/>
  <c r="P72" i="9"/>
  <c r="D23" i="15"/>
  <c r="E109" i="46"/>
  <c r="K109" i="46"/>
  <c r="G107"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4" i="46"/>
  <c r="E105" i="46"/>
  <c r="K104" i="46"/>
  <c r="K102" i="46"/>
  <c r="N103" i="46"/>
  <c r="N109" i="46"/>
  <c r="N104" i="46"/>
  <c r="K27" i="6"/>
  <c r="M104" i="46"/>
  <c r="M109" i="46"/>
  <c r="M103" i="46"/>
  <c r="O14" i="1"/>
  <c r="P14" i="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c r="P16" i="1" s="1"/>
  <c r="C13" i="12" s="1"/>
  <c r="C14" i="12" s="1"/>
  <c r="L27" i="6"/>
  <c r="C22" i="4"/>
  <c r="A6" i="64"/>
  <c r="D19" i="6"/>
  <c r="D13" i="6"/>
  <c r="D23" i="6"/>
  <c r="D8" i="6"/>
  <c r="F44" i="9"/>
  <c r="D24" i="6"/>
  <c r="H20" i="6"/>
  <c r="D29" i="6"/>
  <c r="E44" i="9"/>
  <c r="D25" i="6"/>
  <c r="D28" i="6"/>
  <c r="K38" i="9"/>
  <c r="C14" i="66"/>
  <c r="B2" i="66"/>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D16" i="12"/>
  <c r="D19" i="12" s="1"/>
  <c r="C19" i="12" s="1"/>
  <c r="E6" i="6"/>
  <c r="D6" i="6"/>
  <c r="L38" i="9"/>
  <c r="B14" i="66"/>
  <c r="B1" i="66"/>
  <c r="D45" i="9"/>
  <c r="C21" i="4"/>
  <c r="O5" i="54"/>
  <c r="B45" i="63"/>
  <c r="E15" i="6"/>
  <c r="D15" i="6"/>
  <c r="E12" i="6"/>
  <c r="D12" i="6"/>
  <c r="E11" i="6"/>
  <c r="P13" i="1"/>
  <c r="O8" i="1"/>
  <c r="P12" i="1"/>
  <c r="A6" i="51"/>
  <c r="B7" i="63" s="1"/>
  <c r="A20" i="51"/>
  <c r="B15" i="63"/>
  <c r="N5" i="54"/>
  <c r="B43" i="63"/>
  <c r="F46" i="9"/>
  <c r="H26" i="6"/>
  <c r="H22" i="6"/>
  <c r="D5" i="6"/>
  <c r="H25" i="6"/>
  <c r="D22" i="6"/>
  <c r="D26" i="6"/>
  <c r="E68" i="39"/>
  <c r="F45" i="9"/>
  <c r="H23" i="6"/>
  <c r="R23" i="6"/>
  <c r="D20" i="6"/>
  <c r="R20" i="6"/>
  <c r="D14" i="6"/>
  <c r="H21" i="6"/>
  <c r="D10" i="6"/>
  <c r="D21" i="6"/>
  <c r="R21" i="6"/>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c r="H73" i="46"/>
  <c r="H70" i="46"/>
  <c r="I46" i="36"/>
  <c r="B10" i="52"/>
  <c r="Y3" i="59"/>
  <c r="Z3" i="59" s="1"/>
  <c r="AB8" i="59"/>
  <c r="AA8" i="59"/>
  <c r="Y8" i="59"/>
  <c r="Z8" i="59"/>
  <c r="F31" i="15"/>
  <c r="M19" i="44"/>
  <c r="M17" i="15"/>
  <c r="F33" i="44"/>
  <c r="F58" i="15"/>
  <c r="S16" i="1"/>
  <c r="E104" i="46"/>
  <c r="E106" i="46"/>
  <c r="E107" i="46"/>
  <c r="E103" i="46"/>
  <c r="L102" i="46"/>
  <c r="L106" i="46"/>
  <c r="L103" i="46"/>
  <c r="L105" i="46"/>
  <c r="G106" i="46"/>
  <c r="G102" i="46"/>
  <c r="G109" i="46"/>
  <c r="G103" i="46"/>
  <c r="G105" i="46"/>
  <c r="I102" i="46"/>
  <c r="I107" i="46"/>
  <c r="I109" i="46"/>
  <c r="C23" i="46"/>
  <c r="C21" i="46"/>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c r="K116" i="46"/>
  <c r="L116" i="46"/>
  <c r="M116" i="46"/>
  <c r="B115" i="46"/>
  <c r="D118" i="46"/>
  <c r="E118" i="46"/>
  <c r="F118" i="46"/>
  <c r="B117" i="46"/>
  <c r="C117" i="46"/>
  <c r="I115" i="46"/>
  <c r="J115" i="46"/>
  <c r="K115" i="46"/>
  <c r="L115" i="46"/>
  <c r="M115" i="46"/>
  <c r="B116" i="46"/>
  <c r="C116" i="46"/>
  <c r="I117" i="46"/>
  <c r="J117" i="46"/>
  <c r="K117" i="46"/>
  <c r="L117" i="46"/>
  <c r="M117" i="46"/>
  <c r="N105" i="46"/>
  <c r="N107" i="46"/>
  <c r="N106" i="46"/>
  <c r="N102" i="46"/>
  <c r="C104" i="46"/>
  <c r="C103" i="46"/>
  <c r="D103" i="46"/>
  <c r="D105" i="46"/>
  <c r="D104" i="46"/>
  <c r="D106" i="46"/>
  <c r="D107" i="46"/>
  <c r="D102" i="46"/>
  <c r="S7" i="46"/>
  <c r="D109" i="46"/>
  <c r="H81" i="46"/>
  <c r="H82" i="46"/>
  <c r="H87" i="46"/>
  <c r="H83" i="46"/>
  <c r="H80" i="46"/>
  <c r="H84" i="46"/>
  <c r="H86" i="46"/>
  <c r="H85" i="46"/>
  <c r="R22" i="6"/>
  <c r="AC6" i="3"/>
  <c r="H6" i="3"/>
  <c r="O16" i="1"/>
  <c r="R26" i="6"/>
  <c r="D27" i="6"/>
  <c r="T11" i="1"/>
  <c r="E16" i="6"/>
  <c r="T6" i="1"/>
  <c r="P8" i="1"/>
  <c r="E59" i="40"/>
  <c r="E64" i="39"/>
  <c r="C7" i="66"/>
  <c r="C6" i="66"/>
  <c r="C8" i="66"/>
  <c r="E58" i="40"/>
  <c r="E63" i="39"/>
  <c r="E62" i="40"/>
  <c r="E67" i="39"/>
  <c r="D22" i="12"/>
  <c r="C22" i="12" s="1"/>
  <c r="D13" i="11"/>
  <c r="C13" i="11"/>
  <c r="I19" i="6"/>
  <c r="M27" i="6"/>
  <c r="D11" i="6"/>
  <c r="D16" i="6"/>
  <c r="R24" i="6"/>
  <c r="J46" i="36"/>
  <c r="D31" i="6"/>
  <c r="E6" i="3"/>
  <c r="S4" i="46"/>
  <c r="T8" i="1"/>
  <c r="T16" i="1"/>
  <c r="T13" i="1"/>
  <c r="T12" i="1"/>
  <c r="T10" i="1"/>
  <c r="T9" i="1"/>
  <c r="T7" i="1"/>
  <c r="S5" i="46"/>
  <c r="S6" i="46"/>
  <c r="C115" i="46"/>
  <c r="D113" i="46"/>
  <c r="S2" i="46"/>
  <c r="S3" i="46"/>
  <c r="I5" i="6"/>
  <c r="I6" i="6"/>
  <c r="I27" i="6"/>
  <c r="S19" i="6"/>
  <c r="S27" i="6"/>
  <c r="H19" i="6"/>
  <c r="K46" i="36"/>
  <c r="L46" i="36" s="1"/>
  <c r="M46" i="36" s="1"/>
  <c r="H27" i="6"/>
  <c r="R19" i="6"/>
  <c r="R27" i="6"/>
  <c r="R6" i="1"/>
  <c r="R16" i="1"/>
  <c r="C14" i="15"/>
  <c r="F43" i="15"/>
  <c r="I4" i="65"/>
  <c r="M21" i="15"/>
  <c r="M6" i="15"/>
  <c r="C15" i="43"/>
  <c r="F8" i="44"/>
  <c r="M28" i="44"/>
  <c r="F12" i="67"/>
  <c r="F26" i="15"/>
  <c r="F13" i="67"/>
  <c r="M31" i="44"/>
  <c r="F9" i="67"/>
  <c r="D16" i="43"/>
  <c r="M8" i="44"/>
  <c r="N4" i="65"/>
  <c r="F15" i="44"/>
  <c r="F9" i="15"/>
  <c r="E10" i="67"/>
  <c r="M26" i="44"/>
  <c r="M22" i="15"/>
  <c r="M27" i="15"/>
  <c r="C29" i="43"/>
  <c r="J7" i="65"/>
  <c r="M30" i="44"/>
  <c r="E14" i="67"/>
  <c r="F8" i="15"/>
  <c r="F24" i="43"/>
  <c r="F37" i="44"/>
  <c r="M29" i="15"/>
  <c r="B12" i="67"/>
  <c r="F8" i="67"/>
  <c r="F11" i="67"/>
  <c r="B13" i="67"/>
  <c r="J6" i="65"/>
  <c r="J4" i="65"/>
  <c r="M10" i="44"/>
  <c r="E12" i="67"/>
  <c r="F35" i="15"/>
  <c r="N6" i="65"/>
  <c r="J15" i="15"/>
  <c r="F46" i="44"/>
  <c r="M25" i="44"/>
  <c r="M23" i="15"/>
  <c r="C16" i="44"/>
  <c r="M8" i="15"/>
  <c r="B11" i="67"/>
  <c r="F40" i="44"/>
  <c r="F18" i="44"/>
  <c r="F11" i="44"/>
  <c r="C13" i="43"/>
  <c r="F39" i="44"/>
  <c r="F28" i="44"/>
  <c r="F42" i="15"/>
  <c r="F10" i="67"/>
  <c r="F36" i="15"/>
  <c r="E9" i="67"/>
  <c r="B10" i="67"/>
  <c r="L48" i="15"/>
  <c r="F16" i="15"/>
  <c r="J36" i="15"/>
  <c r="L47" i="15"/>
  <c r="M28" i="15"/>
  <c r="F13" i="15"/>
  <c r="I5" i="65"/>
  <c r="I3" i="65"/>
  <c r="F38" i="44"/>
  <c r="I7" i="65"/>
  <c r="J5" i="65"/>
  <c r="F6" i="15"/>
  <c r="N5" i="65"/>
  <c r="M26" i="15"/>
  <c r="M11" i="44"/>
  <c r="E13" i="67"/>
  <c r="F37" i="15"/>
  <c r="F9" i="44"/>
  <c r="F41" i="15"/>
  <c r="F14" i="67"/>
  <c r="F10" i="44"/>
  <c r="B14" i="67"/>
  <c r="F7" i="15"/>
  <c r="M24" i="44"/>
  <c r="C19" i="44"/>
  <c r="N7" i="65"/>
  <c r="M29" i="44"/>
  <c r="B9" i="67"/>
  <c r="I6" i="65"/>
  <c r="F38" i="15"/>
  <c r="N3" i="65"/>
  <c r="B8" i="67"/>
  <c r="J3" i="65"/>
  <c r="F40" i="15"/>
  <c r="E8" i="67"/>
  <c r="L48" i="44"/>
  <c r="E11" i="67"/>
  <c r="M9" i="15"/>
  <c r="M24" i="15"/>
  <c r="M23" i="44"/>
  <c r="J17" i="44"/>
  <c r="L49" i="44"/>
  <c r="F43" i="44"/>
  <c r="F33" i="12" l="1"/>
  <c r="C34" i="12" s="1"/>
  <c r="D33" i="12" s="1"/>
  <c r="C18" i="11"/>
  <c r="B13" i="52"/>
  <c r="N16" i="1"/>
  <c r="L16" i="1"/>
  <c r="E6" i="52"/>
  <c r="E11" i="52"/>
  <c r="E7" i="52"/>
  <c r="E9" i="52"/>
  <c r="B7" i="52"/>
  <c r="E21" i="52"/>
  <c r="E10" i="52"/>
  <c r="B8" i="52"/>
  <c r="D34" i="59"/>
  <c r="C35" i="59"/>
  <c r="D67" i="59"/>
  <c r="E23" i="59"/>
  <c r="E24" i="59" s="1"/>
  <c r="U24" i="59" s="1"/>
  <c r="AA20" i="59"/>
  <c r="X19" i="59"/>
  <c r="AB21" i="59"/>
  <c r="T16" i="59"/>
  <c r="X5" i="59"/>
  <c r="AA5" i="59"/>
  <c r="Y5" i="59"/>
  <c r="Z5" i="59" s="1"/>
  <c r="AB5" i="59"/>
  <c r="C27" i="59"/>
  <c r="D26" i="59"/>
  <c r="C14" i="59"/>
  <c r="D14" i="59" s="1"/>
  <c r="D15" i="59"/>
  <c r="E15" i="59"/>
  <c r="E14" i="59" s="1"/>
  <c r="E13" i="59" s="1"/>
  <c r="E12" i="59" s="1"/>
  <c r="U16" i="59"/>
  <c r="Y20" i="59"/>
  <c r="Z20" i="59" s="1"/>
  <c r="Y19" i="59"/>
  <c r="Z19" i="59" s="1"/>
  <c r="Y18" i="59"/>
  <c r="Z18" i="59" s="1"/>
  <c r="AA19" i="59"/>
  <c r="AA3" i="59"/>
  <c r="X17" i="59"/>
  <c r="X21" i="59"/>
  <c r="Y22" i="59"/>
  <c r="Z22" i="59" s="1"/>
  <c r="B26" i="59"/>
  <c r="B27" i="59" s="1"/>
  <c r="B28" i="59" s="1"/>
  <c r="S28" i="59" s="1"/>
  <c r="F30" i="59"/>
  <c r="F31" i="59" s="1"/>
  <c r="F32" i="59" s="1"/>
  <c r="M19" i="46" s="1"/>
  <c r="AA30" i="59"/>
  <c r="D16" i="59"/>
  <c r="F11" i="59"/>
  <c r="F10" i="59" s="1"/>
  <c r="F9" i="59" s="1"/>
  <c r="F8" i="59" s="1"/>
  <c r="F7" i="59" s="1"/>
  <c r="F6" i="59" s="1"/>
  <c r="F5" i="59" s="1"/>
  <c r="V12" i="59"/>
  <c r="T48" i="59"/>
  <c r="D48" i="59"/>
  <c r="T44" i="59"/>
  <c r="D44" i="59"/>
  <c r="T56" i="59"/>
  <c r="D56" i="59"/>
  <c r="C13" i="59"/>
  <c r="O57" i="59"/>
  <c r="D38" i="59"/>
  <c r="V32" i="59"/>
  <c r="Q58" i="59"/>
  <c r="Q57" i="59"/>
  <c r="Y17" i="59"/>
  <c r="Z17" i="59" s="1"/>
  <c r="AA17" i="59"/>
  <c r="X20" i="59"/>
  <c r="X18" i="59"/>
  <c r="X3" i="59"/>
  <c r="B22" i="59"/>
  <c r="B23" i="59" s="1"/>
  <c r="B24" i="59" s="1"/>
  <c r="S24" i="59" s="1"/>
  <c r="C22" i="59"/>
  <c r="AA21" i="59"/>
  <c r="AB22" i="59"/>
  <c r="Y23" i="59"/>
  <c r="Z23" i="59" s="1"/>
  <c r="AB23" i="59"/>
  <c r="Y24" i="59"/>
  <c r="Z24" i="59" s="1"/>
  <c r="AB24" i="59"/>
  <c r="Y25" i="59"/>
  <c r="Z25" i="59" s="1"/>
  <c r="E26" i="59"/>
  <c r="E27" i="59" s="1"/>
  <c r="E28" i="59" s="1"/>
  <c r="U28" i="59" s="1"/>
  <c r="F26" i="59"/>
  <c r="F27" i="59" s="1"/>
  <c r="F28" i="59" s="1"/>
  <c r="V28" i="59" s="1"/>
  <c r="X26" i="59"/>
  <c r="X27" i="59"/>
  <c r="X28" i="59"/>
  <c r="AA28" i="59"/>
  <c r="B30" i="59"/>
  <c r="B31" i="59" s="1"/>
  <c r="B32" i="59" s="1"/>
  <c r="S32" i="59" s="1"/>
  <c r="C30" i="59"/>
  <c r="AA29" i="59"/>
  <c r="Y30" i="59"/>
  <c r="Z30" i="59" s="1"/>
  <c r="B59" i="59"/>
  <c r="X16" i="59"/>
  <c r="U20" i="59"/>
  <c r="E19" i="59"/>
  <c r="E18" i="59" s="1"/>
  <c r="Y16" i="59"/>
  <c r="Z16" i="59" s="1"/>
  <c r="S16" i="59"/>
  <c r="B15" i="59"/>
  <c r="B14" i="59" s="1"/>
  <c r="B13" i="59" s="1"/>
  <c r="B12" i="59" s="1"/>
  <c r="X15" i="59"/>
  <c r="AA13" i="59"/>
  <c r="X13" i="59"/>
  <c r="Y9" i="59"/>
  <c r="Z9" i="59" s="1"/>
  <c r="AA9" i="59"/>
  <c r="AB9" i="59"/>
  <c r="X9" i="59"/>
  <c r="T20" i="59"/>
  <c r="C19" i="59"/>
  <c r="D20" i="59"/>
  <c r="V20" i="59"/>
  <c r="F19" i="59"/>
  <c r="F18" i="59" s="1"/>
  <c r="AB16" i="59"/>
  <c r="AA15" i="59"/>
  <c r="AA10" i="59"/>
  <c r="X8" i="59"/>
  <c r="Y10" i="59"/>
  <c r="Z10" i="59" s="1"/>
  <c r="AB10" i="59"/>
  <c r="B20" i="59"/>
  <c r="Y15" i="59"/>
  <c r="Z15" i="59" s="1"/>
  <c r="AB15" i="59"/>
  <c r="X10" i="59"/>
  <c r="C19" i="46"/>
  <c r="AF3" i="59"/>
  <c r="P24" i="46" s="1"/>
  <c r="B68" i="40" s="1"/>
  <c r="P21" i="46"/>
  <c r="P22" i="46"/>
  <c r="P23" i="46"/>
  <c r="N46" i="36"/>
  <c r="O46" i="36" s="1"/>
  <c r="H7" i="36"/>
  <c r="J7" i="37"/>
  <c r="F7" i="37"/>
  <c r="D58" i="33"/>
  <c r="J7" i="36"/>
  <c r="F7" i="36"/>
  <c r="H7" i="37"/>
  <c r="M65" i="40"/>
  <c r="I72" i="39"/>
  <c r="J70" i="39"/>
  <c r="F48" i="35"/>
  <c r="D58" i="21"/>
  <c r="D59" i="34"/>
  <c r="E59" i="34" s="1"/>
  <c r="F59" i="34" s="1"/>
  <c r="G59" i="34" s="1"/>
  <c r="H59" i="34" s="1"/>
  <c r="I59" i="34" s="1"/>
  <c r="J59" i="34" s="1"/>
  <c r="K59" i="34" s="1"/>
  <c r="L59" i="34" s="1"/>
  <c r="M59" i="34" s="1"/>
  <c r="N59" i="34" s="1"/>
  <c r="O59" i="34" s="1"/>
  <c r="H7" i="34"/>
  <c r="C29" i="12"/>
  <c r="C28" i="15"/>
  <c r="C30" i="44"/>
  <c r="A25" i="51"/>
  <c r="B18" i="63" s="1"/>
  <c r="B22" i="52"/>
  <c r="B14" i="52"/>
  <c r="B6" i="52"/>
  <c r="B11" i="52"/>
  <c r="B9" i="52"/>
  <c r="E4" i="52"/>
  <c r="E8" i="52"/>
  <c r="E13" i="52"/>
  <c r="E22" i="52"/>
  <c r="B4" i="52"/>
  <c r="I1" i="65"/>
  <c r="N33" i="68"/>
  <c r="M43" i="9"/>
  <c r="D18" i="9"/>
  <c r="M44" i="9" s="1"/>
  <c r="A30" i="64"/>
  <c r="A30" i="51"/>
  <c r="B22" i="63" s="1"/>
  <c r="G17" i="46"/>
  <c r="C16" i="46" s="1"/>
  <c r="D5" i="46" s="1"/>
  <c r="C17" i="12"/>
  <c r="C16" i="12"/>
  <c r="C34" i="15"/>
  <c r="F62" i="15"/>
  <c r="C61" i="15" s="1"/>
  <c r="J22" i="44"/>
  <c r="C36" i="44"/>
  <c r="J20" i="15"/>
  <c r="C15" i="15"/>
  <c r="C18" i="15"/>
  <c r="C20" i="44"/>
  <c r="C17" i="44"/>
  <c r="C14" i="43"/>
  <c r="C17" i="43"/>
  <c r="C16" i="43"/>
  <c r="M9" i="44"/>
  <c r="C6" i="15"/>
  <c r="L59" i="15"/>
  <c r="L58" i="15"/>
  <c r="F63" i="15"/>
  <c r="Q72" i="15"/>
  <c r="F70" i="15"/>
  <c r="E20" i="46"/>
  <c r="J1" i="65"/>
  <c r="Q73" i="44"/>
  <c r="F67" i="15"/>
  <c r="C26" i="43"/>
  <c r="D24" i="43" s="1"/>
  <c r="M7" i="15"/>
  <c r="J6" i="15" s="1"/>
  <c r="F49" i="15"/>
  <c r="F64" i="15"/>
  <c r="C4" i="65"/>
  <c r="B39" i="1" s="1"/>
  <c r="F65" i="15"/>
  <c r="J53" i="15"/>
  <c r="L56" i="15"/>
  <c r="J57" i="15"/>
  <c r="J55" i="15" s="1"/>
  <c r="J58" i="15" s="1"/>
  <c r="Q51" i="15" s="1"/>
  <c r="I54" i="15"/>
  <c r="J60" i="15"/>
  <c r="Q49" i="15" s="1"/>
  <c r="J59" i="15"/>
  <c r="C29" i="44"/>
  <c r="F68" i="15"/>
  <c r="C27" i="15"/>
  <c r="J8" i="44"/>
  <c r="F50" i="15"/>
  <c r="C8" i="44"/>
  <c r="J54" i="44"/>
  <c r="J58" i="44"/>
  <c r="J56" i="44" s="1"/>
  <c r="J59" i="44" s="1"/>
  <c r="Q52" i="44" s="1"/>
  <c r="J60" i="44"/>
  <c r="I55" i="44"/>
  <c r="L57" i="44"/>
  <c r="J61" i="44"/>
  <c r="Q50" i="44" s="1"/>
  <c r="L60" i="44"/>
  <c r="L59" i="44"/>
  <c r="C20" i="12"/>
  <c r="C16" i="15"/>
  <c r="E3" i="65"/>
  <c r="C17" i="15"/>
  <c r="E2" i="65"/>
  <c r="C18" i="44"/>
  <c r="C36" i="59" l="1"/>
  <c r="D35" i="59"/>
  <c r="P25" i="46"/>
  <c r="B73" i="39" s="1"/>
  <c r="V8" i="59"/>
  <c r="E11" i="59"/>
  <c r="E10" i="59" s="1"/>
  <c r="E9" i="59" s="1"/>
  <c r="E8" i="59" s="1"/>
  <c r="E7" i="59" s="1"/>
  <c r="E6" i="59" s="1"/>
  <c r="E5" i="59" s="1"/>
  <c r="U12" i="59"/>
  <c r="C28" i="59"/>
  <c r="D27" i="59"/>
  <c r="B11" i="59"/>
  <c r="B10" i="59" s="1"/>
  <c r="B9" i="59" s="1"/>
  <c r="B8" i="59" s="1"/>
  <c r="B7" i="59" s="1"/>
  <c r="B6" i="59" s="1"/>
  <c r="B5" i="59" s="1"/>
  <c r="S12" i="59"/>
  <c r="N59" i="59"/>
  <c r="B58" i="59"/>
  <c r="C23" i="59"/>
  <c r="D22" i="59"/>
  <c r="D13" i="59"/>
  <c r="C12" i="59"/>
  <c r="B19" i="59"/>
  <c r="B18" i="59" s="1"/>
  <c r="S20" i="59"/>
  <c r="C18" i="59"/>
  <c r="D18" i="59" s="1"/>
  <c r="D19" i="59"/>
  <c r="C31" i="59"/>
  <c r="D30" i="59"/>
  <c r="J7" i="34"/>
  <c r="F7" i="34"/>
  <c r="E58" i="21"/>
  <c r="J72" i="39"/>
  <c r="K70" i="39"/>
  <c r="N65" i="40"/>
  <c r="N67" i="40" s="1"/>
  <c r="M67" i="40"/>
  <c r="AA7" i="36"/>
  <c r="R36" i="36" s="1"/>
  <c r="S7" i="36"/>
  <c r="E58" i="33"/>
  <c r="AC7" i="37"/>
  <c r="V42" i="37" s="1"/>
  <c r="I42" i="37" s="1"/>
  <c r="W7" i="37"/>
  <c r="AB7" i="36"/>
  <c r="T36" i="36" s="1"/>
  <c r="G36" i="36" s="1"/>
  <c r="U7" i="36"/>
  <c r="U7" i="34"/>
  <c r="AB7" i="34"/>
  <c r="T49" i="34" s="1"/>
  <c r="G49" i="34" s="1"/>
  <c r="G48" i="35"/>
  <c r="H48" i="35" s="1"/>
  <c r="I48" i="35" s="1"/>
  <c r="J48" i="35" s="1"/>
  <c r="K48" i="35" s="1"/>
  <c r="L48" i="35" s="1"/>
  <c r="M48" i="35" s="1"/>
  <c r="N48" i="35" s="1"/>
  <c r="O48" i="35" s="1"/>
  <c r="J7" i="35"/>
  <c r="H7" i="35"/>
  <c r="AB7" i="37"/>
  <c r="T42" i="37" s="1"/>
  <c r="G42" i="37" s="1"/>
  <c r="U7" i="37"/>
  <c r="W7" i="36"/>
  <c r="AC7" i="36"/>
  <c r="V36" i="36" s="1"/>
  <c r="I36" i="36" s="1"/>
  <c r="S7" i="37"/>
  <c r="AA7" i="37"/>
  <c r="R42" i="37" s="1"/>
  <c r="F7" i="35"/>
  <c r="L46" i="15"/>
  <c r="B40" i="1"/>
  <c r="F26" i="12" s="1"/>
  <c r="C27" i="12" s="1"/>
  <c r="D26" i="12" s="1"/>
  <c r="C32" i="12" s="1"/>
  <c r="D30" i="12" s="1"/>
  <c r="C48" i="15"/>
  <c r="C5" i="46"/>
  <c r="C18" i="12"/>
  <c r="C23" i="12" s="1"/>
  <c r="C18" i="43"/>
  <c r="C19" i="43" s="1"/>
  <c r="C19" i="15"/>
  <c r="F17" i="11"/>
  <c r="C17" i="11" s="1"/>
  <c r="C19" i="11" s="1"/>
  <c r="C21" i="44"/>
  <c r="Q62" i="44"/>
  <c r="Q75" i="44"/>
  <c r="Q54" i="44"/>
  <c r="F1" i="44"/>
  <c r="M11" i="15"/>
  <c r="J10" i="15" s="1"/>
  <c r="J5" i="15" s="1"/>
  <c r="F13" i="44"/>
  <c r="C12" i="44" s="1"/>
  <c r="C7" i="44" s="1"/>
  <c r="F11" i="15"/>
  <c r="C52" i="15" s="1"/>
  <c r="M13" i="44"/>
  <c r="J12" i="44" s="1"/>
  <c r="J7" i="44" s="1"/>
  <c r="F24" i="15"/>
  <c r="C24" i="15" s="1"/>
  <c r="M28" i="46"/>
  <c r="N28" i="46"/>
  <c r="P28" i="46"/>
  <c r="G20" i="46" s="1"/>
  <c r="O28" i="46"/>
  <c r="Q62" i="15"/>
  <c r="Q75" i="15"/>
  <c r="Q76" i="44"/>
  <c r="Q63" i="44"/>
  <c r="C34" i="44"/>
  <c r="J20" i="44"/>
  <c r="Q53" i="15"/>
  <c r="F1" i="15"/>
  <c r="J18" i="15"/>
  <c r="Q74" i="15"/>
  <c r="Q61" i="15"/>
  <c r="C32" i="15"/>
  <c r="F45" i="44"/>
  <c r="T36" i="59" l="1"/>
  <c r="D36" i="59"/>
  <c r="S8" i="59"/>
  <c r="T28" i="59"/>
  <c r="D28" i="59"/>
  <c r="U8" i="59"/>
  <c r="C11" i="59"/>
  <c r="T12" i="59"/>
  <c r="D12" i="59"/>
  <c r="N57" i="59"/>
  <c r="N58" i="59"/>
  <c r="C32" i="59"/>
  <c r="D31" i="59"/>
  <c r="C24" i="59"/>
  <c r="D23" i="59"/>
  <c r="R43" i="37"/>
  <c r="E42" i="37"/>
  <c r="I40" i="36"/>
  <c r="J40" i="36" s="1"/>
  <c r="AC7" i="35"/>
  <c r="V38" i="35" s="1"/>
  <c r="I38" i="35" s="1"/>
  <c r="W7" i="35"/>
  <c r="G53" i="34"/>
  <c r="H53" i="34" s="1"/>
  <c r="F9" i="40"/>
  <c r="J9" i="40"/>
  <c r="H9" i="40"/>
  <c r="K72" i="39"/>
  <c r="L70" i="39"/>
  <c r="AA7" i="34"/>
  <c r="R49" i="34" s="1"/>
  <c r="S7" i="34"/>
  <c r="AA7" i="35"/>
  <c r="R38" i="35" s="1"/>
  <c r="S7" i="35"/>
  <c r="G46" i="37"/>
  <c r="H46" i="37" s="1"/>
  <c r="G47" i="37"/>
  <c r="H47" i="37" s="1"/>
  <c r="AB7" i="35"/>
  <c r="T38" i="35" s="1"/>
  <c r="G38" i="35" s="1"/>
  <c r="U7" i="35"/>
  <c r="G41" i="36"/>
  <c r="H41" i="36" s="1"/>
  <c r="G40" i="36"/>
  <c r="H40" i="36" s="1"/>
  <c r="I46" i="37"/>
  <c r="J46" i="37" s="1"/>
  <c r="I47" i="37"/>
  <c r="J47" i="37" s="1"/>
  <c r="F58" i="33"/>
  <c r="R37" i="36"/>
  <c r="E36" i="36"/>
  <c r="F58" i="21"/>
  <c r="G58" i="21" s="1"/>
  <c r="H58" i="21" s="1"/>
  <c r="I58" i="21" s="1"/>
  <c r="J58" i="21" s="1"/>
  <c r="K58" i="21" s="1"/>
  <c r="L58" i="21" s="1"/>
  <c r="M58" i="21" s="1"/>
  <c r="N58" i="21" s="1"/>
  <c r="O58" i="21" s="1"/>
  <c r="F7" i="21"/>
  <c r="AC7" i="34"/>
  <c r="V49" i="34" s="1"/>
  <c r="I49" i="34" s="1"/>
  <c r="G54" i="34" s="1"/>
  <c r="H54" i="34" s="1"/>
  <c r="W7" i="34"/>
  <c r="AP6" i="1"/>
  <c r="AP16" i="1" s="1"/>
  <c r="H16" i="1"/>
  <c r="G6" i="1"/>
  <c r="G16" i="1" s="1"/>
  <c r="F21" i="43"/>
  <c r="C23" i="43" s="1"/>
  <c r="D21" i="43" s="1"/>
  <c r="F26" i="44"/>
  <c r="C26" i="44" s="1"/>
  <c r="C47" i="15"/>
  <c r="C59" i="15" s="1"/>
  <c r="C28" i="12"/>
  <c r="C26" i="12" s="1"/>
  <c r="C31" i="12" s="1"/>
  <c r="C30" i="12" s="1"/>
  <c r="C35" i="12"/>
  <c r="C33" i="12" s="1"/>
  <c r="C10" i="15"/>
  <c r="C5" i="15" s="1"/>
  <c r="C38" i="15" s="1"/>
  <c r="C40" i="44"/>
  <c r="E41" i="46"/>
  <c r="C41" i="46" s="1"/>
  <c r="C20" i="46"/>
  <c r="C20" i="11"/>
  <c r="C21" i="11" s="1"/>
  <c r="C22" i="11" s="1"/>
  <c r="C23" i="11" s="1"/>
  <c r="B2" i="11" s="1"/>
  <c r="J24" i="15"/>
  <c r="J26" i="15"/>
  <c r="J29" i="15" s="1"/>
  <c r="J26" i="44"/>
  <c r="J28" i="44"/>
  <c r="J31" i="44" s="1"/>
  <c r="C25" i="43"/>
  <c r="C24" i="43" s="1"/>
  <c r="C22" i="44"/>
  <c r="C25" i="44" s="1"/>
  <c r="C20" i="15"/>
  <c r="C26" i="15" s="1"/>
  <c r="T24" i="59" l="1"/>
  <c r="D24" i="59"/>
  <c r="T32" i="59"/>
  <c r="D32" i="59"/>
  <c r="C10" i="59"/>
  <c r="D11" i="59"/>
  <c r="AA7" i="21"/>
  <c r="R48" i="21" s="1"/>
  <c r="S7" i="21"/>
  <c r="C37" i="36"/>
  <c r="B3" i="36" s="1"/>
  <c r="B2" i="36" s="1"/>
  <c r="C36" i="36"/>
  <c r="M70" i="39"/>
  <c r="L72" i="39"/>
  <c r="U9" i="40"/>
  <c r="AB9" i="40"/>
  <c r="T44" i="40" s="1"/>
  <c r="G44" i="40" s="1"/>
  <c r="S9" i="40"/>
  <c r="AA9" i="40"/>
  <c r="R44" i="40" s="1"/>
  <c r="I42" i="35"/>
  <c r="J42" i="35" s="1"/>
  <c r="C43" i="37"/>
  <c r="B3" i="37" s="1"/>
  <c r="B2" i="37" s="1"/>
  <c r="C42" i="37"/>
  <c r="I53" i="34"/>
  <c r="J53" i="34" s="1"/>
  <c r="J7" i="21"/>
  <c r="E40" i="36"/>
  <c r="F40" i="36" s="1"/>
  <c r="E41" i="36"/>
  <c r="F41" i="36" s="1"/>
  <c r="G58" i="33"/>
  <c r="G42" i="35"/>
  <c r="H42" i="35" s="1"/>
  <c r="G43" i="35"/>
  <c r="H43" i="35" s="1"/>
  <c r="E38" i="35"/>
  <c r="R39" i="35"/>
  <c r="R50" i="34"/>
  <c r="E49" i="34"/>
  <c r="AC9" i="40"/>
  <c r="V44" i="40" s="1"/>
  <c r="I44" i="40" s="1"/>
  <c r="W9" i="40"/>
  <c r="I41" i="36"/>
  <c r="J41" i="36" s="1"/>
  <c r="E47" i="37"/>
  <c r="F47" i="37" s="1"/>
  <c r="E46" i="37"/>
  <c r="F46" i="37" s="1"/>
  <c r="H7" i="21"/>
  <c r="C65" i="15"/>
  <c r="J12" i="39"/>
  <c r="F12" i="39"/>
  <c r="H12" i="39"/>
  <c r="H12" i="40"/>
  <c r="F12" i="40"/>
  <c r="J12" i="40"/>
  <c r="C22" i="43"/>
  <c r="C21" i="43" s="1"/>
  <c r="C28" i="43" s="1"/>
  <c r="C30" i="43" s="1"/>
  <c r="C36" i="12"/>
  <c r="B2" i="12" s="1"/>
  <c r="B3" i="12" s="1"/>
  <c r="C28" i="44"/>
  <c r="Q58" i="44"/>
  <c r="Q49" i="44"/>
  <c r="Q55" i="44" s="1"/>
  <c r="Q67" i="44"/>
  <c r="T8" i="46"/>
  <c r="V8" i="46" s="1"/>
  <c r="C35" i="46"/>
  <c r="T7" i="46"/>
  <c r="V7" i="46" s="1"/>
  <c r="T2" i="46"/>
  <c r="V2" i="46" s="1"/>
  <c r="T5" i="46"/>
  <c r="V5" i="46" s="1"/>
  <c r="T3" i="46"/>
  <c r="V3" i="46" s="1"/>
  <c r="C36" i="46"/>
  <c r="T12" i="46"/>
  <c r="V12" i="46" s="1"/>
  <c r="T15" i="46"/>
  <c r="V15" i="46" s="1"/>
  <c r="T11" i="46"/>
  <c r="V11" i="46" s="1"/>
  <c r="T13" i="46"/>
  <c r="V13" i="46" s="1"/>
  <c r="T9" i="46"/>
  <c r="V9" i="46" s="1"/>
  <c r="T6" i="46"/>
  <c r="V6" i="46" s="1"/>
  <c r="C37" i="46"/>
  <c r="T10" i="46"/>
  <c r="V10" i="46" s="1"/>
  <c r="T4" i="46"/>
  <c r="V4" i="46" s="1"/>
  <c r="T16" i="46"/>
  <c r="V16" i="46" s="1"/>
  <c r="T14" i="46"/>
  <c r="V14" i="46" s="1"/>
  <c r="C29" i="46"/>
  <c r="C33" i="46"/>
  <c r="C34" i="46"/>
  <c r="C23" i="15"/>
  <c r="C29" i="15" s="1"/>
  <c r="C31" i="44"/>
  <c r="C39" i="46"/>
  <c r="C38" i="46"/>
  <c r="B3" i="11"/>
  <c r="G8" i="69" s="1"/>
  <c r="G14" i="69" s="1"/>
  <c r="B5" i="11"/>
  <c r="B4" i="11"/>
  <c r="C9" i="59" l="1"/>
  <c r="D10" i="59"/>
  <c r="U7" i="21"/>
  <c r="AB7" i="21"/>
  <c r="T48" i="21" s="1"/>
  <c r="G48" i="21" s="1"/>
  <c r="C49" i="34"/>
  <c r="C50" i="34"/>
  <c r="B3" i="34" s="1"/>
  <c r="B2" i="34" s="1"/>
  <c r="E43" i="35"/>
  <c r="F43" i="35" s="1"/>
  <c r="E42" i="35"/>
  <c r="F42" i="35" s="1"/>
  <c r="H58" i="33"/>
  <c r="I43" i="35"/>
  <c r="J43" i="35" s="1"/>
  <c r="E44" i="40"/>
  <c r="I49" i="40" s="1"/>
  <c r="J49" i="40" s="1"/>
  <c r="R45" i="40"/>
  <c r="G49" i="40"/>
  <c r="H49" i="40" s="1"/>
  <c r="G48" i="40"/>
  <c r="H48" i="40" s="1"/>
  <c r="I48" i="40"/>
  <c r="J48" i="40" s="1"/>
  <c r="E53" i="34"/>
  <c r="F53" i="34" s="1"/>
  <c r="E54" i="34"/>
  <c r="F54" i="34" s="1"/>
  <c r="C39" i="35"/>
  <c r="B3" i="35" s="1"/>
  <c r="B2" i="35" s="1"/>
  <c r="C38" i="35"/>
  <c r="W7" i="21"/>
  <c r="AC7" i="21"/>
  <c r="V48" i="21" s="1"/>
  <c r="I48" i="21" s="1"/>
  <c r="I54" i="34"/>
  <c r="J54" i="34" s="1"/>
  <c r="M72" i="39"/>
  <c r="N70" i="39"/>
  <c r="N72" i="39" s="1"/>
  <c r="E48" i="21"/>
  <c r="R49" i="21"/>
  <c r="B5" i="12"/>
  <c r="W12" i="40"/>
  <c r="AC12" i="40"/>
  <c r="AB12" i="40"/>
  <c r="U12" i="40"/>
  <c r="AA12" i="39"/>
  <c r="S12" i="39"/>
  <c r="AA12" i="40"/>
  <c r="S12" i="40"/>
  <c r="AB12" i="39"/>
  <c r="U12" i="39"/>
  <c r="AC12" i="39"/>
  <c r="W12" i="39"/>
  <c r="B4" i="12"/>
  <c r="C36" i="15"/>
  <c r="C13" i="15"/>
  <c r="J19" i="15"/>
  <c r="J17" i="15" s="1"/>
  <c r="J14" i="15"/>
  <c r="C56" i="15"/>
  <c r="Q50" i="15"/>
  <c r="C33" i="15"/>
  <c r="C31" i="15" s="1"/>
  <c r="G33" i="46"/>
  <c r="I33" i="46" s="1"/>
  <c r="E33" i="46"/>
  <c r="G38" i="46"/>
  <c r="I38" i="46" s="1"/>
  <c r="E38" i="46"/>
  <c r="J21" i="44"/>
  <c r="J19" i="44" s="1"/>
  <c r="C38" i="44"/>
  <c r="J16" i="44"/>
  <c r="C15" i="44"/>
  <c r="Q51" i="44"/>
  <c r="C35" i="44"/>
  <c r="C33" i="44" s="1"/>
  <c r="G34" i="46"/>
  <c r="I34" i="46" s="1"/>
  <c r="E34" i="46"/>
  <c r="C30" i="46"/>
  <c r="E30" i="46" s="1"/>
  <c r="C6" i="69"/>
  <c r="E29" i="46"/>
  <c r="E36" i="46"/>
  <c r="G36" i="46"/>
  <c r="I36" i="46" s="1"/>
  <c r="G39" i="46"/>
  <c r="I39" i="46" s="1"/>
  <c r="E39" i="46"/>
  <c r="E37" i="46"/>
  <c r="G37" i="46"/>
  <c r="I37" i="46" s="1"/>
  <c r="E35" i="46"/>
  <c r="G35" i="46"/>
  <c r="I35" i="46" s="1"/>
  <c r="F7" i="67"/>
  <c r="D9" i="59" l="1"/>
  <c r="C8" i="59"/>
  <c r="C7" i="59" s="1"/>
  <c r="E53" i="21"/>
  <c r="F53" i="21" s="1"/>
  <c r="E52" i="21"/>
  <c r="F52" i="21" s="1"/>
  <c r="F9" i="39"/>
  <c r="J9" i="39"/>
  <c r="H9" i="39"/>
  <c r="I53" i="21"/>
  <c r="J53" i="21" s="1"/>
  <c r="I52" i="21"/>
  <c r="J52" i="21" s="1"/>
  <c r="C45" i="40"/>
  <c r="C44" i="40"/>
  <c r="G52" i="21"/>
  <c r="H52" i="21" s="1"/>
  <c r="G53" i="21"/>
  <c r="H53" i="21" s="1"/>
  <c r="C49" i="21"/>
  <c r="B3" i="21" s="1"/>
  <c r="B2" i="21" s="1"/>
  <c r="C48" i="21"/>
  <c r="E48" i="40"/>
  <c r="F48" i="40" s="1"/>
  <c r="E49" i="40"/>
  <c r="F49" i="40" s="1"/>
  <c r="I58" i="33"/>
  <c r="E4" i="67"/>
  <c r="C26" i="46"/>
  <c r="C27" i="46"/>
  <c r="J15" i="44"/>
  <c r="J25" i="44" s="1"/>
  <c r="J24" i="44"/>
  <c r="J13" i="15"/>
  <c r="J23" i="15" s="1"/>
  <c r="J22" i="15"/>
  <c r="J35" i="15"/>
  <c r="C55" i="15"/>
  <c r="C64" i="15" s="1"/>
  <c r="C37" i="15"/>
  <c r="C30" i="15" s="1"/>
  <c r="C39" i="15" s="1"/>
  <c r="Q71" i="15"/>
  <c r="C39" i="44"/>
  <c r="C32" i="44" s="1"/>
  <c r="C42" i="44" s="1"/>
  <c r="C43" i="44"/>
  <c r="Q72" i="44"/>
  <c r="C60" i="15"/>
  <c r="C58" i="15" s="1"/>
  <c r="C63" i="15"/>
  <c r="E7" i="67"/>
  <c r="C6" i="59" l="1"/>
  <c r="D7" i="59"/>
  <c r="T8" i="59"/>
  <c r="D8" i="59"/>
  <c r="U9" i="39"/>
  <c r="AB9" i="39"/>
  <c r="T49" i="39" s="1"/>
  <c r="G49" i="39" s="1"/>
  <c r="J58" i="33"/>
  <c r="B56" i="40"/>
  <c r="F56" i="40" s="1"/>
  <c r="B60" i="40"/>
  <c r="F60" i="40" s="1"/>
  <c r="B62" i="40"/>
  <c r="F62" i="40" s="1"/>
  <c r="B55" i="40"/>
  <c r="F55" i="40" s="1"/>
  <c r="B54" i="40"/>
  <c r="F54" i="40" s="1"/>
  <c r="B58" i="40"/>
  <c r="F58" i="40" s="1"/>
  <c r="B59" i="40"/>
  <c r="F59" i="40" s="1"/>
  <c r="B57" i="40"/>
  <c r="F57" i="40" s="1"/>
  <c r="F63" i="40"/>
  <c r="B2" i="40" s="1"/>
  <c r="B53" i="40"/>
  <c r="F53" i="40" s="1"/>
  <c r="B61" i="40"/>
  <c r="F61" i="40" s="1"/>
  <c r="W9" i="39"/>
  <c r="AC9" i="39"/>
  <c r="V49" i="39" s="1"/>
  <c r="I49" i="39" s="1"/>
  <c r="S9" i="39"/>
  <c r="AA9" i="39"/>
  <c r="R49" i="39" s="1"/>
  <c r="J18" i="44"/>
  <c r="J27" i="44" s="1"/>
  <c r="J16" i="15"/>
  <c r="J25" i="15" s="1"/>
  <c r="E3" i="67"/>
  <c r="Q70" i="15"/>
  <c r="Q69" i="15" s="1"/>
  <c r="C40" i="15"/>
  <c r="C10" i="43" s="1"/>
  <c r="Q71" i="44"/>
  <c r="Q70" i="44" s="1"/>
  <c r="C44" i="44"/>
  <c r="C45" i="44" s="1"/>
  <c r="B2" i="46"/>
  <c r="C57" i="15"/>
  <c r="C66" i="15" s="1"/>
  <c r="C67" i="15" s="1"/>
  <c r="J39" i="15"/>
  <c r="J40" i="15" s="1"/>
  <c r="L51" i="15"/>
  <c r="B7" i="67"/>
  <c r="D19" i="9"/>
  <c r="D6" i="59" l="1"/>
  <c r="C5" i="59"/>
  <c r="D5" i="59" s="1"/>
  <c r="E49" i="39"/>
  <c r="I54" i="39" s="1"/>
  <c r="J54" i="39" s="1"/>
  <c r="R50" i="39"/>
  <c r="I53" i="39"/>
  <c r="J53" i="39" s="1"/>
  <c r="B3" i="40"/>
  <c r="B4" i="40"/>
  <c r="B5" i="40"/>
  <c r="G53" i="39"/>
  <c r="H53" i="39" s="1"/>
  <c r="G54" i="39"/>
  <c r="H54" i="39" s="1"/>
  <c r="K58" i="33"/>
  <c r="L44" i="9"/>
  <c r="B2" i="67"/>
  <c r="Q68" i="15"/>
  <c r="L57" i="15"/>
  <c r="L60" i="15" s="1"/>
  <c r="B3" i="46"/>
  <c r="B4" i="46"/>
  <c r="D4" i="46"/>
  <c r="Q57" i="15"/>
  <c r="C6" i="43"/>
  <c r="Q48" i="15"/>
  <c r="Q54" i="15" s="1"/>
  <c r="Q66" i="15"/>
  <c r="C43" i="15"/>
  <c r="C8" i="43" s="1"/>
  <c r="B2" i="15"/>
  <c r="B3" i="15" s="1"/>
  <c r="J42" i="15"/>
  <c r="J43" i="15" s="1"/>
  <c r="C70" i="15"/>
  <c r="C46" i="15"/>
  <c r="B2" i="44"/>
  <c r="L52" i="44"/>
  <c r="D21" i="9"/>
  <c r="D20" i="9"/>
  <c r="L58" i="33" l="1"/>
  <c r="C49" i="39"/>
  <c r="C50" i="39"/>
  <c r="E54" i="39"/>
  <c r="F54" i="39" s="1"/>
  <c r="E53" i="39"/>
  <c r="F53" i="39" s="1"/>
  <c r="B4" i="44"/>
  <c r="B3" i="44"/>
  <c r="B5" i="44"/>
  <c r="C31" i="43"/>
  <c r="C32" i="43" s="1"/>
  <c r="B2" i="43" s="1"/>
  <c r="Q69" i="44"/>
  <c r="L58" i="44"/>
  <c r="L61" i="44" s="1"/>
  <c r="Q67" i="15"/>
  <c r="Q76" i="15" s="1"/>
  <c r="Q58" i="15"/>
  <c r="Q63" i="15" s="1"/>
  <c r="B4" i="67"/>
  <c r="B3" i="67"/>
  <c r="C19" i="9"/>
  <c r="M20" i="46" l="1"/>
  <c r="B63" i="39"/>
  <c r="F63" i="39" s="1"/>
  <c r="B61" i="39"/>
  <c r="F61" i="39" s="1"/>
  <c r="F68" i="39"/>
  <c r="B2" i="39" s="1"/>
  <c r="B64" i="39"/>
  <c r="F64" i="39" s="1"/>
  <c r="B62" i="39"/>
  <c r="F62" i="39" s="1"/>
  <c r="B59" i="39"/>
  <c r="F59" i="39" s="1"/>
  <c r="B60" i="39"/>
  <c r="F60" i="39" s="1"/>
  <c r="B65" i="39"/>
  <c r="F65" i="39" s="1"/>
  <c r="B67" i="39"/>
  <c r="F67" i="39" s="1"/>
  <c r="B58" i="39"/>
  <c r="F58" i="39" s="1"/>
  <c r="B66" i="39"/>
  <c r="F66" i="39" s="1"/>
  <c r="M58" i="33"/>
  <c r="N58" i="33" s="1"/>
  <c r="O58" i="33" s="1"/>
  <c r="J7" i="33"/>
  <c r="D22" i="9"/>
  <c r="L43" i="9"/>
  <c r="G19" i="9"/>
  <c r="Q68" i="44"/>
  <c r="Q77" i="44" s="1"/>
  <c r="Q59" i="44"/>
  <c r="Q64" i="44" s="1"/>
  <c r="L47" i="44"/>
  <c r="B4" i="43"/>
  <c r="B3" i="43"/>
  <c r="B5" i="43"/>
  <c r="AC7" i="33" l="1"/>
  <c r="V48" i="33" s="1"/>
  <c r="I48" i="33" s="1"/>
  <c r="W7" i="33"/>
  <c r="F7" i="33"/>
  <c r="H7" i="33"/>
  <c r="B4" i="39"/>
  <c r="B5" i="39"/>
  <c r="B3" i="39"/>
  <c r="N43" i="9"/>
  <c r="G22" i="9"/>
  <c r="C32" i="9"/>
  <c r="E6" i="69"/>
  <c r="G6" i="69" s="1"/>
  <c r="C20" i="9"/>
  <c r="C21" i="9"/>
  <c r="AB7" i="33" l="1"/>
  <c r="T48" i="33" s="1"/>
  <c r="G48" i="33" s="1"/>
  <c r="U7" i="33"/>
  <c r="AA7" i="33"/>
  <c r="R48" i="33" s="1"/>
  <c r="S7" i="33"/>
  <c r="I52" i="33"/>
  <c r="J52" i="33" s="1"/>
  <c r="C27" i="9"/>
  <c r="G20" i="9"/>
  <c r="G21" i="9"/>
  <c r="G4" i="69"/>
  <c r="C34" i="9"/>
  <c r="O38" i="9"/>
  <c r="C35" i="9"/>
  <c r="F42" i="9" s="1"/>
  <c r="C33" i="9"/>
  <c r="C42" i="9"/>
  <c r="O43" i="9"/>
  <c r="G12" i="69"/>
  <c r="R49" i="33" l="1"/>
  <c r="E48" i="33"/>
  <c r="G52" i="33"/>
  <c r="H52" i="33" s="1"/>
  <c r="G53" i="33"/>
  <c r="H53" i="33" s="1"/>
  <c r="N68" i="9"/>
  <c r="D63" i="9"/>
  <c r="R5" i="54"/>
  <c r="B48" i="63" s="1"/>
  <c r="E42" i="9"/>
  <c r="P5" i="54" s="1"/>
  <c r="B46" i="63" s="1"/>
  <c r="M38" i="9"/>
  <c r="K27" i="9" s="1"/>
  <c r="D42" i="9"/>
  <c r="Q5" i="54" s="1"/>
  <c r="B47" i="63" s="1"/>
  <c r="N38" i="9"/>
  <c r="K28" i="9" s="1"/>
  <c r="K26" i="9"/>
  <c r="K25" i="9"/>
  <c r="J7" i="69"/>
  <c r="J11" i="69"/>
  <c r="K11" i="69" s="1"/>
  <c r="J8" i="69" l="1"/>
  <c r="K7" i="69"/>
  <c r="E52" i="33"/>
  <c r="F52" i="33" s="1"/>
  <c r="E53" i="33"/>
  <c r="F53" i="33" s="1"/>
  <c r="I53" i="33"/>
  <c r="J53" i="33" s="1"/>
  <c r="C49" i="33"/>
  <c r="B3" i="33" s="1"/>
  <c r="B2" i="33" s="1"/>
  <c r="C48" i="33"/>
  <c r="D14" i="66"/>
  <c r="F14" i="66" s="1"/>
  <c r="C111" i="9"/>
  <c r="C104" i="9" s="1"/>
  <c r="C82" i="9"/>
  <c r="C81" i="9" s="1"/>
  <c r="C85" i="9" s="1"/>
  <c r="C86" i="9" s="1"/>
  <c r="D72" i="9" s="1"/>
  <c r="D77" i="9"/>
  <c r="N75" i="9" s="1"/>
  <c r="C96" i="9"/>
  <c r="C91" i="9" s="1"/>
  <c r="D70" i="9"/>
  <c r="D71" i="9"/>
  <c r="D66" i="9" s="1"/>
  <c r="N72" i="9" s="1"/>
  <c r="C90" i="9"/>
  <c r="C103" i="9"/>
  <c r="E14" i="66" l="1"/>
  <c r="C97" i="9"/>
  <c r="B5" i="66"/>
  <c r="C5" i="66" s="1"/>
  <c r="C98" i="9"/>
  <c r="E98" i="9" s="1"/>
  <c r="E99" i="9" s="1"/>
  <c r="C113" i="9"/>
  <c r="D5" i="66" l="1"/>
  <c r="C99" i="9"/>
  <c r="C114" i="9"/>
  <c r="E114" i="9" s="1"/>
  <c r="E115" i="9" s="1"/>
  <c r="C115" i="9" l="1"/>
  <c r="D76" i="9" s="1"/>
  <c r="D74" i="9" s="1"/>
  <c r="N74" i="9" s="1"/>
  <c r="O77" i="9" s="1"/>
  <c r="O79" i="9" s="1"/>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<sst xmlns="http://schemas.openxmlformats.org/spreadsheetml/2006/main" count="7122" uniqueCount="3187">
  <si>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</si>
  <si>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</si>
  <si>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</si>
  <si>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</si>
  <si>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</si>
  <si>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</si>
  <si>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</si>
  <si>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</si>
  <si>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</si>
  <si>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</si>
  <si>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</si>
  <si>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</si>
  <si>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</si>
  <si>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</si>
  <si>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</si>
  <si>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</si>
  <si>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</si>
  <si>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</si>
  <si>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</si>
  <si>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</si>
  <si>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</si>
  <si>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</si>
  <si>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</si>
  <si>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</si>
  <si>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</si>
  <si>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</si>
  <si>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</si>
  <si>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</si>
  <si>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</si>
  <si>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</si>
  <si>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</si>
  <si>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</si>
  <si>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</si>
  <si>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</si>
  <si>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</si>
  <si>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</si>
  <si>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</si>
  <si>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</si>
  <si>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</si>
  <si>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</si>
  <si>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</si>
  <si>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</si>
  <si>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</si>
  <si>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</si>
  <si>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</si>
  <si>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</si>
  <si>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</si>
  <si>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</si>
  <si>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</si>
  <si>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</si>
  <si>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</si>
  <si>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</si>
  <si>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</si>
  <si>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</si>
  <si>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</si>
  <si>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</si>
  <si>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</si>
  <si>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</si>
  <si>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</si>
  <si>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</si>
  <si>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</si>
  <si>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</si>
  <si>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</si>
  <si>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</si>
  <si>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</si>
  <si>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</si>
  <si>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</si>
  <si>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</si>
  <si>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</si>
  <si>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</si>
  <si>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</si>
  <si>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</si>
  <si>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</si>
  <si>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</si>
  <si>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</si>
  <si>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</si>
  <si>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</si>
  <si>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</si>
  <si>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</si>
  <si>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</si>
  <si>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</si>
  <si>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</si>
  <si>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</si>
  <si>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</si>
  <si>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</si>
  <si>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</si>
  <si>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</si>
  <si>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</si>
  <si>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</si>
  <si>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</si>
  <si>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</si>
  <si>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</si>
  <si>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</si>
  <si>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</si>
  <si>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</si>
  <si>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</si>
  <si>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</si>
  <si>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</si>
  <si>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</si>
  <si>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</si>
  <si>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</si>
  <si>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</si>
  <si>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</si>
  <si>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</si>
  <si>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</si>
  <si>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</si>
  <si>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</si>
  <si>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</si>
  <si>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</si>
  <si>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</si>
  <si>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</si>
  <si>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</si>
  <si>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</si>
  <si>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</si>
  <si>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</si>
  <si>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</si>
  <si>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</si>
  <si>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</si>
  <si>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</si>
  <si>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</si>
  <si>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</si>
  <si>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</si>
  <si>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</si>
  <si>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</si>
  <si>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</si>
  <si>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</si>
  <si>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</si>
  <si>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</si>
  <si>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</si>
  <si>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</si>
  <si>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</si>
  <si>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</si>
  <si>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</si>
  <si>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</si>
  <si>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</si>
  <si>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</si>
  <si>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</si>
  <si>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</si>
  <si>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</si>
  <si>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</si>
  <si>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</si>
  <si>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</si>
  <si>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</si>
  <si>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</si>
  <si>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</si>
  <si>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</si>
  <si>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</si>
  <si>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</si>
  <si>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</si>
  <si>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</si>
  <si>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</si>
  <si>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</si>
  <si>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</si>
  <si>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</si>
  <si>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</si>
  <si>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</si>
  <si>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</si>
  <si>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</si>
  <si>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</si>
  <si>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</si>
  <si>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</si>
  <si>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</si>
  <si>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</si>
  <si>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</si>
  <si>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</si>
  <si>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</si>
  <si>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</si>
  <si>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</si>
  <si>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</si>
  <si>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</si>
  <si>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</si>
  <si>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</si>
  <si>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</si>
  <si>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</si>
  <si>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</si>
  <si>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</si>
  <si>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</si>
  <si>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</si>
  <si>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</si>
  <si>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</si>
  <si>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</si>
  <si>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</si>
  <si>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</si>
  <si>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</si>
  <si>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</si>
  <si>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</si>
  <si>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</si>
  <si>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</si>
  <si>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</si>
  <si>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</si>
  <si>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</si>
  <si>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</si>
  <si>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</si>
  <si>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</si>
  <si>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</si>
  <si>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</si>
  <si>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</si>
  <si>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</si>
  <si>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</si>
  <si>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</si>
  <si>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</si>
  <si>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</si>
  <si>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</si>
  <si>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</si>
  <si>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</si>
  <si>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</si>
  <si>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</si>
  <si>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</si>
  <si>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</si>
  <si>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</si>
  <si>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</si>
  <si>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</si>
  <si>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</si>
  <si>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</si>
  <si>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</si>
  <si>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</si>
  <si>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</si>
  <si>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</si>
  <si>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</si>
  <si>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</si>
  <si>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</si>
  <si>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</si>
  <si>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</si>
  <si>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</si>
  <si>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</si>
  <si>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</si>
  <si>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</si>
  <si>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</si>
  <si>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</si>
  <si>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</si>
  <si>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</si>
  <si>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</si>
  <si>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</si>
  <si>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</si>
  <si>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</si>
  <si>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</si>
  <si>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</si>
  <si>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</si>
  <si>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</si>
  <si>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</si>
  <si>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</si>
  <si>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</si>
  <si>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</si>
  <si>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</si>
  <si>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</si>
  <si>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</si>
  <si>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</si>
  <si>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</si>
  <si>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</si>
  <si>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</si>
  <si>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</si>
  <si>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</si>
  <si>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</si>
  <si>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</si>
  <si>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</si>
  <si>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</si>
  <si>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</si>
  <si>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</si>
  <si>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</si>
  <si>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</si>
  <si>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</si>
  <si>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</si>
  <si>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</si>
  <si>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</si>
  <si>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</si>
  <si>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</si>
  <si>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</si>
  <si>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</si>
  <si>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</si>
  <si>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</si>
  <si>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</si>
  <si>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</si>
  <si>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</si>
  <si>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</si>
  <si>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</si>
  <si>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</si>
  <si>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</si>
  <si>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</si>
  <si>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</si>
  <si>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</si>
  <si>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</si>
  <si>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</si>
  <si>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</si>
  <si>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</si>
  <si>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</si>
  <si>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</si>
  <si>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</si>
  <si>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</si>
  <si>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</si>
  <si>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</si>
  <si>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</si>
  <si>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</si>
  <si>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</si>
  <si>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</si>
  <si>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</si>
  <si>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</si>
  <si>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</si>
  <si>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</si>
  <si>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</si>
  <si>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</si>
  <si>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</si>
  <si>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</si>
  <si>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</si>
  <si>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</si>
  <si>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</si>
  <si>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</si>
  <si>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</si>
  <si>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</si>
  <si>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</si>
  <si>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</si>
  <si>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</si>
  <si>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</si>
  <si>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</si>
  <si>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</si>
  <si>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</si>
  <si>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</si>
  <si>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</si>
  <si>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</si>
  <si>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</si>
  <si>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</si>
  <si>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</si>
  <si>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</si>
  <si>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</si>
  <si>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</si>
  <si>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</si>
  <si>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</si>
  <si>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</si>
  <si>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</si>
  <si>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</si>
  <si>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</si>
  <si>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</si>
  <si>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</si>
  <si>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</si>
  <si>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</si>
  <si>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</si>
  <si>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</si>
  <si>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</si>
  <si>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</si>
  <si>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</si>
  <si>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</si>
  <si>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</si>
  <si>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</si>
  <si>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</si>
  <si>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</si>
  <si>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</si>
  <si>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</si>
  <si>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</si>
  <si>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</si>
  <si>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</si>
  <si>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</si>
  <si>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</si>
  <si>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</si>
  <si>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</si>
  <si>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</si>
  <si>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</si>
  <si>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</si>
  <si>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</si>
  <si>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</si>
  <si>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</si>
  <si>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</si>
  <si>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</si>
  <si>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</si>
  <si>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</si>
  <si>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</si>
  <si>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</si>
  <si>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</si>
  <si>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</si>
  <si>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</si>
  <si>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</si>
  <si>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</si>
  <si>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</si>
  <si>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</si>
  <si>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</si>
  <si>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</si>
  <si>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</si>
  <si>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</si>
  <si>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</si>
  <si>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</si>
  <si>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</si>
  <si>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</si>
  <si>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</si>
  <si>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</si>
  <si>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</si>
  <si>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</si>
  <si>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</si>
  <si>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</si>
  <si>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</si>
  <si>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</si>
  <si>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</si>
  <si>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</si>
  <si>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</si>
  <si>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</si>
  <si>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</si>
  <si>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</si>
  <si>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</si>
  <si>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</si>
  <si>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</si>
  <si>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</si>
  <si>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</si>
  <si>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</si>
  <si>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</si>
  <si>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</si>
  <si>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</si>
  <si>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</si>
  <si>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</si>
  <si>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</si>
  <si>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</si>
  <si>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</si>
  <si>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</si>
  <si>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</si>
  <si>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</si>
  <si>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</si>
  <si>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</si>
  <si>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</si>
  <si>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</si>
  <si>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</si>
  <si>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</si>
  <si>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</si>
  <si>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</si>
  <si>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</si>
  <si>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</si>
  <si>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</si>
  <si>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</si>
  <si>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</si>
  <si>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</si>
  <si>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</si>
  <si>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</si>
  <si>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</si>
  <si>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</si>
  <si>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</si>
  <si>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</si>
  <si>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</si>
  <si>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</si>
  <si>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</si>
  <si>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</si>
  <si>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</si>
  <si>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</si>
  <si>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</si>
  <si>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</si>
  <si>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</si>
  <si>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</si>
  <si>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</si>
  <si>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</si>
  <si>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</si>
  <si>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</si>
  <si>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</si>
  <si>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</si>
  <si>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</si>
  <si>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</si>
  <si>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</si>
  <si>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</si>
  <si>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</si>
  <si>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</si>
  <si>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</si>
  <si>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</si>
  <si>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</si>
  <si>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</si>
  <si>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</si>
  <si>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</si>
  <si>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</si>
  <si>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</si>
  <si>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</si>
  <si>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</si>
  <si>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</si>
  <si>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</si>
  <si>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</si>
  <si>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</si>
  <si>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</si>
  <si>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</si>
  <si>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</si>
  <si>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</si>
  <si>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</si>
  <si>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</si>
  <si>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</si>
  <si>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</si>
  <si>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</si>
  <si>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</si>
  <si>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</si>
  <si>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</si>
  <si>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</si>
  <si>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</si>
  <si>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</si>
  <si>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</si>
  <si>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</si>
  <si>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</si>
  <si>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</si>
  <si>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</si>
  <si>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</si>
  <si>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</si>
  <si>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</si>
  <si>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</si>
  <si>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</si>
  <si>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</si>
  <si>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</si>
  <si>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</si>
  <si>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</si>
  <si>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</si>
  <si>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</si>
  <si>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</si>
  <si>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</si>
  <si>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</si>
  <si>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</si>
  <si>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</si>
  <si>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</si>
  <si>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</si>
  <si>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</si>
  <si>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</si>
  <si>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</si>
  <si>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</si>
  <si>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</si>
  <si>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</si>
  <si>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</si>
  <si>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</si>
  <si>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</si>
  <si>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</si>
  <si>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</si>
  <si>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</si>
  <si>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</si>
  <si>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</si>
  <si>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</si>
  <si>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</si>
  <si>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</si>
  <si>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</si>
  <si>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</si>
  <si>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</si>
  <si>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</si>
  <si>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</si>
  <si>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</si>
  <si>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</si>
  <si>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</si>
  <si>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</si>
  <si>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</si>
  <si>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</si>
  <si>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</si>
  <si>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</si>
  <si>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</si>
  <si>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</si>
  <si>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</si>
  <si>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</si>
  <si>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</si>
  <si>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</si>
  <si>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</si>
  <si>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</si>
  <si>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</si>
  <si>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</si>
  <si>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</si>
  <si>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</si>
  <si>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</si>
  <si>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</si>
  <si>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</si>
  <si>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</si>
  <si>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</si>
  <si>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</si>
  <si>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</si>
  <si>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</si>
  <si>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</si>
  <si>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</si>
  <si>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</si>
  <si>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</si>
  <si>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</si>
  <si>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</si>
  <si>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</si>
  <si>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</si>
  <si>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</si>
  <si>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</si>
  <si>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</si>
  <si>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</si>
  <si>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</si>
  <si>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</si>
  <si>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</si>
  <si>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</si>
  <si>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</si>
  <si>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</si>
  <si>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</si>
  <si>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</si>
  <si>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</si>
  <si>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</si>
  <si>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</si>
  <si>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</si>
  <si>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</si>
  <si>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</si>
  <si>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</si>
  <si>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</si>
  <si>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</si>
  <si>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</si>
  <si>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</si>
  <si>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</si>
  <si>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</si>
  <si>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</si>
  <si>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</si>
  <si>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</si>
  <si>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</si>
  <si>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</si>
  <si>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</si>
  <si>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</si>
  <si>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</si>
  <si>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</si>
  <si>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</si>
  <si>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</si>
  <si>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</si>
  <si>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</si>
  <si>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</si>
  <si>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</si>
  <si>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</si>
  <si>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</si>
  <si>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</si>
  <si>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</si>
  <si>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</si>
  <si>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</si>
  <si>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</si>
  <si>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</si>
  <si>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</si>
  <si>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</si>
  <si>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</si>
  <si>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</si>
  <si>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</si>
  <si>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</si>
  <si>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</si>
  <si>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</si>
  <si>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</si>
  <si>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</si>
  <si>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</si>
  <si>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</si>
  <si>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</si>
  <si>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</si>
  <si>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</si>
  <si>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</si>
  <si>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</si>
  <si>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</si>
  <si>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</si>
  <si>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</si>
  <si>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</si>
  <si>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</si>
  <si>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</si>
  <si>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</si>
  <si>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</si>
  <si>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</si>
  <si>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</si>
  <si>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</si>
  <si>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</si>
  <si>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</si>
  <si>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</si>
  <si>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</si>
  <si>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</si>
  <si>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</si>
  <si>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</si>
  <si>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</si>
  <si>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</si>
  <si>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</si>
  <si>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</si>
  <si>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</si>
  <si>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</si>
  <si>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</si>
  <si>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</si>
  <si>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</si>
  <si>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</si>
  <si>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</si>
  <si>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</si>
  <si>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</si>
  <si>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</si>
  <si>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</si>
  <si>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</si>
  <si>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</si>
  <si>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</si>
  <si>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</si>
  <si>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</si>
  <si>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</si>
  <si>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</si>
  <si>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</si>
  <si>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</si>
  <si>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</si>
  <si>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</si>
  <si>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</si>
  <si>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</si>
  <si>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</si>
  <si>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</si>
  <si>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</si>
  <si>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</si>
  <si>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</si>
  <si>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</si>
  <si>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</si>
  <si>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</si>
  <si>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</si>
  <si>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</si>
  <si>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</si>
  <si>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</si>
  <si>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</si>
  <si>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</si>
  <si>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</si>
  <si>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</si>
  <si>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</si>
  <si>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</si>
  <si>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</si>
  <si>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</si>
  <si>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</si>
  <si>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</si>
  <si>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</si>
  <si>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</si>
  <si>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</si>
  <si>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</si>
  <si>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</si>
  <si>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</si>
  <si>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</si>
  <si>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</si>
  <si>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</si>
  <si>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</si>
  <si>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</si>
  <si>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</si>
  <si>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</si>
  <si>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</si>
  <si>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</si>
  <si>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</si>
  <si>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</si>
  <si>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</si>
  <si>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</si>
  <si>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</si>
  <si>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</si>
  <si>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</si>
  <si>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</si>
  <si>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</si>
  <si>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</si>
  <si>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</si>
  <si>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</si>
  <si>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</si>
  <si>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</si>
  <si>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</si>
  <si>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</si>
  <si>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</si>
  <si>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</si>
  <si>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</si>
  <si>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</si>
  <si>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</si>
  <si>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</si>
  <si>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</si>
  <si>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</si>
  <si>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</si>
  <si>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</si>
  <si>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</si>
  <si>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</si>
  <si>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</si>
  <si>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</si>
  <si>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</si>
  <si>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</si>
  <si>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</si>
  <si>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</si>
  <si>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</si>
  <si>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</si>
  <si>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</si>
  <si>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</si>
  <si>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</si>
  <si>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</si>
  <si>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</si>
  <si>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</si>
  <si>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</si>
  <si>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</si>
  <si>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</si>
  <si>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</si>
  <si>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</si>
  <si>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</si>
  <si>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</si>
  <si>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</si>
  <si>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</si>
  <si>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</si>
  <si>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</si>
  <si>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</si>
  <si>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</si>
  <si>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</si>
  <si>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</si>
  <si>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</si>
  <si>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</si>
  <si>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</si>
  <si>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</si>
  <si>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</si>
  <si>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</si>
  <si>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</si>
  <si>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</si>
  <si>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</si>
  <si>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</si>
  <si>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</si>
  <si>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</si>
  <si>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</si>
  <si>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</si>
  <si>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</si>
  <si>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</si>
  <si>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</si>
  <si>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</si>
  <si>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</si>
  <si>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</si>
  <si>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</si>
  <si>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</si>
  <si>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</si>
  <si>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</si>
  <si>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</si>
  <si>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</si>
  <si>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</si>
  <si>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</si>
  <si>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</si>
  <si>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</si>
  <si>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</si>
  <si>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</si>
  <si>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</si>
  <si>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</si>
  <si>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</si>
  <si>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</si>
  <si>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</si>
  <si>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</si>
  <si>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</si>
  <si>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</si>
  <si>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</si>
  <si>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</si>
  <si>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</si>
  <si>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</si>
  <si>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</si>
  <si>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</si>
  <si>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</si>
  <si>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</si>
  <si>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</si>
  <si>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</si>
  <si>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</si>
  <si>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</si>
  <si>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</si>
  <si>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</si>
  <si>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</si>
  <si>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</si>
  <si>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</si>
  <si>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</si>
  <si>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</si>
  <si>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</si>
  <si>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</si>
  <si>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</si>
  <si>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</si>
  <si>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</si>
  <si>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</si>
  <si>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</si>
  <si>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</si>
  <si>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</si>
  <si>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</si>
  <si>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</si>
  <si>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</si>
  <si>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</si>
  <si>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</si>
  <si>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</si>
  <si>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</si>
  <si>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</si>
  <si>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</si>
  <si>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</si>
  <si>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</si>
  <si>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</si>
  <si>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</si>
  <si>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</si>
  <si>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</si>
  <si>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</si>
  <si>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</si>
  <si>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</si>
  <si>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</si>
  <si>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</si>
  <si>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</si>
  <si>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</si>
  <si>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</si>
  <si>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</si>
  <si>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</si>
  <si>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</si>
  <si>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</si>
  <si>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</si>
  <si>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</si>
  <si>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</si>
  <si>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</si>
  <si>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</si>
  <si>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</si>
  <si>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</si>
  <si>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</si>
  <si>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</si>
  <si>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</si>
  <si>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</si>
  <si>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</si>
  <si>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</si>
  <si>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</si>
  <si>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</si>
  <si>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</si>
  <si>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</si>
  <si>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</si>
  <si>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</si>
  <si>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</si>
  <si>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</si>
  <si>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</si>
  <si>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</si>
  <si>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</si>
  <si>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</si>
  <si>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</si>
  <si>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</si>
  <si>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</si>
  <si>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</si>
  <si>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</si>
  <si>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</si>
  <si>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</si>
  <si>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</si>
  <si>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</si>
  <si>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</si>
  <si>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</si>
  <si>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</si>
  <si>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</si>
  <si>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</si>
  <si>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</si>
  <si>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</si>
  <si>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</si>
  <si>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</si>
  <si>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</si>
  <si>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</si>
  <si>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</si>
  <si>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</si>
  <si>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</si>
  <si>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</si>
  <si>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</si>
  <si>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</si>
  <si>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</si>
  <si>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</si>
  <si>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</si>
  <si>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</si>
  <si>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</si>
  <si>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</si>
  <si>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</si>
  <si>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</si>
  <si>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</si>
  <si>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</si>
  <si>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</si>
  <si>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</si>
  <si>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</si>
  <si>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</si>
  <si>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</si>
  <si>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</si>
  <si>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</si>
  <si>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</si>
  <si>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</si>
  <si>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</si>
  <si>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</si>
  <si>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</si>
  <si>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</si>
  <si>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</si>
  <si>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</si>
  <si>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</si>
  <si>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</si>
  <si>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</si>
  <si>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</si>
  <si>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</si>
  <si>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</si>
  <si>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</si>
  <si>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</si>
  <si>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</si>
  <si>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</si>
  <si>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</si>
  <si>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</si>
  <si>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</si>
  <si>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</si>
  <si>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</si>
  <si>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</si>
  <si>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</si>
  <si>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</si>
  <si>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</si>
  <si>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</si>
  <si>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</si>
  <si>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</si>
  <si>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</si>
  <si>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</si>
  <si>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</si>
  <si>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</si>
  <si>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</si>
  <si>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</si>
  <si>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</si>
  <si>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</si>
  <si>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</si>
  <si>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</si>
  <si>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</si>
  <si>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</si>
  <si>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</si>
  <si>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</si>
  <si>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</si>
  <si>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</si>
  <si>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</si>
  <si>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</si>
  <si>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</si>
  <si>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</si>
  <si>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</si>
  <si>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</si>
  <si>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</si>
  <si>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</si>
  <si>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</si>
  <si>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</si>
  <si>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</si>
  <si>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</si>
  <si>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</si>
  <si>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</si>
  <si>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</si>
  <si>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</si>
  <si>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</si>
  <si>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</si>
  <si>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</si>
  <si>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</si>
  <si>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</si>
  <si>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</si>
  <si>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</si>
  <si>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</si>
  <si>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</si>
  <si>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</si>
  <si>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</si>
  <si>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</si>
  <si>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</si>
  <si>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</si>
  <si>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</si>
  <si>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</si>
  <si>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</si>
  <si>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</si>
  <si>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</si>
  <si>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</si>
  <si>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</si>
  <si>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</si>
  <si>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</si>
  <si>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</si>
  <si>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</si>
  <si>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</si>
  <si>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</si>
  <si>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</si>
  <si>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</si>
  <si>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</si>
  <si>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</si>
  <si>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</si>
  <si>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</si>
  <si>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</si>
  <si>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</si>
  <si>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</si>
  <si>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</si>
  <si>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</si>
  <si>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</si>
  <si>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</si>
  <si>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</si>
  <si>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</si>
  <si>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</si>
  <si>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</si>
  <si>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</si>
  <si>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</si>
  <si>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</si>
  <si>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</si>
  <si>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</si>
  <si>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</si>
  <si>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</si>
  <si>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</si>
  <si>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</si>
  <si>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</si>
  <si>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</si>
  <si>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</si>
  <si>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</si>
  <si>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</si>
  <si>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</si>
  <si>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</si>
  <si>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</si>
  <si>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</si>
  <si>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</si>
  <si>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</si>
  <si>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</si>
  <si>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</si>
  <si>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</si>
  <si>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</si>
  <si>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</si>
  <si>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</si>
  <si>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</si>
  <si>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</si>
  <si>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</si>
  <si>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</si>
  <si>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</si>
  <si>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</si>
  <si>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</si>
  <si>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</si>
  <si>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</si>
  <si>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</si>
  <si>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</si>
  <si>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</si>
  <si>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</si>
  <si>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</si>
  <si>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</si>
  <si>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</si>
  <si>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</si>
  <si>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</si>
  <si>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</si>
  <si>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</si>
  <si>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</si>
  <si>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</si>
  <si>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</si>
  <si>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</si>
  <si>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</si>
  <si>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</si>
  <si>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</si>
  <si>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</si>
  <si>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</si>
  <si>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</si>
  <si>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</si>
  <si>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</si>
  <si>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</si>
  <si>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</si>
  <si>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</si>
  <si>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</si>
  <si>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</si>
  <si>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</si>
  <si>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</si>
  <si>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</si>
  <si>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</si>
  <si>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</si>
  <si>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</si>
  <si>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</si>
  <si>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</si>
  <si>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</si>
  <si>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</si>
  <si>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</si>
  <si>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</si>
  <si>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</si>
  <si>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</si>
  <si>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</si>
  <si>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</si>
  <si>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</si>
  <si>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</si>
  <si>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</si>
  <si>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</si>
  <si>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</si>
  <si>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</si>
  <si>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</si>
  <si>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</si>
  <si>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</si>
  <si>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</si>
  <si>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</si>
  <si>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</si>
  <si>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</si>
  <si>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</si>
  <si>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</si>
  <si>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</si>
  <si>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</si>
  <si>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</si>
  <si>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</si>
  <si>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</si>
  <si>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</si>
  <si>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</si>
  <si>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</si>
  <si>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</si>
  <si>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</si>
  <si>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</si>
  <si>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</si>
  <si>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</si>
  <si>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</si>
  <si>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</si>
  <si>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</si>
  <si>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</si>
  <si>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</si>
  <si>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</si>
  <si>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</si>
  <si>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</si>
  <si>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</si>
  <si>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</si>
  <si>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</si>
  <si>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</si>
  <si>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</si>
  <si>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</si>
  <si>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</si>
  <si>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</si>
  <si>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</si>
  <si>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</si>
  <si>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</si>
  <si>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</si>
  <si>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</si>
  <si>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</si>
  <si>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</si>
  <si>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</si>
  <si>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</si>
  <si>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</si>
  <si>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</si>
  <si>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</si>
  <si>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</si>
  <si>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</si>
  <si>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</si>
  <si>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</si>
  <si>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</si>
  <si>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</si>
  <si>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</si>
  <si>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</si>
  <si>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</si>
  <si>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</si>
  <si>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</si>
  <si>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</si>
  <si>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</si>
  <si>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</si>
  <si>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</si>
  <si>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</si>
  <si>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</si>
  <si>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</si>
  <si>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</si>
  <si>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</si>
  <si>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</si>
  <si>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</si>
  <si>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</si>
  <si>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</si>
  <si>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</si>
  <si>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</si>
  <si>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</si>
  <si>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</si>
  <si>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</si>
  <si>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</si>
  <si>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</si>
  <si>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</si>
  <si>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</si>
  <si>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</si>
  <si>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</si>
  <si>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</si>
  <si>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</si>
  <si>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</si>
  <si>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</si>
  <si>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</si>
  <si>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</si>
  <si>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</si>
  <si>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</si>
  <si>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</si>
  <si>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</si>
  <si>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</si>
  <si>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</si>
  <si>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</si>
  <si>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</si>
  <si>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</si>
  <si>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</si>
  <si>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</si>
  <si>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</si>
  <si>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</si>
  <si>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</si>
  <si>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</si>
  <si>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</si>
  <si>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</si>
  <si>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</si>
  <si>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</si>
  <si>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</si>
  <si>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</si>
  <si>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</si>
  <si>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</si>
  <si>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</si>
  <si>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</si>
  <si>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</si>
  <si>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</si>
  <si>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</si>
  <si>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</si>
  <si>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</si>
  <si>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</si>
  <si>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</si>
  <si>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</si>
  <si>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</si>
  <si>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</si>
  <si>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</si>
  <si>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</si>
  <si>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</si>
  <si>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</si>
  <si>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</si>
  <si>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</si>
  <si>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</si>
  <si>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</si>
  <si>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</si>
  <si>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</si>
  <si>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</si>
  <si>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</si>
  <si>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</si>
  <si>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</si>
  <si>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</si>
  <si>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</si>
  <si>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</si>
  <si>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</si>
  <si>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</si>
  <si>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</si>
  <si>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</si>
  <si>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</si>
  <si>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</si>
  <si>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</si>
  <si>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</si>
  <si>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</si>
  <si>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</si>
  <si>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</si>
  <si>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</si>
  <si>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</si>
  <si>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</si>
  <si>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</si>
  <si>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</si>
  <si>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</si>
  <si>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</si>
  <si>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</si>
  <si>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</si>
  <si>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</si>
  <si>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</si>
  <si>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</si>
  <si>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</si>
  <si>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</si>
  <si>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</si>
  <si>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</si>
  <si>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</si>
  <si>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</si>
  <si>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</si>
  <si>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</si>
  <si>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</si>
  <si>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</si>
  <si>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</si>
  <si>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</si>
  <si>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</si>
  <si>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</si>
  <si>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</si>
  <si>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</si>
  <si>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</si>
  <si>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</si>
  <si>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</si>
  <si>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</si>
  <si>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</si>
  <si>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</si>
  <si>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</si>
  <si>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</si>
  <si>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</si>
  <si>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</si>
  <si>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</si>
  <si>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</si>
  <si>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</si>
  <si>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</si>
  <si>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</si>
  <si>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</si>
  <si>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</si>
  <si>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</si>
  <si>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</si>
  <si>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</si>
  <si>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</si>
  <si>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</si>
  <si>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</si>
  <si>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</si>
  <si>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</si>
  <si>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</si>
  <si>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</si>
  <si>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</si>
  <si>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</si>
  <si>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</si>
  <si>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</si>
  <si>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</si>
  <si>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</si>
  <si>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</si>
  <si>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</si>
  <si>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</si>
  <si>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</si>
  <si>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</si>
  <si>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</si>
  <si>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</si>
  <si>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</si>
  <si>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</si>
  <si>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</si>
  <si>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</si>
  <si>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</si>
  <si>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</si>
  <si>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</si>
  <si>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</si>
  <si>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</si>
  <si>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</si>
  <si>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</si>
  <si>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</si>
  <si>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</si>
  <si>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</si>
  <si>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</si>
  <si>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</si>
  <si>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</si>
  <si>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</si>
  <si>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</si>
  <si>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</si>
  <si>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</si>
  <si>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</si>
  <si>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</si>
  <si>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</si>
  <si>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</si>
  <si>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</si>
  <si>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</si>
  <si>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</si>
  <si>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</si>
  <si>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</si>
  <si>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</si>
  <si>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</si>
  <si>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</si>
  <si>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</si>
  <si>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</si>
  <si>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</si>
  <si>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</si>
  <si>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</si>
  <si>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</si>
  <si>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</si>
  <si>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</si>
  <si>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</si>
  <si>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</si>
  <si>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</si>
  <si>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</si>
  <si>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</si>
  <si>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</si>
  <si>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</si>
  <si>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</si>
  <si>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</si>
  <si>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</si>
  <si>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</si>
  <si>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</si>
  <si>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</si>
  <si>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</si>
  <si>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</si>
  <si>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</si>
  <si>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</si>
  <si>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</si>
  <si>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</si>
  <si>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</si>
  <si>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</si>
  <si>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</si>
  <si>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</si>
  <si>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</si>
  <si>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</si>
  <si>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</si>
  <si>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</si>
  <si>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</si>
  <si>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</si>
  <si>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</si>
  <si>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</si>
  <si>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</si>
  <si>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</si>
  <si>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</si>
  <si>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</si>
  <si>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</si>
  <si>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</si>
  <si>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</si>
  <si>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</si>
  <si>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</si>
  <si>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</si>
  <si>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</si>
  <si>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</si>
  <si>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</si>
  <si>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</si>
  <si>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</si>
  <si>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</si>
  <si>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</si>
  <si>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</si>
  <si>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</si>
  <si>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</si>
  <si>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</si>
  <si>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</si>
  <si>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</si>
  <si>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</si>
  <si>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</si>
  <si>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</si>
  <si>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</si>
  <si>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</si>
  <si>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</si>
  <si>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</si>
  <si>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</si>
  <si>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</si>
  <si>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</si>
  <si>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</si>
  <si>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</si>
  <si>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</si>
  <si>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</si>
  <si>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</si>
  <si>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</si>
  <si>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</si>
  <si>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</si>
  <si>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</si>
  <si>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</si>
  <si>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</si>
  <si>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</si>
  <si>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</si>
  <si>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</si>
  <si>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</si>
  <si>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</si>
  <si>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</si>
  <si>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</si>
  <si>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</si>
  <si>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</si>
  <si>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</si>
  <si>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</si>
  <si>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</si>
  <si>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</si>
  <si>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</si>
  <si>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</si>
  <si>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</si>
  <si>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</si>
  <si>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</si>
  <si>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</si>
  <si>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</si>
  <si>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</si>
  <si>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</si>
  <si>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</si>
  <si>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</si>
  <si>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</si>
  <si>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</si>
  <si>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</si>
  <si>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</si>
  <si>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</si>
  <si>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</si>
  <si>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</si>
  <si>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</si>
  <si>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</si>
  <si>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</si>
  <si>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</si>
  <si>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</si>
  <si>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</si>
  <si>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</si>
  <si>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</si>
  <si>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</si>
  <si>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</si>
  <si>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</si>
  <si>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</si>
  <si>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</si>
  <si>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</si>
  <si>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</si>
  <si>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</si>
  <si>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</si>
  <si>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</si>
  <si>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</si>
  <si>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</si>
  <si>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</si>
  <si>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</si>
  <si>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</si>
  <si>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</si>
  <si>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</si>
  <si>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</si>
  <si>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</si>
  <si>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</si>
  <si>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</si>
  <si>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</si>
  <si>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</si>
  <si>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</si>
  <si>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</si>
  <si>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</si>
  <si>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</si>
  <si>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</si>
  <si>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</si>
  <si>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</si>
  <si>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</si>
  <si>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</si>
  <si>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</si>
  <si>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</si>
  <si>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</si>
  <si>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</si>
  <si>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</si>
  <si>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</si>
  <si>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</si>
  <si>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</si>
  <si>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</si>
  <si>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</si>
  <si>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</si>
  <si>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</si>
  <si>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</si>
  <si>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</si>
  <si>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</si>
  <si>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</si>
  <si>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</si>
  <si>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</si>
  <si>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</si>
  <si>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</si>
  <si>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</si>
  <si>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</si>
  <si>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</si>
  <si>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</si>
  <si>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</si>
  <si>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</si>
  <si>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</si>
  <si>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</si>
  <si>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</si>
  <si>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</si>
  <si>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</si>
  <si>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</si>
  <si>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</si>
  <si>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</si>
  <si>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</si>
  <si>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</si>
  <si>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</si>
  <si>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</si>
  <si>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</si>
  <si>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</si>
  <si>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</si>
  <si>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</si>
  <si>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</si>
  <si>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</si>
  <si>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</si>
  <si>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</si>
  <si>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</si>
  <si>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</si>
  <si>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</si>
  <si>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</si>
  <si>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</si>
  <si>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</si>
  <si>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</si>
  <si>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</si>
  <si>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</si>
  <si>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</si>
  <si>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</si>
  <si>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</si>
  <si>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</si>
  <si>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</si>
  <si>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</si>
  <si>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</si>
  <si>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</si>
  <si>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</si>
  <si>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</si>
  <si>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</si>
  <si>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</si>
  <si>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</si>
  <si>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</si>
  <si>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</si>
  <si>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</si>
  <si>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</si>
  <si>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</si>
  <si>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</si>
  <si>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</si>
  <si>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</si>
  <si>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</si>
  <si>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</si>
  <si>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</si>
  <si>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</si>
  <si>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</si>
  <si>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</si>
  <si>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</si>
  <si>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</si>
  <si>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</si>
  <si>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</si>
  <si>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</si>
  <si>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</si>
  <si>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</si>
  <si>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</si>
  <si>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</si>
  <si>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</si>
  <si>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</si>
  <si>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</si>
  <si>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</si>
  <si>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</si>
  <si>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</si>
  <si>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</si>
  <si>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</si>
  <si>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</si>
  <si>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</si>
  <si>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</si>
  <si>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</si>
  <si>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</si>
  <si>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</si>
  <si>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</si>
  <si>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</si>
  <si>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</si>
  <si>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</si>
  <si>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</si>
  <si>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</si>
  <si>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</si>
  <si>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</si>
  <si>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</si>
  <si>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</si>
  <si>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</si>
  <si>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</si>
  <si>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</si>
  <si>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</si>
  <si>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</si>
  <si>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</si>
  <si>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</si>
  <si>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</si>
  <si>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</si>
  <si>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</si>
  <si>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</si>
  <si>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</si>
  <si>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</si>
  <si>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</si>
  <si>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</si>
  <si>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</si>
  <si>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</si>
  <si>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</si>
  <si>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</si>
  <si>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</si>
  <si>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</si>
  <si>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</si>
  <si>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</si>
  <si>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</si>
  <si>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</si>
  <si>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</si>
  <si>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</si>
  <si>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</si>
  <si>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</si>
  <si>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</si>
  <si>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</si>
  <si>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</si>
  <si>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</si>
  <si>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</si>
  <si>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</si>
  <si>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</si>
  <si>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</si>
  <si>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</si>
  <si>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</si>
  <si>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</si>
  <si>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</si>
  <si>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</si>
  <si>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</si>
  <si>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</si>
  <si>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</si>
  <si>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</si>
  <si>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</si>
  <si>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</si>
  <si>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</si>
  <si>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</si>
  <si>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</si>
  <si>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</si>
  <si>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</si>
  <si>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</si>
  <si>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</si>
  <si>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</si>
  <si>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</si>
  <si>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</si>
  <si>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</si>
  <si>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</si>
  <si>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</si>
  <si>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</si>
  <si>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</si>
  <si>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</si>
  <si>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</si>
  <si>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</si>
  <si>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</si>
  <si>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</si>
  <si>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</si>
  <si>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</si>
  <si>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</si>
  <si>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</si>
  <si>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</si>
  <si>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</si>
  <si>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</si>
  <si>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</si>
  <si>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</si>
  <si>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</si>
  <si>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</si>
  <si>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</si>
  <si>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</si>
  <si>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</si>
  <si>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</si>
  <si>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</si>
  <si>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</si>
  <si>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</si>
  <si>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</si>
  <si>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</si>
  <si>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</si>
  <si>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</si>
  <si>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</si>
  <si>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</si>
  <si>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</si>
  <si>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</si>
  <si>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</si>
  <si>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</si>
  <si>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</si>
  <si>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</si>
  <si>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</si>
  <si>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</si>
  <si>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</si>
  <si>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</si>
  <si>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</si>
  <si>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</si>
  <si>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</si>
  <si>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</si>
  <si>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</si>
  <si>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</si>
  <si>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</si>
  <si>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</si>
  <si>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</si>
  <si>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</si>
  <si>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</si>
  <si>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</si>
  <si>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</si>
  <si>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</si>
  <si>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</si>
  <si>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</si>
  <si>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</si>
  <si>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</si>
  <si>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</si>
  <si>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</si>
  <si>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</si>
  <si>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</si>
  <si>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</si>
  <si>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</si>
  <si>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</si>
  <si>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</si>
  <si>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</si>
  <si>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</si>
  <si>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</si>
  <si>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</si>
  <si>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</si>
  <si>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</si>
  <si>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</si>
  <si>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</si>
  <si>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</si>
  <si>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</si>
  <si>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</si>
  <si>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</si>
  <si>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</si>
  <si>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</si>
  <si>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</si>
  <si>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</si>
  <si>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</si>
  <si>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</si>
  <si>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</si>
  <si>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</si>
  <si>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</si>
  <si>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</si>
  <si>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</si>
  <si>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</si>
  <si>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</si>
  <si>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</si>
  <si>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</si>
  <si>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</si>
  <si>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</si>
  <si>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</si>
  <si>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</si>
  <si>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</si>
  <si>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</si>
  <si>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</si>
  <si>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</si>
  <si>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</si>
  <si>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</si>
  <si>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</si>
  <si>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</si>
  <si>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</si>
  <si>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</si>
  <si>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</si>
  <si>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</si>
  <si>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</si>
  <si>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</si>
  <si>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</si>
  <si>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</si>
  <si>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</si>
  <si>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</si>
  <si>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</si>
  <si>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</si>
  <si>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</si>
  <si>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</si>
  <si>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</si>
  <si>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</si>
  <si>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</si>
  <si>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</si>
  <si>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</si>
  <si>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</si>
  <si>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</si>
  <si>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</si>
  <si>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</si>
  <si>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</si>
  <si>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</si>
  <si>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</si>
  <si>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</si>
  <si>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</si>
  <si>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</si>
  <si>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</si>
  <si>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</si>
  <si>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</si>
  <si>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</si>
  <si>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</si>
  <si>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</si>
  <si>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</si>
  <si>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</si>
  <si>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</si>
  <si>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</si>
  <si>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</si>
  <si>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</si>
  <si>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</si>
  <si>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</si>
  <si>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</si>
  <si>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</si>
  <si>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</si>
  <si>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</si>
  <si>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</si>
  <si>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</si>
  <si>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</si>
  <si>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</si>
  <si>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</si>
  <si>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</si>
  <si>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</si>
  <si>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</si>
  <si>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</si>
  <si>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</si>
  <si>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</si>
  <si>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</si>
  <si>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</si>
  <si>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</si>
  <si>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</si>
  <si>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</si>
  <si>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</si>
  <si>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</si>
  <si>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</si>
  <si>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</si>
  <si>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</si>
  <si>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</si>
  <si>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</si>
  <si>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</si>
  <si>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</si>
  <si>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</si>
  <si>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</si>
  <si>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</si>
  <si>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</si>
  <si>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</si>
  <si>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</si>
  <si>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</si>
  <si>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</si>
  <si>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</si>
  <si>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</si>
  <si>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</si>
  <si>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</si>
  <si>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</si>
  <si>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</si>
  <si>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</si>
  <si>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</si>
  <si>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</si>
  <si>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</si>
  <si>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</si>
  <si>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</si>
  <si>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</si>
  <si>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</si>
  <si>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</si>
  <si>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</si>
  <si>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</si>
  <si>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</si>
  <si>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</si>
  <si>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</si>
  <si>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</si>
  <si>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</si>
  <si>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</si>
  <si>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</si>
  <si>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</si>
  <si>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</si>
  <si>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</si>
  <si>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</si>
  <si>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</si>
  <si>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</si>
  <si>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</si>
  <si>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</si>
  <si>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</si>
  <si>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</si>
  <si>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</si>
  <si>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</si>
  <si>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</si>
  <si>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</si>
  <si>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</si>
  <si>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</si>
  <si>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</si>
  <si>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</si>
  <si>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</si>
  <si>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</si>
  <si>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</si>
  <si>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</si>
  <si>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</si>
  <si>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</si>
  <si>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</si>
  <si>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</si>
  <si>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</si>
  <si>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</si>
  <si>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</si>
  <si>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</si>
  <si>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</si>
  <si>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</si>
  <si>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</si>
  <si>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</si>
  <si>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</si>
  <si>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</si>
  <si>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</si>
  <si>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</si>
  <si>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</si>
  <si>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</si>
  <si>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</si>
  <si>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</si>
  <si>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</si>
  <si>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</si>
  <si>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</si>
  <si>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</si>
  <si>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</si>
  <si>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</si>
  <si>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</si>
  <si>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</si>
  <si>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</si>
  <si>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</si>
  <si>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</si>
  <si>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</si>
  <si>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</si>
  <si>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</si>
  <si>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</si>
  <si>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</si>
  <si>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</si>
  <si>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</si>
  <si>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</si>
  <si>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</si>
  <si>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</si>
  <si>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</si>
  <si>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</si>
  <si>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</si>
  <si>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</si>
  <si>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</si>
  <si>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</si>
  <si>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</si>
  <si>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</si>
  <si>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</si>
  <si>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</si>
  <si>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</si>
  <si>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</si>
  <si>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</si>
  <si>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</si>
  <si>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</si>
  <si>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</si>
  <si>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</si>
  <si>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</si>
  <si>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</si>
  <si>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</si>
  <si>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</si>
  <si>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</si>
  <si>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</si>
  <si>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</si>
  <si>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</si>
  <si>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</si>
  <si>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</si>
  <si>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</si>
  <si>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</si>
  <si>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</si>
  <si>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</si>
  <si>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</si>
  <si>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</si>
  <si>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</si>
  <si>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</si>
  <si>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</si>
  <si>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</si>
  <si>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</si>
  <si>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</si>
  <si>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</si>
  <si>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</si>
  <si>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</si>
  <si>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</si>
  <si>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</si>
  <si>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</si>
  <si>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</si>
  <si>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</si>
  <si>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</si>
  <si>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</si>
  <si>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</si>
  <si>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</si>
  <si>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</si>
  <si>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</si>
  <si>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</si>
  <si>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</si>
  <si>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</si>
  <si>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</si>
  <si>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</si>
  <si>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</si>
  <si>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</si>
  <si>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</si>
  <si>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</si>
  <si>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</si>
  <si>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</si>
  <si>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</si>
  <si>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</si>
  <si>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</si>
  <si>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</si>
  <si>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</si>
  <si>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</si>
  <si>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</si>
  <si>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</si>
  <si>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</si>
  <si>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</si>
  <si>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</si>
  <si>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</si>
  <si>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</si>
  <si>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</si>
  <si>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</si>
  <si>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</si>
  <si>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</si>
  <si>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</si>
  <si>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</si>
  <si>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</si>
  <si>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</si>
  <si>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</si>
  <si>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</si>
  <si>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</si>
  <si>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</si>
  <si>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</si>
  <si>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</si>
  <si>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</si>
  <si>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</si>
  <si>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</si>
  <si>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</si>
  <si>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</si>
  <si>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</si>
  <si>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</si>
  <si>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</si>
  <si>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</si>
  <si>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</si>
  <si>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</si>
  <si>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</si>
  <si>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</si>
  <si>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</si>
  <si>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</si>
  <si>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</si>
  <si>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</si>
  <si>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</si>
  <si>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</si>
  <si>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</si>
  <si>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</si>
  <si>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</si>
  <si>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</si>
  <si>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</si>
  <si>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</si>
  <si>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</si>
  <si>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</si>
  <si>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</si>
  <si>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</si>
  <si>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</si>
  <si>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</si>
  <si>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</si>
  <si>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</si>
  <si>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</si>
  <si>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</si>
  <si>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</si>
  <si>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</si>
  <si>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</si>
  <si>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</si>
  <si>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</si>
  <si>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</si>
  <si>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</si>
  <si>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</si>
  <si>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</si>
  <si>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</si>
  <si>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</si>
  <si>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</si>
  <si>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</si>
  <si>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</si>
  <si>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</si>
  <si>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</si>
  <si>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</si>
  <si>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</si>
  <si>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</si>
  <si>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</si>
  <si>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</si>
  <si>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</si>
  <si>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</si>
  <si>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</si>
  <si>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</si>
  <si>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</si>
  <si>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</si>
  <si>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</si>
  <si>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</si>
  <si>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</si>
  <si>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</si>
  <si>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</si>
  <si>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</si>
  <si>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</si>
  <si>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</si>
  <si>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</si>
  <si>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</si>
  <si>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</si>
  <si>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</si>
  <si>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</si>
  <si>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</si>
  <si>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</si>
  <si>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</si>
  <si>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</si>
  <si>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</si>
  <si>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</si>
  <si>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</si>
  <si>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</si>
  <si>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</si>
  <si>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</si>
  <si>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</si>
  <si>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</si>
  <si>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</si>
  <si>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</si>
  <si>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</si>
  <si>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</si>
  <si>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</si>
  <si>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</si>
  <si>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</si>
  <si>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</si>
  <si>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</si>
  <si>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</si>
  <si>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</si>
  <si>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</si>
  <si>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</si>
  <si>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</si>
  <si>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</si>
  <si>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</si>
  <si>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</si>
  <si>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</si>
  <si>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</si>
  <si>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</si>
  <si>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</si>
  <si>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</si>
  <si>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</si>
  <si>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</si>
  <si>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</si>
  <si>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</si>
  <si>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</si>
  <si>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</si>
  <si>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</si>
  <si>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</si>
  <si>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</si>
  <si>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</si>
  <si>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</si>
  <si>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</si>
  <si>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</si>
  <si>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</si>
  <si>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</si>
  <si>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</si>
  <si>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</si>
  <si>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</si>
  <si>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</si>
  <si>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</si>
  <si>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</si>
  <si>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</si>
  <si>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</si>
  <si>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</si>
  <si>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</si>
  <si>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</si>
  <si>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</si>
  <si>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</si>
  <si>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</si>
  <si>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</si>
  <si>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</si>
  <si>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</si>
  <si>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</si>
  <si>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</si>
  <si>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</si>
  <si>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</si>
  <si>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</si>
  <si>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</si>
  <si>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</si>
  <si>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</si>
  <si>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</si>
  <si>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</si>
  <si>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</si>
  <si>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</si>
  <si>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</si>
  <si>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</si>
  <si>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</si>
  <si>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</si>
  <si>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</si>
  <si>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</si>
  <si>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</si>
  <si>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</si>
  <si>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</si>
  <si>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</si>
  <si>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</si>
  <si>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</si>
  <si>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</si>
  <si>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</si>
  <si>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</si>
  <si>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</si>
  <si>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</si>
  <si>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</si>
  <si>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</si>
  <si>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</si>
  <si>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</si>
  <si>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</si>
  <si>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</si>
  <si>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</si>
  <si>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</si>
  <si>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</si>
  <si>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</si>
  <si>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</si>
  <si>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</si>
  <si>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</si>
  <si>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</si>
  <si>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</si>
  <si>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</si>
  <si>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</si>
  <si>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</si>
  <si>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</si>
  <si>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</si>
  <si>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</si>
  <si>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</si>
  <si>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</si>
  <si>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</si>
  <si>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</si>
  <si>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</si>
  <si>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</si>
  <si>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</si>
  <si>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</si>
  <si>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</si>
  <si>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</si>
  <si>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</si>
  <si>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</si>
  <si>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</si>
  <si>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</si>
  <si>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</si>
  <si>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</si>
  <si>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</si>
  <si>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</si>
  <si>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</si>
  <si>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</si>
  <si>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</si>
  <si>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</si>
  <si>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</si>
  <si>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</si>
  <si>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</si>
  <si>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</si>
  <si>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</si>
  <si>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</si>
  <si>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</si>
  <si>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</si>
  <si>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</si>
  <si>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</si>
  <si>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</si>
  <si>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</si>
  <si>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</si>
  <si>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</si>
  <si>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</si>
  <si>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</si>
  <si>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</si>
  <si>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</si>
  <si>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</si>
  <si>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</si>
  <si>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</si>
  <si>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</si>
  <si>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</si>
  <si>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</si>
  <si>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</si>
  <si>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</si>
  <si>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</si>
  <si>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</si>
  <si>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</si>
  <si>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</si>
  <si>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</si>
  <si>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</si>
  <si>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</si>
  <si>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</si>
  <si>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</si>
  <si>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</si>
  <si>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</si>
  <si>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</si>
  <si>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</si>
  <si>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</si>
  <si>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</si>
  <si>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</si>
  <si>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</si>
  <si>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</si>
  <si>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</si>
  <si>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</si>
  <si>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</si>
  <si>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</si>
  <si>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</si>
  <si>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</si>
  <si>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</si>
  <si>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</si>
  <si>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</si>
  <si>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</si>
  <si>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</si>
  <si>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</si>
  <si>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</si>
  <si>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</si>
  <si>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</si>
  <si>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</si>
  <si>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</si>
  <si>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</si>
  <si>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</si>
  <si>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</si>
  <si>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</si>
  <si>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</si>
  <si>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</si>
  <si>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</si>
  <si>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</si>
  <si>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</si>
  <si>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</si>
  <si>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</si>
  <si>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</si>
  <si>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</si>
  <si>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</si>
  <si>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</si>
  <si>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</si>
  <si>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</si>
  <si>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</si>
  <si>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</si>
  <si>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</si>
  <si>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</si>
  <si>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</si>
  <si>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</si>
  <si>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</si>
  <si>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</si>
  <si>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</si>
  <si>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</si>
  <si>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</si>
  <si>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</si>
  <si>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</si>
  <si>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</si>
  <si>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</si>
  <si>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</si>
  <si>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</si>
  <si>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</si>
  <si>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</si>
  <si>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</si>
  <si>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</si>
  <si>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</si>
  <si>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</si>
  <si>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</si>
  <si>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</si>
  <si>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</si>
  <si>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</si>
  <si>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</si>
  <si>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</si>
  <si>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</si>
  <si>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</si>
  <si>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</si>
  <si>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</si>
  <si>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</si>
  <si>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</si>
  <si>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</si>
  <si>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</si>
  <si>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</si>
  <si>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</si>
  <si>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</si>
  <si>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</si>
  <si>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</si>
  <si>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</si>
  <si>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</si>
  <si>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</si>
  <si>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</si>
  <si>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</si>
  <si>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</si>
  <si>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</si>
  <si>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</si>
  <si>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</si>
  <si>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</si>
  <si>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</si>
  <si>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</si>
  <si>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</si>
  <si>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</si>
  <si>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</si>
  <si>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</si>
  <si>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</si>
  <si>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</si>
  <si>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</si>
  <si>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</si>
  <si>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</si>
  <si>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</si>
  <si>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</si>
  <si>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</si>
  <si>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</si>
  <si>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</si>
  <si>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</si>
  <si>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</si>
  <si>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</si>
  <si>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</si>
  <si>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</si>
  <si>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</si>
  <si>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</si>
  <si>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</si>
  <si>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</si>
  <si>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</si>
  <si>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</si>
  <si>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</si>
  <si>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</si>
  <si>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</si>
  <si>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</si>
  <si>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</si>
  <si>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</si>
  <si>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</si>
  <si>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</si>
  <si>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</si>
  <si>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</si>
  <si>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</si>
  <si>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</si>
  <si>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</si>
  <si>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</si>
  <si>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</si>
  <si>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</si>
  <si>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</si>
  <si>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</si>
  <si>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</si>
  <si>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</si>
  <si>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</si>
  <si>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</si>
  <si>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</si>
  <si>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</si>
  <si>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</si>
  <si>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</si>
  <si>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</si>
  <si>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</si>
  <si>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</si>
  <si>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</si>
  <si>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</si>
  <si>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</si>
  <si>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</si>
  <si>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</si>
  <si>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</si>
  <si>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</si>
  <si>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</si>
  <si>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</si>
  <si>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</si>
  <si>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</si>
  <si>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</si>
  <si>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</si>
  <si>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</si>
  <si>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</si>
  <si>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</si>
  <si>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</si>
  <si>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</si>
  <si>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</si>
  <si>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</si>
  <si>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</si>
  <si>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</si>
  <si>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</si>
  <si>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</si>
  <si>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</si>
  <si>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</si>
  <si>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</si>
  <si>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</si>
  <si>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</si>
  <si>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</si>
  <si>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</si>
  <si>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</si>
  <si>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</si>
  <si>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</si>
  <si>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</si>
  <si>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</si>
  <si>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</si>
  <si>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</si>
  <si>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</si>
  <si>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</si>
  <si>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</si>
  <si>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</si>
  <si>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</si>
  <si>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</si>
  <si>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</si>
  <si>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</si>
  <si>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</si>
  <si>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</si>
  <si>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</si>
  <si>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</si>
  <si>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</si>
  <si>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</si>
  <si>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</si>
  <si>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</si>
  <si>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</si>
  <si>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</si>
  <si>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</si>
  <si>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</si>
  <si>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</si>
  <si>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</si>
  <si>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</si>
  <si>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</si>
  <si>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</si>
  <si>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</si>
  <si>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</si>
  <si>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</si>
  <si>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</si>
  <si>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</si>
  <si>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</si>
  <si>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</si>
  <si>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</si>
  <si>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</si>
  <si>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</si>
  <si>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</si>
  <si>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</si>
  <si>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</si>
  <si>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</si>
  <si>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</si>
  <si>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</si>
  <si>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</si>
  <si>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</si>
  <si>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</si>
  <si>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</si>
  <si>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</si>
  <si>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</si>
  <si>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</si>
  <si>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</si>
  <si>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</si>
  <si>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</si>
  <si>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</si>
  <si>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</si>
  <si>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</si>
  <si>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</si>
  <si>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</si>
  <si>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</si>
  <si>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</si>
  <si>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</si>
  <si>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</si>
  <si>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</si>
  <si>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</si>
  <si>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</si>
  <si>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</si>
  <si>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</si>
  <si>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</si>
  <si>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</si>
  <si>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</si>
  <si>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</si>
  <si>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</si>
  <si>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</si>
  <si>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</si>
  <si>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</si>
  <si>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</si>
  <si>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</si>
  <si>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</si>
  <si>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</si>
  <si>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</si>
  <si>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</si>
  <si>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</si>
  <si>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</si>
  <si>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</si>
  <si>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</si>
  <si>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</si>
  <si>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</si>
  <si>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</si>
  <si>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</si>
  <si>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</si>
  <si>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</si>
  <si>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</si>
  <si>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</si>
  <si>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</si>
  <si>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</si>
  <si>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</si>
  <si>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</si>
  <si>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</si>
  <si>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</si>
  <si>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</si>
  <si>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</si>
  <si>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</si>
  <si>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</si>
  <si>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</si>
  <si>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</si>
  <si>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</si>
  <si>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</si>
  <si>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</si>
  <si>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</si>
  <si>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</si>
  <si>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</si>
  <si>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</si>
  <si>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</si>
  <si>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</si>
  <si>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</si>
  <si>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</si>
  <si>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</si>
  <si>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</si>
  <si>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</si>
  <si>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</si>
  <si>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</si>
  <si>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</si>
  <si>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</si>
  <si>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</si>
  <si>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</si>
  <si>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</si>
  <si>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</si>
  <si>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</si>
  <si>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</si>
  <si>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</si>
  <si>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</si>
  <si>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</si>
  <si>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</si>
  <si>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</si>
  <si>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</si>
  <si>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</si>
  <si>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</si>
  <si>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</si>
  <si>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</si>
  <si>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</si>
  <si>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</si>
  <si>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</si>
  <si>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</si>
  <si>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</si>
  <si>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</si>
  <si>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</si>
  <si>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</si>
  <si>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</si>
  <si>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</si>
  <si>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</si>
  <si>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</si>
  <si>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</si>
  <si>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</si>
  <si>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</si>
  <si>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</si>
  <si>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</si>
  <si>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</si>
  <si>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</si>
  <si>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</si>
  <si>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</si>
  <si>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</si>
  <si>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</si>
  <si>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</si>
  <si>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</si>
  <si>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</si>
  <si>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</si>
  <si>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</si>
  <si>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</si>
  <si>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</si>
  <si>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</si>
  <si>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</si>
  <si>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</si>
  <si>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</si>
  <si>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</si>
  <si>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</si>
  <si>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</si>
  <si>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</si>
  <si>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</si>
  <si>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</si>
  <si>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</si>
  <si>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</si>
  <si>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</si>
  <si>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</si>
  <si>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</si>
  <si>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</si>
  <si>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</si>
  <si>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</si>
  <si>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</si>
  <si>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</si>
  <si>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</si>
  <si>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</si>
  <si>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</si>
  <si>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</si>
  <si>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</si>
  <si>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</si>
  <si>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</si>
  <si>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</si>
  <si>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</si>
  <si>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</si>
  <si>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</si>
  <si>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</si>
  <si>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</si>
  <si>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</si>
  <si>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</si>
  <si>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</si>
  <si>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</si>
  <si>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</si>
  <si>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</si>
  <si>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</si>
  <si>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</si>
  <si>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</si>
  <si>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</si>
  <si>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</si>
  <si>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</si>
  <si>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</si>
  <si>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</si>
  <si>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</si>
  <si>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</si>
  <si>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</si>
  <si>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</si>
  <si>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</si>
  <si>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</si>
  <si>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</si>
  <si>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</si>
  <si>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</si>
  <si>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</si>
  <si>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</si>
  <si>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</si>
  <si>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</si>
  <si>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</si>
  <si>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</si>
  <si>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</si>
  <si>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</si>
  <si>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</si>
  <si>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</si>
  <si>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</si>
  <si>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</si>
  <si>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</si>
  <si>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</si>
  <si>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</si>
  <si>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</si>
  <si>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</si>
  <si>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</si>
  <si>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</si>
  <si>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</si>
  <si>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</si>
  <si>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</si>
  <si>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</si>
  <si>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</si>
  <si>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</si>
  <si>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</si>
  <si>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</si>
  <si>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</si>
  <si>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</si>
  <si>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</si>
  <si>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</si>
  <si>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</si>
  <si>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</si>
  <si>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</si>
  <si>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</si>
  <si>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</si>
  <si>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</si>
  <si>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</si>
  <si>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</si>
  <si>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</si>
  <si>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</si>
  <si>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</si>
  <si>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</si>
  <si>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</si>
  <si>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</si>
  <si>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</si>
  <si>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</si>
  <si>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</si>
  <si>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</si>
  <si>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</si>
  <si>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</si>
  <si>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</si>
  <si>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</si>
  <si>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</si>
  <si>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</si>
  <si>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</si>
  <si>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</si>
  <si>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</si>
  <si>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</si>
  <si>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</si>
  <si>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</si>
  <si>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</si>
  <si>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</si>
  <si>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</si>
  <si>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</si>
  <si>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</si>
  <si>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</si>
  <si>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</si>
  <si>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</si>
  <si>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</si>
  <si>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</si>
  <si>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</si>
  <si>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</si>
  <si>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</si>
  <si>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</si>
  <si>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</si>
  <si>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</si>
  <si>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</si>
  <si>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</si>
  <si>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</si>
  <si>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</si>
  <si>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</si>
  <si>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</si>
  <si>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</si>
  <si>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</si>
  <si>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</si>
  <si>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</si>
  <si>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</si>
  <si>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</si>
  <si>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</si>
  <si>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</si>
  <si>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</si>
  <si>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</si>
  <si>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</si>
  <si>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</si>
  <si>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</si>
  <si>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</si>
  <si>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</si>
  <si>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</si>
  <si>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</si>
  <si>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</si>
  <si>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</si>
  <si>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</si>
  <si>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</si>
  <si>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</si>
  <si>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</si>
  <si>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</si>
  <si>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</si>
  <si>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</si>
  <si>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</si>
  <si>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</si>
  <si>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</si>
  <si>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</si>
  <si>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</si>
  <si>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</si>
  <si>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</si>
  <si>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</si>
  <si>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</si>
  <si>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</si>
  <si>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</si>
  <si>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</si>
  <si>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</si>
  <si>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</si>
  <si>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</si>
  <si>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</si>
  <si>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</si>
  <si>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</si>
  <si>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</si>
  <si>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</si>
  <si>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</si>
  <si>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</si>
  <si>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</si>
  <si>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</si>
  <si>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</si>
  <si>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</si>
  <si>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</si>
  <si>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</si>
  <si>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</si>
  <si>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</si>
  <si>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</si>
  <si>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</si>
  <si>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</si>
  <si>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</si>
  <si>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</si>
  <si>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</si>
  <si>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</si>
  <si>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</si>
  <si>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</si>
  <si>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</si>
  <si>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</si>
  <si>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</si>
  <si>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</si>
  <si>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</si>
  <si>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</si>
  <si>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</si>
  <si>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</si>
  <si>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</si>
  <si>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</si>
  <si>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</si>
  <si>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</si>
  <si>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</si>
  <si>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</si>
  <si>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</si>
  <si>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</si>
  <si>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</si>
  <si>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</si>
  <si>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</si>
  <si>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</si>
  <si>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</si>
  <si>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</si>
  <si>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</si>
  <si>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</si>
  <si>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</si>
  <si>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</si>
  <si>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</si>
  <si>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</si>
  <si>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</si>
  <si>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</si>
  <si>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</si>
  <si>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</si>
  <si>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</si>
  <si>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</si>
  <si>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</si>
  <si>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</si>
  <si>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</si>
  <si>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</si>
  <si>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</si>
  <si>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</si>
  <si>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</si>
  <si>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</si>
  <si>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</si>
  <si>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</si>
  <si>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</si>
  <si>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</si>
  <si>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</si>
  <si>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</si>
  <si>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</si>
  <si>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</si>
  <si>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</si>
  <si>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</si>
  <si>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</si>
  <si>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</si>
  <si>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</si>
  <si>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</si>
  <si>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</si>
  <si>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</si>
  <si>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</si>
  <si>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</si>
  <si>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</si>
  <si>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</si>
  <si>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</si>
  <si>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</si>
  <si>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</si>
  <si>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</si>
  <si>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</si>
  <si>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</si>
  <si>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</si>
  <si>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</si>
  <si>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</si>
  <si>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</si>
  <si>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</si>
  <si>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</si>
  <si>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</si>
  <si>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</si>
  <si>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</si>
  <si>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</si>
  <si>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</si>
  <si>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</si>
  <si>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</si>
  <si>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</si>
  <si>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</si>
  <si>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</si>
  <si>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</si>
  <si>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</si>
  <si>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</si>
  <si>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</si>
  <si>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</si>
  <si>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</si>
  <si>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</si>
  <si>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</si>
  <si>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</si>
  <si>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</si>
  <si>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</si>
  <si>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</si>
  <si>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</si>
  <si>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</si>
  <si>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</si>
  <si>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</si>
  <si>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</si>
  <si>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</si>
  <si>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</si>
  <si>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</si>
  <si>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</si>
  <si>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</si>
  <si>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</si>
  <si>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</si>
  <si>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</si>
  <si>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</si>
  <si>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</si>
  <si>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</si>
  <si>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</si>
  <si>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</si>
  <si>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</si>
  <si>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</si>
  <si>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Ⅶ-兴1</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</si>
  <si>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</si>
  <si>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</si>
  <si>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</si>
  <si>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</si>
  <si>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</si>
  <si>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</si>
  <si>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</si>
  <si>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</si>
  <si>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</si>
  <si>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</si>
  <si>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</si>
  <si>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</si>
  <si>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</si>
  <si>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</si>
  <si>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</si>
  <si>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</si>
  <si>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</si>
  <si>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</si>
  <si>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</si>
  <si>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</si>
  <si>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</si>
  <si>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</si>
  <si>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</si>
  <si>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</si>
  <si>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</si>
  <si>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</si>
  <si>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</si>
  <si>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</si>
  <si>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</si>
  <si>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</si>
  <si>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</si>
  <si>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</si>
  <si>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</si>
  <si>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</si>
  <si>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</si>
  <si>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</si>
  <si>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</si>
  <si>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</si>
  <si>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</si>
  <si>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</si>
  <si>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</si>
  <si>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</si>
  <si>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</si>
  <si>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</si>
  <si>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</si>
  <si>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</si>
  <si>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</si>
  <si>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</si>
  <si>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</si>
  <si>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</si>
  <si>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</si>
  <si>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</si>
  <si>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</si>
  <si>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</si>
  <si>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</si>
  <si>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</si>
  <si>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</si>
  <si>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</si>
  <si>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</si>
  <si>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</si>
  <si>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</si>
  <si>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</si>
  <si>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</si>
  <si>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</si>
  <si>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</si>
  <si>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</si>
  <si>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</si>
  <si>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</si>
  <si>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</si>
  <si>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</si>
  <si>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</si>
  <si>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</si>
  <si>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</si>
  <si>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</si>
  <si>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</si>
  <si>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</si>
  <si>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</si>
  <si>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</si>
  <si>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</si>
  <si>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</si>
  <si>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</si>
  <si>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</si>
  <si>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</si>
  <si>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</si>
  <si>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</si>
  <si>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</si>
  <si>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</si>
  <si>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</si>
  <si>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</si>
  <si>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</si>
  <si>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</si>
  <si>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</si>
  <si>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</si>
  <si>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</si>
  <si>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</si>
  <si>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</si>
  <si>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</si>
  <si>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</si>
  <si>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</si>
  <si>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</si>
  <si>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</si>
  <si>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</si>
  <si>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</si>
  <si>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</si>
  <si>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</si>
  <si>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</si>
  <si>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</si>
  <si>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</si>
  <si>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</si>
  <si>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</si>
  <si>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</si>
  <si>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</si>
  <si>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</si>
  <si>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</si>
  <si>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</si>
  <si>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</si>
  <si>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</si>
  <si>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</si>
  <si>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</si>
  <si>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</si>
  <si>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</si>
  <si>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</si>
  <si>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</si>
  <si>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</si>
  <si>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</si>
  <si>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</si>
  <si>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</si>
  <si>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</si>
  <si>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</si>
  <si>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</si>
  <si>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</si>
  <si>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</si>
  <si>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</si>
  <si>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</si>
  <si>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</si>
  <si>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</si>
  <si>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</si>
  <si>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</si>
  <si>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</si>
  <si>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</si>
  <si>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</si>
  <si>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</si>
  <si>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</si>
  <si>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</si>
  <si>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</si>
  <si>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</si>
  <si>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</si>
  <si>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</si>
  <si>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</si>
  <si>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</si>
  <si>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</si>
  <si>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</si>
  <si>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</si>
  <si>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</si>
  <si>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</si>
  <si>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</si>
  <si>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</si>
  <si>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</si>
  <si>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</si>
  <si>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</si>
  <si>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</si>
  <si>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</si>
  <si>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</si>
  <si>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</si>
  <si>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</si>
  <si>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</si>
  <si>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</si>
  <si>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</si>
  <si>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</si>
  <si>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</si>
  <si>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</si>
  <si>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</si>
  <si>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</si>
  <si>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</si>
  <si>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</si>
  <si>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</si>
  <si>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</si>
  <si>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</si>
  <si>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</si>
  <si>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</si>
  <si>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成本逼近</t>
    <phoneticPr fontId="229" type="noConversion"/>
  </si>
  <si>
    <t>单价</t>
    <phoneticPr fontId="229" type="noConversion"/>
  </si>
  <si>
    <t>剩余法-现房</t>
  </si>
  <si>
    <t>划拨</t>
  </si>
  <si>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</si>
  <si>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2020-2</t>
    <phoneticPr fontId="229" type="noConversion"/>
  </si>
  <si>
    <t>2020-4</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</si>
  <si>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</si>
  <si>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2020-3</t>
    <phoneticPr fontId="229" type="noConversion"/>
  </si>
  <si>
    <t>扣除增值收益率单价（15%）</t>
    <phoneticPr fontId="229" type="noConversion"/>
  </si>
  <si>
    <t>不动产收益法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</si>
</sst>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49" fontId="87" fillId="14" borderId="2" xfId="13" applyNumberFormat="1" applyFont="1" applyFill="1" applyBorder="1" applyAlignment="1" applyProtection="1">
      <alignment horizontal="center" vertical="center" wrapText="1"/>
    </xf>
    <xf numFmtId="185" fontId="239" fillId="14" borderId="0" xfId="13" applyNumberFormat="1" applyFont="1" applyFill="1" applyBorder="1" applyAlignment="1">
      <alignment horizontal="center" vertical="center"/>
    </xf>
    <xf numFmtId="0" fontId="158" fillId="0" borderId="122" xfId="13" applyFont="1" applyFill="1" applyBorder="1" applyAlignment="1">
      <alignment horizontal="center" vertical="center"/>
    </xf>
    <xf numFmtId="0" fontId="237" fillId="14" borderId="124" xfId="13" applyFont="1" applyFill="1" applyBorder="1" applyAlignment="1" applyProtection="1">
      <alignment horizontal="center" vertical="center" wrapText="1"/>
    </xf>
    <xf numFmtId="0" fontId="239" fillId="14" borderId="0" xfId="13" applyFont="1" applyFill="1" applyBorder="1" applyAlignment="1" applyProtection="1">
      <alignment horizontal="center" vertical="center"/>
      <protection locked="0"/>
    </xf>
    <xf numFmtId="0" fontId="158" fillId="14" borderId="0" xfId="13" applyFont="1" applyFill="1">
      <alignment vertical="center"/>
    </xf>
    <xf numFmtId="10" fontId="239" fillId="14" borderId="126" xfId="13" applyNumberFormat="1" applyFont="1" applyFill="1" applyBorder="1" applyAlignment="1">
      <alignment vertical="center"/>
    </xf>
    <xf numFmtId="0" fontId="158" fillId="14" borderId="0" xfId="13" applyFont="1" applyFill="1" applyAlignment="1">
      <alignment horizontal="center" vertical="center"/>
    </xf>
    <xf numFmtId="0" fontId="158" fillId="14" borderId="122" xfId="13" applyFont="1" applyFill="1" applyBorder="1" applyAlignment="1">
      <alignment horizontal="center" vertical="center"/>
    </xf>
    <xf numFmtId="0" fontId="153" fillId="14" borderId="0" xfId="13" applyFont="1" applyFill="1" applyAlignment="1">
      <alignment horizontal="center" vertical="center"/>
    </xf>
    <xf numFmtId="10" fontId="153" fillId="14" borderId="0" xfId="13" applyNumberFormat="1" applyFont="1" applyFill="1" applyAlignment="1">
      <alignment horizontal="center" vertical="center"/>
    </xf>
    <xf numFmtId="10" fontId="239" fillId="14" borderId="122" xfId="13" applyNumberFormat="1" applyFont="1" applyFill="1" applyBorder="1" applyAlignment="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2823;&#20852;&#20852;&#21326;&#22823;&#34903;-&#24037;&#19994;2020-10-30-&#26446;&#35799;&#38678;20201030-094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9" t="str">
            <v>市场价格</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2650</v>
      </c>
      <c r="B1" s="2843" t="s">
        <v>2747</v>
      </c>
    </row>
    <row r="2" spans="1:55" s="2847" customFormat="1" ht="15" thickTop="1">
      <c r="A2" s="2845" t="s">
        <v>2654</v>
      </c>
      <c r="B2" s="2846" t="str">
        <f>'预评函-封皮'!B37</f>
        <v>北京市划拨国有建设用地使用权市场价格预评估</v>
      </c>
      <c r="AX2" s="2848"/>
      <c r="AZ2" s="2848"/>
      <c r="BA2" s="2849"/>
      <c r="BC2" s="2849"/>
    </row>
    <row r="3" spans="1:55" s="2850" customFormat="1">
      <c r="A3" s="2829" t="s">
        <v>2655</v>
      </c>
      <c r="B3" s="2832">
        <f>'预评函-封皮'!B40</f>
        <v>0</v>
      </c>
    </row>
    <row r="4" spans="1:55" s="2831" customFormat="1">
      <c r="A4" s="2829" t="s">
        <v>2656</v>
      </c>
      <c r="B4" s="2830" t="str">
        <f>'预评函-封皮'!B46</f>
        <v>土地估价师、土地估价师</v>
      </c>
      <c r="N4" s="2831" t="str">
        <f>'预评函-1'!A28</f>
        <v>——</v>
      </c>
    </row>
    <row r="5" spans="1:55" s="2844" customFormat="1" ht="15" thickBot="1">
      <c r="A5" s="2851" t="s">
        <v>2657</v>
      </c>
      <c r="B5" s="2852" t="str">
        <f>'预评函-封皮'!B49</f>
        <v>康正预评字号</v>
      </c>
    </row>
    <row r="6" spans="1:55" s="2853" customFormat="1" ht="15" thickTop="1">
      <c r="A6" s="2845" t="s">
        <v>2699</v>
      </c>
      <c r="B6" s="2846" t="str">
        <f>'预评函-1'!A4</f>
        <v>受贵公司委托，我公司对北京市划拨国有建设用地使用权市场价格进行了预评估。</v>
      </c>
      <c r="AM6" s="2854"/>
    </row>
    <row r="7" spans="1:55" s="2828" customFormat="1">
      <c r="A7" s="2829" t="s">
        <v>2651</v>
      </c>
      <c r="B7" s="2830" t="str">
        <f>'预评函-1'!A6</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本次评估为委托估价方了解标的物之市场价格提供参考依据而评估划拨国有建设用地使用权市场价格。</v>
      </c>
    </row>
    <row r="10" spans="1:55" s="2828" customFormat="1">
      <c r="A10" s="2829" t="s">
        <v>2653</v>
      </c>
      <c r="B10" s="2830" t="str">
        <f>'预评函-1'!A11</f>
        <v>2020年10月30日（评估专业人员勘察现场之日）</v>
      </c>
    </row>
    <row r="11" spans="1:55" s="2828" customFormat="1">
      <c r="A11" s="2829" t="s">
        <v>2659</v>
      </c>
      <c r="B11" s="2830" t="str">
        <f>'预评函-1'!A14</f>
        <v>根据《国有土地使用证》[]，本次评估估价对象证载（地类）用途为。</v>
      </c>
    </row>
    <row r="12" spans="1:55" s="2828" customFormat="1">
      <c r="A12" s="2829" t="s">
        <v>2660</v>
      </c>
      <c r="B12" s="2830" t="str">
        <f>'预评函-1'!A15</f>
        <v>本次评估设定用途即为证载用途。</v>
      </c>
    </row>
    <row r="13" spans="1:55" s="2828" customFormat="1">
      <c r="A13" s="2829" t="s">
        <v>2661</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根据《国有土地使用证》[]，估价对象（分摊）出让国有建设用地使用权面积为96343.56平方米。根据《建设工程规划许可证》[]、《出让合同》[]，估价对象规划建筑面积为96343.56平方米。</v>
      </c>
    </row>
    <row r="16" spans="1:55" s="2828" customFormat="1">
      <c r="A16" s="2829" t="s">
        <v>2663</v>
      </c>
      <c r="B16" s="2830" t="str">
        <f>'预评函-1'!A22</f>
        <v>本次估价对象国有建设用地使用权类型为划拨，无土地使用年限限制。</v>
      </c>
    </row>
    <row r="17" spans="1:48" s="2828" customFormat="1">
      <c r="A17" s="2829" t="s">
        <v>2664</v>
      </c>
      <c r="B17" s="2830" t="str">
        <f>'预评函-1'!A23</f>
        <v/>
      </c>
    </row>
    <row r="18" spans="1:48" s="2828" customFormat="1">
      <c r="A18" s="2829" t="s">
        <v>2665</v>
      </c>
      <c r="B18" s="2830" t="str">
        <f>'预评函-1'!A25</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5" thickBot="1">
      <c r="A21" s="2851" t="s">
        <v>2668</v>
      </c>
      <c r="B21" s="2852" t="str">
        <f>'预评函-1'!A28</f>
        <v>——</v>
      </c>
    </row>
    <row r="22" spans="1:48" ht="15" thickTop="1">
      <c r="A22" s="2840" t="s">
        <v>2669</v>
      </c>
      <c r="B22" s="284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29" t="s">
        <v>2670</v>
      </c>
      <c r="B23" s="2830" t="str">
        <f>'预评函-2'!K2</f>
        <v>估价期日：2020年10月30日</v>
      </c>
    </row>
    <row r="24" spans="1:48">
      <c r="A24" s="2829" t="s">
        <v>2671</v>
      </c>
      <c r="B24" s="2830" t="str">
        <f>'预评函-2'!R2</f>
        <v>估价期日的国有建设用地使用权性质：划拨</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f>'预评函-2'!E5</f>
        <v>0</v>
      </c>
      <c r="AV32" s="2834"/>
    </row>
    <row r="33" spans="1:2">
      <c r="A33" s="2829" t="s">
        <v>2707</v>
      </c>
      <c r="B33" s="2830">
        <f>'预评函-2'!F5</f>
        <v>258</v>
      </c>
    </row>
    <row r="34" spans="1:2">
      <c r="A34" s="2829" t="s">
        <v>2708</v>
      </c>
      <c r="B34" s="2830">
        <f>'预评函-2'!G5</f>
        <v>0</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t="str">
        <f>'预评函-2'!M5</f>
        <v>——</v>
      </c>
    </row>
    <row r="42" spans="1:2">
      <c r="A42" s="2829" t="s">
        <v>2733</v>
      </c>
      <c r="B42" s="2830" t="str">
        <f>'预评函-2'!N3</f>
        <v>（分摊）划拨国有建设用地使用权面积/㎡</v>
      </c>
    </row>
    <row r="43" spans="1:2">
      <c r="A43" s="2829" t="s">
        <v>2715</v>
      </c>
      <c r="B43" s="2830">
        <f>'预评函-2'!N5</f>
        <v>96343.56</v>
      </c>
    </row>
    <row r="44" spans="1:2">
      <c r="A44" s="2829" t="s">
        <v>2734</v>
      </c>
      <c r="B44" s="2830" t="str">
        <f>'预评函-2'!O3</f>
        <v>规划建筑面积/㎡</v>
      </c>
    </row>
    <row r="45" spans="1:2">
      <c r="A45" s="2829" t="s">
        <v>2716</v>
      </c>
      <c r="B45" s="2830">
        <f>'预评函-2'!O5</f>
        <v>96343.56</v>
      </c>
    </row>
    <row r="46" spans="1:2">
      <c r="A46" s="2829" t="s">
        <v>2717</v>
      </c>
      <c r="B46" s="2830">
        <f ca="1">'预评函-2'!P5</f>
        <v>4429</v>
      </c>
    </row>
    <row r="47" spans="1:2">
      <c r="A47" s="2829" t="s">
        <v>2718</v>
      </c>
      <c r="B47" s="2830">
        <f ca="1">'预评函-2'!Q5</f>
        <v>4429</v>
      </c>
    </row>
    <row r="48" spans="1:2">
      <c r="A48" s="2829" t="s">
        <v>2719</v>
      </c>
      <c r="B48" s="2830">
        <f ca="1">'预评函-2'!R5</f>
        <v>42672</v>
      </c>
    </row>
    <row r="49" spans="1:2">
      <c r="A49" s="2829" t="s">
        <v>2735</v>
      </c>
      <c r="B49" s="2830" t="str">
        <f>'预评函-2'!A6</f>
        <v>——</v>
      </c>
    </row>
    <row r="50" spans="1:2">
      <c r="A50" s="2829" t="s">
        <v>2720</v>
      </c>
      <c r="B50" s="2830" t="str">
        <f>'预评函-2'!R6</f>
        <v>——</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5" thickBot="1">
      <c r="A54" s="2851" t="s">
        <v>2722</v>
      </c>
      <c r="B54" s="2852" t="str">
        <f>'预评函-2'!R8</f>
        <v>——</v>
      </c>
    </row>
    <row r="55" spans="1:2" ht="15"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5" thickBot="1">
      <c r="A58" s="2851" t="s">
        <v>2723</v>
      </c>
      <c r="B58" s="2852" t="str">
        <f>'预评函-3'!A5</f>
        <v>4.影响价格的其他限定条件：无。</v>
      </c>
    </row>
    <row r="59" spans="1:2" ht="15" thickTop="1">
      <c r="A59" s="2840" t="s">
        <v>2675</v>
      </c>
      <c r="B59" s="2841" t="str">
        <f>'预评函-3'!A8</f>
        <v>2.本次评估设定估价对象宗地权属无争议，未被查封或者以其他形式限制其房地产权利，未设定抵押权等他项权利，不涉及第三方权利义务。</v>
      </c>
    </row>
    <row r="60" spans="1:2">
      <c r="A60" s="2829" t="s">
        <v>2676</v>
      </c>
      <c r="B60" s="2830" t="str">
        <f>'预评函-3'!A9</f>
        <v>——</v>
      </c>
    </row>
    <row r="61" spans="1:2">
      <c r="A61" s="2829" t="s">
        <v>2678</v>
      </c>
      <c r="B61" s="2830" t="str">
        <f>'预评函-3'!A10</f>
        <v>——</v>
      </c>
    </row>
    <row r="62" spans="1:2">
      <c r="A62" s="2829" t="s">
        <v>2677</v>
      </c>
      <c r="B62" s="2830" t="str">
        <f>'预评函-3'!A11</f>
        <v>——</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v>
      </c>
    </row>
    <row r="66" spans="1:2">
      <c r="A66" s="2829" t="s">
        <v>2682</v>
      </c>
      <c r="B66" s="28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2686</v>
      </c>
      <c r="B68" s="2855">
        <f>'预评函-3'!D30</f>
        <v>42558</v>
      </c>
    </row>
    <row r="69" spans="1:2" ht="15" thickTop="1">
      <c r="A69" s="2840" t="s">
        <v>2684</v>
      </c>
      <c r="B69" s="2841" t="str">
        <f>'预评函-3'!A20</f>
        <v>土地估价师</v>
      </c>
    </row>
    <row r="70" spans="1:2">
      <c r="A70" s="2829" t="s">
        <v>2684</v>
      </c>
      <c r="B70" s="2836">
        <f>'预评函-3'!B20</f>
        <v>0</v>
      </c>
    </row>
    <row r="71" spans="1:2">
      <c r="A71" s="2829" t="s">
        <v>2685</v>
      </c>
      <c r="B71" s="2830" t="str">
        <f>'预评函-3'!A21</f>
        <v>土地估价师</v>
      </c>
    </row>
    <row r="72" spans="1:2" s="2844" customFormat="1" ht="15" thickBot="1">
      <c r="A72" s="2851" t="s">
        <v>2685</v>
      </c>
      <c r="B72" s="2857">
        <f>'预评函-3'!B21</f>
        <v>0</v>
      </c>
    </row>
    <row r="73" spans="1:2" ht="15"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2780</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4.8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74" t="str">
        <f>IF(B10="北京市","北京市",C10)&amp;F10&amp;B16&amp;"国有建设用地使用权"&amp;B9&amp;"预评估"</f>
        <v>北京市划拨国有建设用地使用权市场价格预评估</v>
      </c>
      <c r="C1" s="3275"/>
      <c r="D1" s="3275"/>
      <c r="E1" s="3275"/>
      <c r="F1" s="3275"/>
      <c r="G1" s="3275"/>
      <c r="H1" s="3275"/>
      <c r="I1" s="3276"/>
      <c r="J1" s="1676"/>
      <c r="K1" s="2417" t="str">
        <f>IF(B10="北京市","北京市",C10)&amp;F10&amp;B16&amp;"国有建设用地使用权"&amp;B9</f>
        <v>北京市划拨国有建设用地使用权市场价格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北京市划拨国有建设用地使用权</v>
      </c>
      <c r="L2" s="1705"/>
      <c r="M2" s="1705"/>
      <c r="N2" s="1676"/>
      <c r="O2" s="1677"/>
      <c r="P2" s="1676"/>
      <c r="Q2" s="1676"/>
      <c r="R2" s="1676"/>
      <c r="S2" s="1676"/>
      <c r="T2" s="1676"/>
      <c r="U2" s="1676"/>
    </row>
    <row r="3" spans="1:21">
      <c r="A3" s="1643" t="s">
        <v>1935</v>
      </c>
      <c r="B3" s="1644">
        <v>44134</v>
      </c>
      <c r="C3" s="1645" t="s">
        <v>1991</v>
      </c>
      <c r="D3" s="1644">
        <f>B3</f>
        <v>44134</v>
      </c>
      <c r="E3" s="1676"/>
      <c r="F3" s="1676"/>
      <c r="G3" s="1676"/>
      <c r="H3" s="1642"/>
      <c r="I3" s="1677"/>
      <c r="J3" s="1676"/>
      <c r="K3" s="1756"/>
      <c r="L3" s="1705"/>
      <c r="M3" s="1705"/>
      <c r="N3" s="1676"/>
      <c r="O3" s="1677"/>
      <c r="P3" s="1676"/>
      <c r="Q3" s="1676"/>
      <c r="R3" s="1676"/>
      <c r="S3" s="1676"/>
      <c r="T3" s="1676"/>
      <c r="U3" s="1676"/>
    </row>
    <row r="4" spans="1:21" ht="1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7"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2992</v>
      </c>
      <c r="C8" s="1653"/>
      <c r="D8" s="3280"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2993</v>
      </c>
      <c r="C9" s="1657"/>
      <c r="D9" s="3281"/>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77"/>
      <c r="C12" s="3278"/>
      <c r="D12" s="3279"/>
      <c r="E12" s="1681" t="s">
        <v>2057</v>
      </c>
      <c r="F12" s="3295" t="s">
        <v>2882</v>
      </c>
      <c r="G12" s="3296"/>
      <c r="H12" s="3296"/>
      <c r="I12" s="3297"/>
      <c r="J12" s="1676"/>
      <c r="K12" s="1756"/>
      <c r="L12" s="1705"/>
      <c r="M12" s="1705"/>
      <c r="N12" s="1676"/>
      <c r="O12" s="1677"/>
      <c r="P12" s="1676"/>
      <c r="Q12" s="1676"/>
      <c r="R12" s="1676"/>
      <c r="S12" s="1676"/>
      <c r="T12" s="1676"/>
      <c r="U12" s="1676"/>
    </row>
    <row r="13" spans="1:21">
      <c r="A13" s="1669" t="s">
        <v>2055</v>
      </c>
      <c r="B13" s="3277"/>
      <c r="C13" s="3278"/>
      <c r="D13" s="3279"/>
      <c r="E13" s="1681" t="s">
        <v>2057</v>
      </c>
      <c r="F13" s="3295" t="s">
        <v>2883</v>
      </c>
      <c r="G13" s="3296"/>
      <c r="H13" s="3296"/>
      <c r="I13" s="3297"/>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3179</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工业2070年7月1日</v>
      </c>
    </row>
    <row r="17" spans="1:21">
      <c r="A17" s="1745"/>
      <c r="B17" s="1664"/>
      <c r="C17" s="1665" t="s">
        <v>1951</v>
      </c>
      <c r="D17" s="1682"/>
      <c r="E17" s="1682"/>
      <c r="F17" s="1682"/>
      <c r="G17" s="1682"/>
      <c r="H17" s="1682"/>
      <c r="I17" s="1682">
        <v>62275</v>
      </c>
      <c r="J17" s="1676"/>
      <c r="K17" s="2417" t="str">
        <f>CONCATENATE(K16,L16,M16,N16,O16,P16,Q16,R16,S16,T16,,U16)</f>
        <v>工业2070年7月1日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0</v>
      </c>
      <c r="E19" s="1667">
        <f>IF(B16="出让",IF(E17="","",ROUNDDOWN(MIN((E17-$D$3)/365,E18),2)),E18)</f>
        <v>0</v>
      </c>
      <c r="F19" s="1667">
        <f>IF(B16="出让",IF(F17="","",ROUNDDOWN(MIN((F17-$D$3)/365,F18),2)),F18)</f>
        <v>0</v>
      </c>
      <c r="G19" s="1667">
        <f>IF(B16="出让",IF(G17="","",ROUNDDOWN(MIN((G17-$D$3)/365,G18),2)),G18)</f>
        <v>0</v>
      </c>
      <c r="H19" s="1667">
        <f>IF(B16="出让",IF(H17="","",ROUNDDOWN(MIN((H17-$D$3)/365,H18),2)),H18)</f>
        <v>0</v>
      </c>
      <c r="I19" s="1667">
        <f>IF(B16="出让",IF(I17="","",ROUNDDOWN(MIN((I17-$D$3)/365,I18),2)),I18)</f>
        <v>50</v>
      </c>
      <c r="J19" s="1676"/>
      <c r="K19" s="1756"/>
      <c r="L19" s="1705"/>
      <c r="M19" s="1705"/>
      <c r="N19" s="1676"/>
      <c r="O19" s="1677"/>
      <c r="P19" s="1676"/>
      <c r="Q19" s="1676"/>
      <c r="R19" s="1676"/>
      <c r="S19" s="1676"/>
      <c r="T19" s="1676"/>
      <c r="U19" s="1676"/>
    </row>
    <row r="20" spans="1:21">
      <c r="A20" s="1768"/>
      <c r="B20" s="1769"/>
      <c r="C20" s="1770" t="s">
        <v>2056</v>
      </c>
      <c r="D20" s="3292"/>
      <c r="E20" s="3293"/>
      <c r="F20" s="3293"/>
      <c r="G20" s="3293"/>
      <c r="H20" s="3293"/>
      <c r="I20" s="3294"/>
      <c r="J20" s="1676"/>
      <c r="K20" s="1756"/>
      <c r="L20" s="1705"/>
      <c r="M20" s="1705"/>
      <c r="N20" s="1676"/>
      <c r="O20" s="1677"/>
      <c r="P20" s="1676"/>
      <c r="Q20" s="1676"/>
      <c r="R20" s="1676"/>
      <c r="S20" s="1676"/>
      <c r="T20" s="1676"/>
      <c r="U20" s="1676"/>
    </row>
    <row r="21" spans="1:21">
      <c r="A21" s="1745" t="s">
        <v>1954</v>
      </c>
      <c r="B21" s="1746" t="s">
        <v>1955</v>
      </c>
      <c r="C21" s="1741">
        <f>'数据-汇总表'!E3</f>
        <v>96343.56</v>
      </c>
      <c r="D21" s="1742" t="s">
        <v>1956</v>
      </c>
      <c r="E21" s="3282" t="s">
        <v>1994</v>
      </c>
      <c r="F21" s="3283"/>
      <c r="G21" s="3283"/>
      <c r="H21" s="3283"/>
      <c r="I21" s="3284"/>
      <c r="J21" s="1676"/>
      <c r="K21" s="1756"/>
      <c r="L21" s="1705"/>
      <c r="M21" s="1705"/>
      <c r="N21" s="1676"/>
      <c r="O21" s="1677"/>
      <c r="P21" s="1676"/>
      <c r="Q21" s="1676"/>
      <c r="R21" s="1676"/>
      <c r="S21" s="1676"/>
      <c r="T21" s="1676"/>
      <c r="U21" s="1676"/>
    </row>
    <row r="22" spans="1:21">
      <c r="A22" s="3079" t="s">
        <v>950</v>
      </c>
      <c r="B22" s="1643" t="s">
        <v>1957</v>
      </c>
      <c r="C22" s="1668">
        <f>'数据-汇总表'!D3</f>
        <v>96343.56</v>
      </c>
      <c r="D22" s="1669" t="s">
        <v>1956</v>
      </c>
      <c r="E22" s="3282" t="s">
        <v>2884</v>
      </c>
      <c r="F22" s="3283"/>
      <c r="G22" s="3283"/>
      <c r="H22" s="3283"/>
      <c r="I22" s="3284"/>
      <c r="J22" s="1676"/>
      <c r="K22" s="1756"/>
      <c r="L22" s="1705"/>
      <c r="M22" s="1705"/>
      <c r="N22" s="1676"/>
      <c r="O22" s="1677"/>
      <c r="P22" s="1676"/>
      <c r="Q22" s="1676"/>
      <c r="R22" s="1676"/>
      <c r="S22" s="1676"/>
      <c r="T22" s="1676"/>
      <c r="U22" s="1676"/>
    </row>
    <row r="23" spans="1:21" ht="29.2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85" t="s">
        <v>1962</v>
      </c>
      <c r="C24" s="3286"/>
      <c r="D24" s="3287" t="s">
        <v>1963</v>
      </c>
      <c r="E24" s="3288"/>
      <c r="F24" s="1690" t="s">
        <v>1964</v>
      </c>
      <c r="G24" s="1676"/>
      <c r="H24" s="1676"/>
      <c r="I24" s="1689"/>
      <c r="J24" s="1676"/>
      <c r="K24" s="3273"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300" t="s">
        <v>1997</v>
      </c>
      <c r="B31" s="1746" t="s">
        <v>1998</v>
      </c>
      <c r="C31" s="3298"/>
      <c r="D31" s="3299"/>
      <c r="E31" s="1676"/>
      <c r="F31" s="1676"/>
      <c r="G31" s="1676"/>
      <c r="H31" s="1676"/>
      <c r="I31" s="1689"/>
      <c r="J31" s="1676"/>
      <c r="K31" s="2420"/>
      <c r="L31" s="1676"/>
      <c r="M31" s="1676"/>
      <c r="N31" s="1676"/>
      <c r="O31" s="1676"/>
      <c r="P31" s="1676"/>
      <c r="Q31" s="1676"/>
      <c r="R31" s="1676"/>
      <c r="S31" s="1676"/>
      <c r="T31" s="1676"/>
      <c r="U31" s="1676"/>
    </row>
    <row r="32" spans="1:21">
      <c r="A32" s="330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0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01"/>
      <c r="B34" s="1643" t="s">
        <v>2001</v>
      </c>
      <c r="C34" s="3302"/>
      <c r="D34" s="3303"/>
      <c r="E34" s="1676"/>
      <c r="F34" s="1676"/>
      <c r="G34" s="1676"/>
      <c r="H34" s="1676"/>
      <c r="I34" s="1689"/>
      <c r="J34" s="1676"/>
      <c r="K34" s="2420"/>
      <c r="L34" s="1676"/>
      <c r="M34" s="1676"/>
      <c r="N34" s="1676"/>
      <c r="O34" s="1676"/>
      <c r="P34" s="1676"/>
      <c r="Q34" s="1676"/>
      <c r="R34" s="1676"/>
      <c r="S34" s="1676"/>
      <c r="T34" s="1676"/>
      <c r="U34" s="1676"/>
    </row>
    <row r="35" spans="1:21">
      <c r="A35" s="3304" t="s">
        <v>845</v>
      </c>
      <c r="B35" s="1704"/>
      <c r="C35" s="1758" t="str">
        <f>IF(B35="场地平整","——","具体情况：")</f>
        <v>具体情况：</v>
      </c>
      <c r="D35" s="3306"/>
      <c r="E35" s="3307"/>
      <c r="F35" s="3307"/>
      <c r="G35" s="3307"/>
      <c r="H35" s="3307"/>
      <c r="I35" s="3308"/>
      <c r="J35" s="1676"/>
      <c r="K35" s="1757"/>
      <c r="L35" s="1705"/>
      <c r="M35" s="1705"/>
      <c r="N35" s="1676"/>
      <c r="O35" s="1677"/>
      <c r="P35" s="1676"/>
      <c r="Q35" s="1676"/>
      <c r="R35" s="1676"/>
      <c r="S35" s="1676"/>
      <c r="T35" s="1676"/>
      <c r="U35" s="1676"/>
    </row>
    <row r="36" spans="1:21">
      <c r="A36" s="3300"/>
      <c r="B36" s="3309" t="s">
        <v>2050</v>
      </c>
      <c r="C36" s="3310"/>
      <c r="D36" s="1774"/>
      <c r="E36" s="3311"/>
      <c r="F36" s="3311"/>
      <c r="G36" s="1669" t="str">
        <f>IF(B35="场地未平整","估价结果处理","")</f>
        <v/>
      </c>
      <c r="H36" s="3312"/>
      <c r="I36" s="3312"/>
      <c r="J36" s="1676"/>
      <c r="K36" s="1757"/>
      <c r="L36" s="1705"/>
      <c r="M36" s="1705"/>
      <c r="N36" s="1676"/>
      <c r="O36" s="1677"/>
      <c r="P36" s="1676"/>
      <c r="Q36" s="1676"/>
      <c r="R36" s="1676"/>
      <c r="S36" s="1676"/>
      <c r="T36" s="1676"/>
      <c r="U36" s="1676"/>
    </row>
    <row r="37" spans="1:21" ht="28.5">
      <c r="A37" s="3300"/>
      <c r="B37" s="3289"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300"/>
      <c r="B38" s="3290"/>
      <c r="C38" s="1651" t="s">
        <v>848</v>
      </c>
      <c r="D38" s="1773">
        <f>ROUNDDOWN(MIN(('数据-取费表'!$B$2-D37)/365,D34),1)</f>
        <v>120.9</v>
      </c>
      <c r="E38" s="1709" t="s">
        <v>849</v>
      </c>
      <c r="F38" s="1676"/>
      <c r="G38" s="1676"/>
      <c r="H38" s="1676"/>
      <c r="I38" s="1689"/>
      <c r="J38" s="1676"/>
      <c r="K38" s="1757"/>
      <c r="L38" s="1676"/>
      <c r="M38" s="1676"/>
      <c r="N38" s="1676"/>
      <c r="O38" s="1676"/>
      <c r="P38" s="1676"/>
      <c r="Q38" s="1676"/>
      <c r="R38" s="1676"/>
      <c r="S38" s="1676"/>
      <c r="T38" s="1676"/>
      <c r="U38" s="1676"/>
    </row>
    <row r="39" spans="1:21">
      <c r="A39" s="3301"/>
      <c r="B39" s="329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72" t="s">
        <v>1981</v>
      </c>
      <c r="T40" s="1713" t="str">
        <f>NUMBERSTRING(7-K40,1)&amp;"通"</f>
        <v>七通</v>
      </c>
      <c r="U40" s="1676"/>
    </row>
    <row r="41" spans="1:21">
      <c r="A41" s="1645"/>
      <c r="B41" s="3305" t="s">
        <v>1719</v>
      </c>
      <c r="C41" s="3305"/>
      <c r="D41" s="3305"/>
      <c r="E41" s="330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2"/>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1409</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2995</v>
      </c>
      <c r="F44" s="1721"/>
      <c r="G44" s="1676"/>
      <c r="H44" s="1676"/>
      <c r="I44" s="1689"/>
      <c r="J44" s="1676"/>
      <c r="K44" s="1756"/>
      <c r="L44" s="1705"/>
      <c r="M44" s="1705"/>
      <c r="N44" s="1676"/>
      <c r="O44" s="1677"/>
      <c r="P44" s="1676"/>
      <c r="Q44" s="1676"/>
      <c r="R44" s="1676"/>
      <c r="S44" s="1676"/>
      <c r="T44" s="1676"/>
      <c r="U44" s="1676"/>
    </row>
    <row r="45" spans="1:21" s="3014" customFormat="1" ht="21" thickBot="1">
      <c r="A45" s="3015" t="s">
        <v>2885</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96343.56</v>
      </c>
      <c r="B3" s="22">
        <f>IF(C3="否",G5-AT5,G5)</f>
        <v>96343.56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2997</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c r="J10" s="51"/>
      <c r="K10" s="2969"/>
      <c r="L10" s="51"/>
      <c r="M10" s="2969"/>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c r="D13" s="2963" t="s">
        <v>1676</v>
      </c>
      <c r="E13" s="27">
        <f t="shared" ref="E13:E20" si="6">IF($C$3="是",ROUND($A$3*G13/$B$3,2),ROUND($A$3*(G13-AT13)/$B$3,2))</f>
        <v>96343.56</v>
      </c>
      <c r="F13" s="81"/>
      <c r="G13" s="82">
        <f t="shared" ref="G13:G20" si="7">H13+AC13+AT13</f>
        <v>96343.56</v>
      </c>
      <c r="H13" s="33">
        <f t="shared" ref="H13:H20" si="8">SUMIF(I$12:AB$12,"总值",I13:AB13)</f>
        <v>96343.56</v>
      </c>
      <c r="I13" s="2966">
        <f>A3</f>
        <v>96343.56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0</v>
      </c>
      <c r="AY13" s="994">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4" t="s">
        <v>203</v>
      </c>
      <c r="B2" s="3324"/>
      <c r="C2" s="3324"/>
      <c r="D2" s="1958" t="s">
        <v>204</v>
      </c>
      <c r="E2" s="106" t="s">
        <v>205</v>
      </c>
      <c r="F2" s="1967"/>
      <c r="G2" s="1192"/>
      <c r="H2" s="1193"/>
      <c r="I2" s="1194" t="s">
        <v>855</v>
      </c>
      <c r="J2" s="1967"/>
      <c r="K2" s="1967"/>
      <c r="L2" s="1967"/>
    </row>
    <row r="3" spans="1:16" ht="15.75" thickBot="1">
      <c r="A3" s="3325" t="s">
        <v>206</v>
      </c>
      <c r="B3" s="3325"/>
      <c r="C3" s="3325"/>
      <c r="D3" s="107">
        <f>'数据-基础表'!AY6</f>
        <v>96343.56</v>
      </c>
      <c r="E3" s="107">
        <f>'数据-基础表'!AZ5</f>
        <v>96343.56</v>
      </c>
      <c r="F3" s="1967"/>
      <c r="G3" s="280" t="s">
        <v>856</v>
      </c>
      <c r="H3" s="275" t="s">
        <v>857</v>
      </c>
      <c r="I3" s="1959">
        <f>ROUND('数据-基础表'!B3/'数据-基础表'!A3,2)</f>
        <v>1</v>
      </c>
      <c r="J3" s="1967"/>
      <c r="K3" s="1967"/>
      <c r="L3" s="1967"/>
    </row>
    <row r="4" spans="1:16" ht="15">
      <c r="A4" s="3326"/>
      <c r="B4" s="3327"/>
      <c r="C4" s="3328"/>
      <c r="D4" s="108" t="s">
        <v>204</v>
      </c>
      <c r="E4" s="109" t="s">
        <v>205</v>
      </c>
      <c r="F4" s="1967"/>
      <c r="G4" s="1195"/>
      <c r="H4" s="275" t="s">
        <v>858</v>
      </c>
      <c r="I4" s="1959">
        <f>ROUND(SUMIF('数据-基础表'!I9:AS9,"地上",'数据-基础表'!I5:AS5)/'数据-基础表'!A3,2)</f>
        <v>1</v>
      </c>
      <c r="J4" s="1967"/>
      <c r="K4" s="1967"/>
      <c r="L4" s="1967"/>
    </row>
    <row r="5" spans="1:16">
      <c r="A5" s="110" t="s">
        <v>207</v>
      </c>
      <c r="B5" s="3329" t="s">
        <v>230</v>
      </c>
      <c r="C5" s="3329"/>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9" t="s">
        <v>208</v>
      </c>
      <c r="C6" s="3329"/>
      <c r="D6" s="111">
        <f>ROUND($D$3*E6/$E$3,2)</f>
        <v>96343.56</v>
      </c>
      <c r="E6" s="112">
        <f>E3-E5</f>
        <v>96343.56</v>
      </c>
      <c r="F6" s="1967"/>
      <c r="G6" s="1195"/>
      <c r="H6" s="275" t="s">
        <v>858</v>
      </c>
      <c r="I6" s="1959">
        <f>ROUND(F31/D31,2)</f>
        <v>1</v>
      </c>
      <c r="J6" s="1967"/>
      <c r="K6" s="1967"/>
      <c r="L6" s="1967"/>
    </row>
    <row r="7" spans="1:16" ht="15">
      <c r="A7" s="3321"/>
      <c r="B7" s="3322"/>
      <c r="C7" s="3323"/>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96343.56</v>
      </c>
      <c r="E8" s="116">
        <f>SUMIF('数据-基础表'!BB10:BK10,"地上",'数据-基础表'!BB5:BK5)</f>
        <v>96343.56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96343.56</v>
      </c>
      <c r="E16" s="120">
        <f>SUM(E8:E15)</f>
        <v>96343.56</v>
      </c>
      <c r="F16" s="1967"/>
      <c r="G16" s="1969"/>
      <c r="H16" s="966" t="s">
        <v>219</v>
      </c>
      <c r="I16" s="967"/>
      <c r="J16" s="1967"/>
      <c r="K16" s="3315" t="s">
        <v>2561</v>
      </c>
      <c r="L16" s="3316"/>
      <c r="M16" s="3316"/>
      <c r="N16" s="3316"/>
      <c r="O16" s="3316"/>
      <c r="P16" s="3317"/>
    </row>
    <row r="17" spans="1:19" ht="15">
      <c r="A17" s="121" t="s">
        <v>216</v>
      </c>
      <c r="B17" s="122" t="s">
        <v>217</v>
      </c>
      <c r="C17" s="2281" t="s">
        <v>2308</v>
      </c>
      <c r="D17" s="108" t="s">
        <v>204</v>
      </c>
      <c r="E17" s="124" t="s">
        <v>205</v>
      </c>
      <c r="F17" s="125"/>
      <c r="G17" s="1360"/>
      <c r="H17" s="968" t="s">
        <v>218</v>
      </c>
      <c r="I17" s="969" t="s">
        <v>2307</v>
      </c>
      <c r="J17" s="1967"/>
      <c r="K17" s="3318" t="s">
        <v>2562</v>
      </c>
      <c r="L17" s="3319"/>
      <c r="M17" s="3320"/>
      <c r="N17" s="3318" t="s">
        <v>2563</v>
      </c>
      <c r="O17" s="3319"/>
      <c r="P17" s="3320"/>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3" t="s">
        <v>2996</v>
      </c>
      <c r="D19" s="111">
        <f t="shared" ref="D19:D26" si="1">ROUND($D$3*E19/$E$3,2)</f>
        <v>96343.56</v>
      </c>
      <c r="E19" s="134">
        <f t="shared" ref="E19:E26" si="2">SUM(F19:G19)</f>
        <v>96343.56</v>
      </c>
      <c r="F19" s="135">
        <f>'数据-基础表'!I13</f>
        <v>96343.56</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96343.56</v>
      </c>
      <c r="S19" s="2284">
        <f t="shared" si="5"/>
        <v>96343.56</v>
      </c>
    </row>
    <row r="20" spans="1:19">
      <c r="A20" s="138"/>
      <c r="B20" s="115" t="s">
        <v>226</v>
      </c>
      <c r="C20" s="2973"/>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3"/>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96343.56</v>
      </c>
      <c r="E27" s="143">
        <f>IF(SUM(E19:E26)='数据-基础表'!BA5,SUM(E19:E26),IF(F27="地上面积有误","面积有误","地下面积有误"))</f>
        <v>96343.56</v>
      </c>
      <c r="F27" s="134">
        <f>IF(SUM(F19:F26)=E8,SUM(F19:F26),"地上面积有误")</f>
        <v>96343.56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96343.56</v>
      </c>
      <c r="S27" s="275">
        <f>IF(SUM(S19:S26)=$E$3,SUM(S19:S26),SUM(S19:S26)&amp;"误差"&amp;ROUND(SUM(S19:S26)-E3,2))</f>
        <v>96343.56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96343.56</v>
      </c>
      <c r="E31" s="1366">
        <f>E27+E30</f>
        <v>96343.56</v>
      </c>
      <c r="F31" s="1367">
        <f>F27+F30</f>
        <v>96343.56</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K7" sqref="AK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44134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2998</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62275</v>
      </c>
      <c r="F6" s="174">
        <f>SUMIF(项目基本情况!D$15:I$15,C6,项目基本情况!D$19:I$19)</f>
        <v>50</v>
      </c>
      <c r="G6" s="175">
        <f>IF(ISERROR(ROUND(POWER(1+H6,D6-F6)*(POWER(1+H6,F6)-1)/(POWER(1+H6,D6)-1),3)),0,ROUND(POWER(1+H6,D6-F6)*(POWER(1+H6,F6)-1)/(POWER(1+H6,D6)-1),3))</f>
        <v>1</v>
      </c>
      <c r="H6" s="2974">
        <v>3.5000000000000003E-2</v>
      </c>
      <c r="I6" s="2974">
        <v>0.04</v>
      </c>
      <c r="J6" s="176">
        <v>0.06</v>
      </c>
      <c r="K6" s="179">
        <f>SUMIF('数据-汇总表'!C$19:C$33,'数据-取费表'!A6,'数据-汇总表'!E$19:E$33)</f>
        <v>96343.56</v>
      </c>
      <c r="L6" s="2975">
        <v>1500</v>
      </c>
      <c r="M6" s="177">
        <f t="shared" ref="M6:M14" si="0">ROUND(K6*L6/10000,0)</f>
        <v>14452</v>
      </c>
      <c r="N6" s="2976">
        <v>1</v>
      </c>
      <c r="O6" s="177" t="str">
        <f>IF($N$5="成新度","——",ROUND(M6*N6,0))</f>
        <v>——</v>
      </c>
      <c r="P6" s="178" t="str">
        <f>IF($N$5="成新度","——",M6-O6)</f>
        <v>——</v>
      </c>
      <c r="Q6" s="2977">
        <v>0.08</v>
      </c>
      <c r="R6" s="179">
        <f>SUMIF('数据-汇总表'!C$19:C$33,A6,'数据-汇总表'!R$19:R$33)</f>
        <v>96343.56</v>
      </c>
      <c r="S6" s="132">
        <f>IF('数据-汇总表'!$I$17="按面积比例",SUMIF('数据-汇总表'!C$19:C$33,A6,'数据-汇总表'!K$19:K$33),SUMIF('数据-汇总表'!C$19:C$33,A6,'数据-汇总表'!N$19:N$33))</f>
        <v>0</v>
      </c>
      <c r="T6" s="2217" t="str">
        <f>IF($T$4="按面积比例",IF(ISERROR(ROUND($M$14*S6/S$16,0)),"0",ROUND($M$14*S6/S$16,0)),"需自行计算录入")</f>
        <v>0</v>
      </c>
      <c r="U6" s="180">
        <v>1.5</v>
      </c>
      <c r="V6" s="181">
        <v>0</v>
      </c>
      <c r="W6" s="181">
        <v>0.08</v>
      </c>
      <c r="X6" s="2304"/>
      <c r="Y6" s="182">
        <v>1</v>
      </c>
      <c r="Z6" s="183"/>
      <c r="AA6" s="176"/>
      <c r="AB6" s="176"/>
      <c r="AC6" s="2307"/>
      <c r="AD6" s="184"/>
      <c r="AE6" s="970">
        <v>50</v>
      </c>
      <c r="AF6" s="141"/>
      <c r="AG6" s="1207">
        <f>IF(AF6="",0,AE6-AF6)</f>
        <v>0</v>
      </c>
      <c r="AH6" s="141">
        <f>'数据-汇总表'!E3</f>
        <v>96343.56</v>
      </c>
      <c r="AI6" s="187">
        <v>365</v>
      </c>
      <c r="AJ6" s="188"/>
      <c r="AK6" s="189">
        <v>6.0000000000000001E-3</v>
      </c>
      <c r="AL6" s="190">
        <v>1E-3</v>
      </c>
      <c r="AM6" s="2988">
        <v>5.0000000000000001E-3</v>
      </c>
      <c r="AN6" s="2354" t="s">
        <v>3186</v>
      </c>
      <c r="AO6" s="1983"/>
      <c r="AP6" s="1198">
        <f>ROUND(1-1/(1+H6)^F6,3)</f>
        <v>0.82099999999999995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t="str">
        <f t="shared" ref="O7:O14" si="3">IF($N$5="成新度","——",ROUND(M7*N7,0))</f>
        <v>——</v>
      </c>
      <c r="P7" s="178" t="str">
        <f t="shared" ref="P7:P14" si="4">IF($N$5="成新度","——",M7-O7)</f>
        <v>——</v>
      </c>
      <c r="Q7" s="2977"/>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t="str">
        <f t="shared" si="3"/>
        <v>——</v>
      </c>
      <c r="P8" s="178" t="str">
        <f t="shared" si="4"/>
        <v>——</v>
      </c>
      <c r="Q8" s="2977"/>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96343.56</v>
      </c>
      <c r="L16" s="206">
        <f>ROUND(M16*10000/SUM(K6:K14),0)</f>
        <v>1500</v>
      </c>
      <c r="M16" s="206">
        <f>SUM(M6:M14)</f>
        <v>14452</v>
      </c>
      <c r="N16" s="207">
        <f>ROUND(SUMPRODUCT(M6:M14,N6:N14)/M16,3)</f>
        <v>1</v>
      </c>
      <c r="O16" s="206">
        <f>SUM(O6:O14)</f>
        <v>0</v>
      </c>
      <c r="P16" s="206">
        <f>SUM(P6:P14)</f>
        <v>0</v>
      </c>
      <c r="Q16" s="208">
        <f>ROUND(SUMPRODUCT(Q6:Q13,K6:K13)/SUMPRODUCT((Q6:Q13&gt;0)*(K6:K13)),2)</f>
        <v>0.08</v>
      </c>
      <c r="R16" s="2294">
        <f>SUM(R6:R13)</f>
        <v>96343.56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0.82099999999999995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4.3499999999999997E-2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2">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6"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7"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7"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18" t="s">
        <v>2897</v>
      </c>
      <c r="D53" s="3019"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1" t="s">
        <v>2899</v>
      </c>
      <c r="B54" s="186"/>
      <c r="C54" s="1977">
        <v>30</v>
      </c>
      <c r="D54" s="3020"/>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1" t="s">
        <v>2900</v>
      </c>
      <c r="B55" s="186"/>
      <c r="C55" s="1977">
        <v>24</v>
      </c>
      <c r="D55" s="3020"/>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1" t="s">
        <v>2901</v>
      </c>
      <c r="B56" s="186"/>
      <c r="C56" s="1977">
        <v>18</v>
      </c>
      <c r="D56" s="3020"/>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1" t="s">
        <v>2902</v>
      </c>
      <c r="B57" s="186"/>
      <c r="C57" s="1977">
        <v>12</v>
      </c>
      <c r="D57" s="3020"/>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1" t="s">
        <v>2903</v>
      </c>
      <c r="B58" s="186"/>
      <c r="C58" s="1977">
        <v>3</v>
      </c>
      <c r="D58" s="3020"/>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1" t="s">
        <v>2904</v>
      </c>
      <c r="B59" s="186">
        <v>1.5</v>
      </c>
      <c r="C59" s="1977">
        <v>1.5</v>
      </c>
      <c r="D59" s="3020"/>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1"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1"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1"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2"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0" t="s">
        <v>1661</v>
      </c>
      <c r="B1" s="3331"/>
      <c r="C1" s="3331"/>
      <c r="D1" s="3331"/>
      <c r="E1" s="3331"/>
      <c r="F1" s="3331"/>
      <c r="G1" s="3331"/>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3" t="s">
        <v>2915</v>
      </c>
      <c r="D3" s="1992"/>
      <c r="E3" s="1223" t="s">
        <v>1664</v>
      </c>
      <c r="F3" s="1224" t="s">
        <v>1652</v>
      </c>
      <c r="G3" s="3027" t="s">
        <v>2914</v>
      </c>
      <c r="H3" s="1991"/>
      <c r="I3" s="1991"/>
      <c r="J3" s="1991"/>
      <c r="K3" s="1991"/>
      <c r="L3" s="1991"/>
      <c r="M3" s="1991"/>
      <c r="N3" s="1991"/>
      <c r="O3" s="1991"/>
      <c r="P3" s="1991"/>
      <c r="Q3" s="1991"/>
      <c r="R3" s="1991"/>
    </row>
    <row r="4" spans="1:18" ht="41.25">
      <c r="A4" s="1223"/>
      <c r="B4" s="1225" t="s">
        <v>1665</v>
      </c>
      <c r="C4" s="3024" t="s">
        <v>2916</v>
      </c>
      <c r="D4" s="1992"/>
      <c r="E4" s="1226"/>
      <c r="F4" s="1227" t="s">
        <v>1666</v>
      </c>
      <c r="G4" s="3025" t="s">
        <v>2911</v>
      </c>
      <c r="H4" s="1991"/>
      <c r="I4" s="1991"/>
      <c r="J4" s="1991"/>
      <c r="K4" s="1991"/>
      <c r="L4" s="1991"/>
      <c r="M4" s="1991"/>
      <c r="N4" s="1991"/>
      <c r="O4" s="1991"/>
      <c r="P4" s="1991"/>
      <c r="Q4" s="1991"/>
      <c r="R4" s="1991"/>
    </row>
    <row r="5" spans="1:18" ht="41.25">
      <c r="A5" s="1223"/>
      <c r="B5" s="1225" t="s">
        <v>1667</v>
      </c>
      <c r="C5" s="3024" t="s">
        <v>2917</v>
      </c>
      <c r="D5" s="1992"/>
      <c r="E5" s="1226"/>
      <c r="F5" s="1225" t="s">
        <v>2541</v>
      </c>
      <c r="G5" s="3025" t="s">
        <v>2912</v>
      </c>
      <c r="H5" s="1991"/>
      <c r="I5" s="1991"/>
      <c r="J5" s="1991"/>
      <c r="K5" s="1991"/>
      <c r="L5" s="1991"/>
      <c r="M5" s="1991"/>
      <c r="N5" s="1991"/>
      <c r="O5" s="1991"/>
      <c r="P5" s="1991"/>
      <c r="Q5" s="1991"/>
      <c r="R5" s="1991"/>
    </row>
    <row r="6" spans="1:18" ht="54">
      <c r="A6" s="1223"/>
      <c r="B6" s="1225" t="s">
        <v>1653</v>
      </c>
      <c r="C6" s="3025" t="s">
        <v>2911</v>
      </c>
      <c r="D6" s="1992"/>
      <c r="E6" s="1226"/>
      <c r="F6" s="1225" t="s">
        <v>2542</v>
      </c>
      <c r="G6" s="3025" t="s">
        <v>2909</v>
      </c>
      <c r="H6" s="1991"/>
      <c r="I6" s="1991"/>
      <c r="J6" s="1991"/>
      <c r="K6" s="1991"/>
      <c r="L6" s="1991"/>
      <c r="M6" s="1991"/>
      <c r="N6" s="1991"/>
      <c r="O6" s="1991"/>
      <c r="P6" s="1991"/>
      <c r="Q6" s="1991"/>
      <c r="R6" s="1991"/>
    </row>
    <row r="7" spans="1:18" ht="41.25" thickBot="1">
      <c r="A7" s="1223"/>
      <c r="B7" s="1225" t="s">
        <v>2541</v>
      </c>
      <c r="C7" s="3025" t="s">
        <v>2912</v>
      </c>
      <c r="D7" s="1993"/>
      <c r="E7" s="1228"/>
      <c r="F7" s="1229" t="s">
        <v>1668</v>
      </c>
      <c r="G7" s="3028" t="s">
        <v>2913</v>
      </c>
      <c r="H7" s="1991"/>
      <c r="I7" s="1991"/>
      <c r="J7" s="1991"/>
      <c r="K7" s="1991"/>
      <c r="L7" s="1991"/>
      <c r="M7" s="1991"/>
      <c r="N7" s="1991"/>
      <c r="O7" s="1991"/>
      <c r="P7" s="1991"/>
      <c r="Q7" s="1991"/>
      <c r="R7" s="1991"/>
    </row>
    <row r="8" spans="1:18" ht="27">
      <c r="A8" s="1223"/>
      <c r="B8" s="1225" t="s">
        <v>2542</v>
      </c>
      <c r="C8" s="3025" t="s">
        <v>2909</v>
      </c>
      <c r="D8" s="1993"/>
      <c r="E8" s="1993"/>
      <c r="F8" s="1538"/>
      <c r="G8" s="1538"/>
      <c r="H8" s="1991"/>
      <c r="I8" s="1991"/>
      <c r="J8" s="1991"/>
      <c r="K8" s="1991"/>
      <c r="L8" s="1991"/>
      <c r="M8" s="1991"/>
      <c r="N8" s="1991"/>
      <c r="O8" s="1991"/>
      <c r="P8" s="1991"/>
      <c r="Q8" s="1991"/>
      <c r="R8" s="1991"/>
    </row>
    <row r="9" spans="1:18" ht="40.5">
      <c r="A9" s="1223"/>
      <c r="B9" s="1225" t="s">
        <v>1654</v>
      </c>
      <c r="C9" s="3024"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6"/>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7"/>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7"/>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29"/>
    </row>
    <row r="22" spans="1:7" ht="27">
      <c r="A22" s="2551"/>
      <c r="B22" s="1225" t="s">
        <v>2542</v>
      </c>
      <c r="C22" s="1003" t="str">
        <f>C8</f>
        <v>估价对象所在区域基础设施水平</v>
      </c>
      <c r="D22" s="1992"/>
      <c r="E22" s="2548"/>
      <c r="F22" s="1241" t="s">
        <v>1669</v>
      </c>
      <c r="G22" s="2747"/>
    </row>
    <row r="23" spans="1:7" ht="15" thickBot="1">
      <c r="A23" s="2551"/>
      <c r="B23" s="1241" t="s">
        <v>1659</v>
      </c>
      <c r="C23" s="3029"/>
      <c r="E23" s="2549"/>
      <c r="F23" s="1242" t="s">
        <v>1673</v>
      </c>
      <c r="G23" s="3030"/>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D15" sqref="D15"/>
    </sheetView>
  </sheetViews>
  <sheetFormatPr defaultColWidth="14.625" defaultRowHeight="13.5"/>
  <cols>
    <col min="1" max="1" width="24.375" style="3168" customWidth="1"/>
    <col min="2" max="16384" width="14.625" style="3168"/>
  </cols>
  <sheetData>
    <row r="1" spans="1:9" ht="16.5">
      <c r="A1" s="3169" t="s">
        <v>2836</v>
      </c>
      <c r="B1" s="3169">
        <f>SUM(B14:B23)</f>
        <v>96343.56</v>
      </c>
      <c r="C1" s="3167"/>
      <c r="D1" s="3167"/>
      <c r="E1" s="3167"/>
      <c r="F1" s="3167"/>
    </row>
    <row r="2" spans="1:9" ht="16.5">
      <c r="A2" s="3169" t="s">
        <v>2837</v>
      </c>
      <c r="B2" s="3169">
        <f>SUM(C14:C23)</f>
        <v>96343.56</v>
      </c>
      <c r="C2" s="3167"/>
      <c r="D2" s="3167"/>
      <c r="E2" s="3167"/>
      <c r="F2" s="3167"/>
    </row>
    <row r="3" spans="1:9" ht="16.5">
      <c r="A3" s="3169" t="s">
        <v>2838</v>
      </c>
      <c r="B3" s="3170">
        <f>项目基本情况!D3</f>
        <v>44134</v>
      </c>
      <c r="C3" s="3167"/>
      <c r="D3" s="3167"/>
      <c r="E3" s="3167"/>
      <c r="F3" s="3167"/>
    </row>
    <row r="4" spans="1:9" ht="33">
      <c r="A4" s="3169" t="s">
        <v>2839</v>
      </c>
      <c r="B4" s="3169" t="s">
        <v>2840</v>
      </c>
      <c r="C4" s="3169" t="s">
        <v>2841</v>
      </c>
      <c r="D4" s="3169" t="s">
        <v>2842</v>
      </c>
      <c r="E4" s="3167"/>
      <c r="F4" s="3167"/>
    </row>
    <row r="5" spans="1:9" ht="16.5">
      <c r="A5" s="3169" t="s">
        <v>2843</v>
      </c>
      <c r="B5" s="3169">
        <f ca="1">SUM(D14:D23)</f>
        <v>4078</v>
      </c>
      <c r="C5" s="3169">
        <f ca="1">ROUND(B5*10000/$B$1,0)</f>
        <v>423</v>
      </c>
      <c r="D5" s="3169">
        <f ca="1">ROUND(B5*10000/$B$2,0)</f>
        <v>423</v>
      </c>
      <c r="E5" s="3167"/>
      <c r="F5" s="3167"/>
    </row>
    <row r="6" spans="1:9" ht="16.5">
      <c r="A6" s="3169" t="s">
        <v>2844</v>
      </c>
      <c r="B6" s="3169">
        <f>SUM(G14:G23)</f>
        <v>0</v>
      </c>
      <c r="C6" s="3169">
        <f t="shared" ref="C6:C8" si="0">ROUND(B6*10000/$B$1,0)</f>
        <v>0</v>
      </c>
      <c r="D6" s="3169">
        <f t="shared" ref="D6:D8" si="1">ROUND(B6*10000/$B$2,0)</f>
        <v>0</v>
      </c>
      <c r="E6" s="3167"/>
      <c r="F6" s="3167"/>
    </row>
    <row r="7" spans="1:9" ht="16.5">
      <c r="A7" s="3169" t="s">
        <v>2845</v>
      </c>
      <c r="B7" s="3169">
        <f>SUM(H14:H23)</f>
        <v>0</v>
      </c>
      <c r="C7" s="3169">
        <f t="shared" si="0"/>
        <v>0</v>
      </c>
      <c r="D7" s="3169">
        <f t="shared" si="1"/>
        <v>0</v>
      </c>
      <c r="E7" s="3167"/>
      <c r="F7" s="3167"/>
    </row>
    <row r="8" spans="1:9" ht="16.5">
      <c r="A8" s="3169" t="s">
        <v>2846</v>
      </c>
      <c r="B8" s="3169">
        <f>SUM(I14:I23)</f>
        <v>0</v>
      </c>
      <c r="C8" s="3169">
        <f t="shared" si="0"/>
        <v>0</v>
      </c>
      <c r="D8" s="3169">
        <f t="shared" si="1"/>
        <v>0</v>
      </c>
      <c r="E8" s="3167"/>
      <c r="F8" s="3167"/>
    </row>
    <row r="9" spans="1:9" ht="16.5">
      <c r="A9" s="3169" t="s">
        <v>2847</v>
      </c>
      <c r="B9" s="2993"/>
      <c r="C9" s="3167"/>
      <c r="D9" s="3167"/>
      <c r="E9" s="3167"/>
      <c r="F9" s="3167"/>
    </row>
    <row r="10" spans="1:9" ht="16.5">
      <c r="A10" s="3169" t="s">
        <v>2848</v>
      </c>
      <c r="B10" s="2993"/>
      <c r="C10" s="3167"/>
      <c r="D10" s="3167"/>
      <c r="E10" s="3167"/>
      <c r="F10" s="3167"/>
    </row>
    <row r="11" spans="1:9" ht="16.5">
      <c r="A11" s="3169" t="s">
        <v>2865</v>
      </c>
      <c r="B11" s="2993"/>
      <c r="C11" s="3167"/>
      <c r="D11" s="3167"/>
      <c r="E11" s="3167"/>
      <c r="F11" s="3167"/>
    </row>
    <row r="12" spans="1:9" ht="16.5">
      <c r="A12" s="3167"/>
      <c r="B12" s="3167"/>
      <c r="C12" s="3167"/>
      <c r="D12" s="3167"/>
      <c r="E12" s="3167"/>
      <c r="F12" s="3167"/>
    </row>
    <row r="13" spans="1:9" ht="33">
      <c r="A13" s="3171" t="s">
        <v>2864</v>
      </c>
      <c r="B13" s="3172" t="s">
        <v>2836</v>
      </c>
      <c r="C13" s="3172" t="s">
        <v>2837</v>
      </c>
      <c r="D13" s="3172" t="s">
        <v>2849</v>
      </c>
      <c r="E13" s="3169" t="s">
        <v>2863</v>
      </c>
      <c r="F13" s="3169" t="s">
        <v>2842</v>
      </c>
      <c r="G13" s="3172" t="s">
        <v>2850</v>
      </c>
      <c r="H13" s="3172" t="s">
        <v>2851</v>
      </c>
      <c r="I13" s="3172" t="s">
        <v>2852</v>
      </c>
    </row>
    <row r="14" spans="1:9" ht="16.5">
      <c r="A14" s="3173" t="s">
        <v>2862</v>
      </c>
      <c r="B14" s="3174">
        <f>结果表!L38</f>
        <v>96343.56</v>
      </c>
      <c r="C14" s="3174">
        <f>结果表!K38</f>
        <v>96343.56</v>
      </c>
      <c r="D14" s="3174">
        <f ca="1">结果!J7</f>
        <v>4078</v>
      </c>
      <c r="E14" s="3172">
        <f ca="1">ROUND(D14*10000/B14,0)</f>
        <v>423</v>
      </c>
      <c r="F14" s="3172">
        <f ca="1">ROUND(D14*10000/C14,0)</f>
        <v>423</v>
      </c>
      <c r="G14" s="3174" t="str">
        <f>结果表!C44</f>
        <v>——</v>
      </c>
      <c r="H14" s="3174" t="str">
        <f>结果表!C45</f>
        <v>——</v>
      </c>
      <c r="I14" s="3174" t="str">
        <f>结果表!C46</f>
        <v>——</v>
      </c>
    </row>
    <row r="15" spans="1:9" ht="16.5">
      <c r="A15" s="3173" t="s">
        <v>2853</v>
      </c>
      <c r="B15" s="2995"/>
      <c r="C15" s="2995"/>
      <c r="D15" s="2995"/>
      <c r="E15" s="3172" t="e">
        <f t="shared" ref="E15:E23" si="2">ROUND(D15*10000/B15,0)</f>
        <v>#DIV/0!</v>
      </c>
      <c r="F15" s="3172" t="e">
        <f t="shared" ref="F15:F23" si="3">ROUND(D15*10000/C15,0)</f>
        <v>#DIV/0!</v>
      </c>
      <c r="G15" s="2994"/>
      <c r="H15" s="2994"/>
      <c r="I15" s="2995"/>
    </row>
    <row r="16" spans="1:9" ht="16.5">
      <c r="A16" s="3173" t="s">
        <v>2854</v>
      </c>
      <c r="B16" s="2995"/>
      <c r="C16" s="2995"/>
      <c r="D16" s="2995"/>
      <c r="E16" s="3172" t="e">
        <f t="shared" si="2"/>
        <v>#DIV/0!</v>
      </c>
      <c r="F16" s="3172" t="e">
        <f t="shared" si="3"/>
        <v>#DIV/0!</v>
      </c>
      <c r="G16" s="2994"/>
      <c r="H16" s="2994"/>
      <c r="I16" s="2995"/>
    </row>
    <row r="17" spans="1:9" ht="16.5">
      <c r="A17" s="3173" t="s">
        <v>2855</v>
      </c>
      <c r="B17" s="2995"/>
      <c r="C17" s="2995"/>
      <c r="D17" s="2995"/>
      <c r="E17" s="3172" t="e">
        <f t="shared" si="2"/>
        <v>#DIV/0!</v>
      </c>
      <c r="F17" s="3172" t="e">
        <f t="shared" si="3"/>
        <v>#DIV/0!</v>
      </c>
      <c r="G17" s="2994"/>
      <c r="H17" s="2994"/>
      <c r="I17" s="2995"/>
    </row>
    <row r="18" spans="1:9" ht="16.5">
      <c r="A18" s="3173" t="s">
        <v>2856</v>
      </c>
      <c r="B18" s="2995"/>
      <c r="C18" s="2995"/>
      <c r="D18" s="2995"/>
      <c r="E18" s="3172" t="e">
        <f t="shared" si="2"/>
        <v>#DIV/0!</v>
      </c>
      <c r="F18" s="3172" t="e">
        <f t="shared" si="3"/>
        <v>#DIV/0!</v>
      </c>
      <c r="G18" s="2995"/>
      <c r="H18" s="2995"/>
      <c r="I18" s="2995"/>
    </row>
    <row r="19" spans="1:9" ht="16.5">
      <c r="A19" s="3173" t="s">
        <v>2857</v>
      </c>
      <c r="B19" s="2995"/>
      <c r="C19" s="2995"/>
      <c r="D19" s="2995"/>
      <c r="E19" s="3172" t="e">
        <f t="shared" si="2"/>
        <v>#DIV/0!</v>
      </c>
      <c r="F19" s="3172" t="e">
        <f t="shared" si="3"/>
        <v>#DIV/0!</v>
      </c>
      <c r="G19" s="2995"/>
      <c r="H19" s="2995"/>
      <c r="I19" s="2995"/>
    </row>
    <row r="20" spans="1:9" ht="16.5">
      <c r="A20" s="3173" t="s">
        <v>2858</v>
      </c>
      <c r="B20" s="2995"/>
      <c r="C20" s="2995"/>
      <c r="D20" s="2995"/>
      <c r="E20" s="3172" t="e">
        <f t="shared" si="2"/>
        <v>#DIV/0!</v>
      </c>
      <c r="F20" s="3172" t="e">
        <f t="shared" si="3"/>
        <v>#DIV/0!</v>
      </c>
      <c r="G20" s="2995"/>
      <c r="H20" s="2995"/>
      <c r="I20" s="2995"/>
    </row>
    <row r="21" spans="1:9" ht="16.5">
      <c r="A21" s="3173" t="s">
        <v>2859</v>
      </c>
      <c r="B21" s="2995"/>
      <c r="C21" s="2995"/>
      <c r="D21" s="2995"/>
      <c r="E21" s="3172" t="e">
        <f t="shared" si="2"/>
        <v>#DIV/0!</v>
      </c>
      <c r="F21" s="3172" t="e">
        <f t="shared" si="3"/>
        <v>#DIV/0!</v>
      </c>
      <c r="G21" s="2995"/>
      <c r="H21" s="2995"/>
      <c r="I21" s="2995"/>
    </row>
    <row r="22" spans="1:9" ht="16.5">
      <c r="A22" s="3173" t="s">
        <v>2860</v>
      </c>
      <c r="B22" s="2995"/>
      <c r="C22" s="2995"/>
      <c r="D22" s="2995"/>
      <c r="E22" s="3172" t="e">
        <f t="shared" si="2"/>
        <v>#DIV/0!</v>
      </c>
      <c r="F22" s="3172" t="e">
        <f t="shared" si="3"/>
        <v>#DIV/0!</v>
      </c>
      <c r="G22" s="2995"/>
      <c r="H22" s="2995"/>
      <c r="I22" s="2995"/>
    </row>
    <row r="23" spans="1:9" ht="16.5">
      <c r="A23" s="3173" t="s">
        <v>2861</v>
      </c>
      <c r="B23" s="2995"/>
      <c r="C23" s="2995"/>
      <c r="D23" s="2995"/>
      <c r="E23" s="3169" t="e">
        <f t="shared" si="2"/>
        <v>#DIV/0!</v>
      </c>
      <c r="F23" s="3169" t="e">
        <f t="shared" si="3"/>
        <v>#DIV/0!</v>
      </c>
      <c r="G23" s="2995"/>
      <c r="H23" s="2995"/>
      <c r="I23" s="299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8" sqref="C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6" t="str">
        <f>项目基本情况!K2</f>
        <v>北京市划拨国有建设用地使用权</v>
      </c>
      <c r="B2" s="3377"/>
      <c r="C2" s="3378"/>
      <c r="D2" s="3378"/>
      <c r="E2" s="3378"/>
      <c r="F2" s="3378"/>
      <c r="G2" s="3377"/>
      <c r="H2" s="3377"/>
      <c r="I2" s="3379"/>
      <c r="J2" s="2013"/>
      <c r="K2" s="2012"/>
      <c r="L2" s="2012"/>
      <c r="M2" s="2012"/>
      <c r="N2" s="2012"/>
      <c r="O2" s="2012"/>
      <c r="P2" s="2012"/>
      <c r="Q2" s="2012"/>
      <c r="R2" s="2012"/>
      <c r="S2" s="2012"/>
      <c r="T2" s="2012"/>
      <c r="U2" s="2012"/>
      <c r="V2" s="2012"/>
    </row>
    <row r="3" spans="1:22" ht="14.25">
      <c r="A3" s="3387" t="s">
        <v>298</v>
      </c>
      <c r="B3" s="3388"/>
      <c r="C3" s="3388"/>
      <c r="D3" s="3388"/>
      <c r="E3" s="3388"/>
      <c r="F3" s="3388"/>
      <c r="G3" s="3388"/>
      <c r="H3" s="3388"/>
      <c r="I3" s="3388"/>
      <c r="J3" s="2013"/>
      <c r="K3" s="2012"/>
      <c r="L3" s="2012"/>
      <c r="M3" s="2012"/>
      <c r="N3" s="2012"/>
      <c r="O3" s="2012"/>
      <c r="P3" s="2012"/>
      <c r="Q3" s="2012"/>
      <c r="R3" s="2012"/>
      <c r="S3" s="2012"/>
      <c r="T3" s="2012"/>
      <c r="U3" s="2012"/>
      <c r="V3" s="2012"/>
    </row>
    <row r="4" spans="1:22" ht="14.25">
      <c r="A4" s="258" t="s">
        <v>299</v>
      </c>
      <c r="B4" s="259" t="s">
        <v>300</v>
      </c>
      <c r="C4" s="260" t="s">
        <v>3178</v>
      </c>
      <c r="D4" s="260" t="s">
        <v>2944</v>
      </c>
      <c r="E4" s="3351" t="s">
        <v>301</v>
      </c>
      <c r="F4" s="3393"/>
      <c r="G4" s="3393"/>
      <c r="H4" s="3393"/>
      <c r="I4" s="3352"/>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80" t="s">
        <v>302</v>
      </c>
      <c r="B5" s="3381">
        <v>25</v>
      </c>
      <c r="C5" s="3389"/>
      <c r="D5" s="3392"/>
      <c r="E5" s="261" t="s">
        <v>303</v>
      </c>
      <c r="F5" s="262"/>
      <c r="G5" s="262"/>
      <c r="H5" s="262"/>
      <c r="I5" s="263"/>
      <c r="J5" s="2013"/>
      <c r="K5" s="2012"/>
      <c r="L5" s="2012"/>
      <c r="M5" s="2012"/>
      <c r="N5" s="2012"/>
      <c r="O5" s="2012"/>
      <c r="P5" s="2012"/>
      <c r="Q5" s="2012"/>
      <c r="R5" s="2012"/>
      <c r="S5" s="2012"/>
      <c r="T5" s="2012"/>
      <c r="U5" s="2012"/>
      <c r="V5" s="2012"/>
    </row>
    <row r="6" spans="1:22" ht="14.25">
      <c r="A6" s="3380"/>
      <c r="B6" s="3381"/>
      <c r="C6" s="3390"/>
      <c r="D6" s="3392"/>
      <c r="E6" s="261" t="s">
        <v>304</v>
      </c>
      <c r="F6" s="262"/>
      <c r="G6" s="262"/>
      <c r="H6" s="262"/>
      <c r="I6" s="263"/>
      <c r="J6" s="2013"/>
      <c r="K6" s="2012"/>
      <c r="L6" s="2012"/>
      <c r="M6" s="2012"/>
      <c r="N6" s="2012"/>
      <c r="O6" s="2012"/>
      <c r="P6" s="2012"/>
      <c r="Q6" s="2012"/>
      <c r="R6" s="2012"/>
      <c r="S6" s="2012"/>
      <c r="T6" s="2012"/>
      <c r="U6" s="2012"/>
      <c r="V6" s="2012"/>
    </row>
    <row r="7" spans="1:22" ht="14.25">
      <c r="A7" s="3380"/>
      <c r="B7" s="3381"/>
      <c r="C7" s="3391"/>
      <c r="D7" s="3392"/>
      <c r="E7" s="261" t="s">
        <v>305</v>
      </c>
      <c r="F7" s="262"/>
      <c r="G7" s="262"/>
      <c r="H7" s="262"/>
      <c r="I7" s="263"/>
      <c r="J7" s="2013"/>
      <c r="K7" s="2012"/>
      <c r="L7" s="2012"/>
      <c r="M7" s="2012"/>
      <c r="N7" s="2012"/>
      <c r="O7" s="2012"/>
      <c r="P7" s="2012"/>
      <c r="Q7" s="2012"/>
      <c r="R7" s="2012"/>
      <c r="S7" s="2012"/>
      <c r="T7" s="2012"/>
      <c r="U7" s="2012"/>
      <c r="V7" s="2012"/>
    </row>
    <row r="8" spans="1:22" ht="14.25">
      <c r="A8" s="3380" t="s">
        <v>306</v>
      </c>
      <c r="B8" s="3381">
        <v>15</v>
      </c>
      <c r="C8" s="3389"/>
      <c r="D8" s="3392"/>
      <c r="E8" s="261" t="s">
        <v>307</v>
      </c>
      <c r="F8" s="262"/>
      <c r="G8" s="262"/>
      <c r="H8" s="262"/>
      <c r="I8" s="263"/>
      <c r="J8" s="2013"/>
      <c r="K8" s="2012"/>
      <c r="L8" s="2012"/>
      <c r="M8" s="2012"/>
      <c r="N8" s="2012"/>
      <c r="O8" s="2012"/>
      <c r="P8" s="2012"/>
      <c r="Q8" s="2012"/>
      <c r="R8" s="2012"/>
      <c r="S8" s="2012"/>
      <c r="T8" s="2012"/>
      <c r="U8" s="2012"/>
      <c r="V8" s="2012"/>
    </row>
    <row r="9" spans="1:22" ht="14.25">
      <c r="A9" s="3380"/>
      <c r="B9" s="3381"/>
      <c r="C9" s="3391"/>
      <c r="D9" s="3392"/>
      <c r="E9" s="261" t="s">
        <v>308</v>
      </c>
      <c r="F9" s="262"/>
      <c r="G9" s="262"/>
      <c r="H9" s="262"/>
      <c r="I9" s="263"/>
      <c r="J9" s="2013"/>
      <c r="K9" s="2012"/>
      <c r="L9" s="2012"/>
      <c r="M9" s="2012"/>
      <c r="N9" s="2012"/>
      <c r="O9" s="2012"/>
      <c r="P9" s="2012"/>
      <c r="Q9" s="2012"/>
      <c r="R9" s="2012"/>
      <c r="S9" s="2012"/>
      <c r="T9" s="2012"/>
      <c r="U9" s="2012"/>
      <c r="V9" s="2012"/>
    </row>
    <row r="10" spans="1:22" ht="14.25">
      <c r="A10" s="3380" t="s">
        <v>309</v>
      </c>
      <c r="B10" s="3381">
        <v>15</v>
      </c>
      <c r="C10" s="3389"/>
      <c r="D10" s="339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80"/>
      <c r="B11" s="3381"/>
      <c r="C11" s="3391"/>
      <c r="D11" s="339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80" t="s">
        <v>312</v>
      </c>
      <c r="B12" s="3381">
        <v>15</v>
      </c>
      <c r="C12" s="3389"/>
      <c r="D12" s="339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80"/>
      <c r="B13" s="3381"/>
      <c r="C13" s="3391"/>
      <c r="D13" s="339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80" t="s">
        <v>315</v>
      </c>
      <c r="B14" s="3381">
        <v>30</v>
      </c>
      <c r="C14" s="3389">
        <v>6</v>
      </c>
      <c r="D14" s="3392">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80"/>
      <c r="B15" s="3381"/>
      <c r="C15" s="3390"/>
      <c r="D15" s="339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80"/>
      <c r="B16" s="3381"/>
      <c r="C16" s="3391"/>
      <c r="D16" s="339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56815.416404038195</v>
      </c>
      <c r="D19" s="271">
        <f ca="1">SUMIF(INDIRECT("'"&amp;D4&amp;"'"&amp;"!A:A"),结果表!B19,INDIRECT("'"&amp;D4&amp;"'"&amp;"!B:B"))</f>
        <v>21456</v>
      </c>
      <c r="E19" s="268" t="s">
        <v>323</v>
      </c>
      <c r="F19" s="269" t="s">
        <v>322</v>
      </c>
      <c r="G19" s="272">
        <f ca="1">ROUND(C19*$C$18+D19*$D$18,0)</f>
        <v>42672</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5897</v>
      </c>
      <c r="D20" s="277">
        <f ca="1">SUMIF(INDIRECT("'"&amp;D4&amp;"'"&amp;"!A:A"),结果表!B20,INDIRECT("'"&amp;D4&amp;"'"&amp;"!B:B"))</f>
        <v>2227</v>
      </c>
      <c r="E20" s="274"/>
      <c r="F20" s="275" t="s">
        <v>325</v>
      </c>
      <c r="G20" s="278">
        <f ca="1">ROUND(C20*$C$18+D20*$D$18,0)</f>
        <v>4429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5897</v>
      </c>
      <c r="D21" s="151">
        <f ca="1">SUMIF(INDIRECT("'"&amp;D4&amp;"'"&amp;"!A:A"),结果表!B21,INDIRECT("'"&amp;D4&amp;"'"&amp;"!B:B"))</f>
        <v>2227</v>
      </c>
      <c r="E21" s="274"/>
      <c r="F21" s="280" t="s">
        <v>327</v>
      </c>
      <c r="G21" s="282">
        <f ca="1">ROUND(C21*$C$18+D21*$D$18,0)</f>
        <v>4429</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1.6479966631263139</v>
      </c>
      <c r="E22" s="284"/>
      <c r="F22" s="285"/>
      <c r="G22" s="286">
        <f ca="1">ROUND(G19/('数据-汇总表'!D3/666.67),0)</f>
        <v>295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5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97"/>
      <c r="B25" s="1315" t="s">
        <v>331</v>
      </c>
      <c r="C25" s="290">
        <f>IF(B30=0,0,C30)</f>
        <v>0</v>
      </c>
      <c r="D25" s="291"/>
      <c r="E25" s="311"/>
      <c r="F25" s="311"/>
      <c r="G25" s="311"/>
      <c r="H25" s="311"/>
      <c r="I25" s="311"/>
      <c r="J25" s="2012"/>
      <c r="K25" s="1249" t="str">
        <f ca="1">项目基本情况!B16&amp;"国有建设用地使用权价格："&amp;O38&amp;"万元"</f>
        <v>划拨国有建设用地使用权价格：42672万元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大写金额：人民币肆亿贰仟陆佰柒拾贰万元整</v>
      </c>
      <c r="L26" s="1246"/>
      <c r="M26" s="1246"/>
      <c r="N26" s="1246"/>
      <c r="O26" s="1245"/>
      <c r="P26" s="2012"/>
      <c r="Q26" s="2012"/>
      <c r="R26" s="2012"/>
      <c r="S26" s="2012"/>
      <c r="T26" s="2012"/>
      <c r="U26" s="2012"/>
      <c r="V26" s="2012"/>
      <c r="W26" s="292"/>
      <c r="X26" s="292"/>
      <c r="Y26" s="292"/>
      <c r="Z26" s="292"/>
    </row>
    <row r="27" spans="1:26" ht="18">
      <c r="A27" s="293"/>
      <c r="B27" s="294"/>
      <c r="C27" s="294">
        <f ca="1">C20*C18+D20*D18</f>
        <v>4429</v>
      </c>
      <c r="D27" s="295"/>
      <c r="E27" s="311"/>
      <c r="F27" s="311"/>
      <c r="G27" s="311"/>
      <c r="H27" s="311"/>
      <c r="I27" s="311"/>
      <c r="J27" s="2012"/>
      <c r="K27" s="1252" t="str">
        <f ca="1">"单位面积地价："&amp;M38&amp;"元/平方米"</f>
        <v>单位面积地价：4429元/平方米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楼面地价：4429元/平方米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64" t="s">
        <v>336</v>
      </c>
      <c r="B30" s="309"/>
      <c r="C30" s="309"/>
      <c r="D30" s="310"/>
      <c r="E30" s="306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f ca="1">G19-C24</f>
        <v>42672</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f ca="1">ROUND(C32*10000/'数据-汇总表'!E3,0)</f>
        <v>4429</v>
      </c>
      <c r="D33" s="1380" t="s">
        <v>1689</v>
      </c>
      <c r="E33" s="3353"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4429</v>
      </c>
      <c r="D34" s="1382" t="s">
        <v>1689</v>
      </c>
      <c r="E34" s="3354"/>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295</v>
      </c>
      <c r="D35" s="1385" t="s">
        <v>1691</v>
      </c>
      <c r="E35" s="3355"/>
      <c r="F35" s="301" t="s">
        <v>342</v>
      </c>
      <c r="G35" s="980"/>
      <c r="H35" s="979" t="s">
        <v>343</v>
      </c>
      <c r="I35" s="311"/>
      <c r="J35" s="2012"/>
      <c r="K35" s="3359" t="s">
        <v>350</v>
      </c>
      <c r="L35" s="3359" t="s">
        <v>351</v>
      </c>
      <c r="M35" s="1258" t="s">
        <v>352</v>
      </c>
      <c r="N35" s="3359" t="s">
        <v>353</v>
      </c>
      <c r="O35" s="3359" t="s">
        <v>354</v>
      </c>
      <c r="P35" s="2012"/>
      <c r="V35" s="2012"/>
    </row>
    <row r="36" spans="1:26" ht="16.5" customHeight="1">
      <c r="A36" s="303" t="s">
        <v>344</v>
      </c>
      <c r="B36" s="304" t="s">
        <v>333</v>
      </c>
      <c r="C36" s="305" t="s">
        <v>345</v>
      </c>
      <c r="D36" s="305" t="s">
        <v>346</v>
      </c>
      <c r="E36" s="306" t="s">
        <v>347</v>
      </c>
      <c r="F36" s="311"/>
      <c r="G36" s="311"/>
      <c r="H36" s="311"/>
      <c r="I36" s="311"/>
      <c r="J36" s="2014"/>
      <c r="K36" s="3360"/>
      <c r="L36" s="3360"/>
      <c r="M36" s="1260" t="s">
        <v>355</v>
      </c>
      <c r="N36" s="3360"/>
      <c r="O36" s="3360"/>
      <c r="P36" s="2012"/>
      <c r="V36" s="2012"/>
    </row>
    <row r="37" spans="1:26" ht="16.5" customHeight="1" thickBot="1">
      <c r="A37" s="1254" t="s">
        <v>348</v>
      </c>
      <c r="B37" s="307"/>
      <c r="C37" s="294"/>
      <c r="D37" s="294"/>
      <c r="E37" s="295"/>
      <c r="F37" s="311"/>
      <c r="G37" s="311"/>
      <c r="H37" s="311"/>
      <c r="I37" s="311"/>
      <c r="J37" s="2014"/>
      <c r="K37" s="3361"/>
      <c r="L37" s="3361"/>
      <c r="M37" s="1261"/>
      <c r="N37" s="3361"/>
      <c r="O37" s="3361"/>
      <c r="P37" s="2012"/>
      <c r="V37" s="2012"/>
    </row>
    <row r="38" spans="1:26" ht="16.5" customHeight="1" thickBot="1">
      <c r="A38" s="1254" t="s">
        <v>349</v>
      </c>
      <c r="B38" s="307"/>
      <c r="C38" s="294"/>
      <c r="D38" s="294"/>
      <c r="E38" s="295"/>
      <c r="F38" s="311"/>
      <c r="G38" s="311"/>
      <c r="H38" s="311"/>
      <c r="I38" s="311"/>
      <c r="J38" s="2014"/>
      <c r="K38" s="1262">
        <f>'数据-汇总表'!D3</f>
        <v>96343.56</v>
      </c>
      <c r="L38" s="1263">
        <f>'数据-汇总表'!E3</f>
        <v>96343.56</v>
      </c>
      <c r="M38" s="1263">
        <f ca="1">C34</f>
        <v>4429</v>
      </c>
      <c r="N38" s="1263">
        <f ca="1">C33</f>
        <v>4429</v>
      </c>
      <c r="O38" s="1264">
        <f ca="1">C32</f>
        <v>42672</v>
      </c>
      <c r="P38" s="2012"/>
      <c r="V38" s="2012"/>
    </row>
    <row r="39" spans="1:26" ht="16.5" customHeight="1" thickBot="1">
      <c r="A39" s="1259"/>
      <c r="B39" s="308"/>
      <c r="C39" s="309"/>
      <c r="D39" s="309"/>
      <c r="E39" s="310"/>
      <c r="F39" s="311"/>
      <c r="G39" s="311"/>
      <c r="H39" s="311"/>
      <c r="I39" s="311"/>
      <c r="J39" s="2014"/>
      <c r="K39" s="3372" t="str">
        <f>MID(A44,3,LEN(A44)-2)</f>
        <v/>
      </c>
      <c r="L39" s="3373"/>
      <c r="M39" s="3373"/>
      <c r="N39" s="3374"/>
      <c r="O39" s="1387" t="str">
        <f>C44</f>
        <v>——</v>
      </c>
      <c r="P39" s="2012"/>
      <c r="V39" s="2012"/>
    </row>
    <row r="40" spans="1:26" ht="19.5" thickBot="1">
      <c r="A40" s="104" t="s">
        <v>871</v>
      </c>
      <c r="B40" s="311"/>
      <c r="C40" s="311"/>
      <c r="D40" s="311"/>
      <c r="E40" s="311"/>
      <c r="F40" s="311"/>
      <c r="G40" s="311"/>
      <c r="H40" s="311"/>
      <c r="I40" s="311"/>
      <c r="J40" s="2014"/>
      <c r="K40" s="3372" t="str">
        <f t="shared" ref="K40:K41" si="0">MID(A45,3,LEN(A45)-2)</f>
        <v/>
      </c>
      <c r="L40" s="3373"/>
      <c r="M40" s="3373"/>
      <c r="N40" s="3374"/>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2" t="str">
        <f t="shared" si="0"/>
        <v/>
      </c>
      <c r="L41" s="3373"/>
      <c r="M41" s="3373"/>
      <c r="N41" s="3374"/>
      <c r="O41" s="1387" t="str">
        <f>C46</f>
        <v>——</v>
      </c>
      <c r="P41" s="2012"/>
      <c r="V41" s="2012"/>
    </row>
    <row r="42" spans="1:26" ht="29.25">
      <c r="A42" s="3398" t="s">
        <v>2063</v>
      </c>
      <c r="B42" s="3399"/>
      <c r="C42" s="264">
        <f ca="1">C32</f>
        <v>42672</v>
      </c>
      <c r="D42" s="317">
        <f ca="1">C33</f>
        <v>4429</v>
      </c>
      <c r="E42" s="317">
        <f ca="1">C34</f>
        <v>4429</v>
      </c>
      <c r="F42" s="318">
        <f ca="1">C35</f>
        <v>295</v>
      </c>
      <c r="G42" s="311"/>
      <c r="H42" s="311"/>
      <c r="I42" s="319"/>
      <c r="J42" s="2014"/>
      <c r="K42" s="1265" t="s">
        <v>361</v>
      </c>
      <c r="L42" s="2031" t="s">
        <v>362</v>
      </c>
      <c r="M42" s="1266" t="s">
        <v>363</v>
      </c>
      <c r="N42" s="2032" t="s">
        <v>364</v>
      </c>
      <c r="O42" s="2033" t="s">
        <v>365</v>
      </c>
      <c r="P42" s="2012"/>
      <c r="V42" s="2012"/>
    </row>
    <row r="43" spans="1:26" ht="18">
      <c r="A43" s="3408" t="s">
        <v>2724</v>
      </c>
      <c r="B43" s="3409"/>
      <c r="C43" s="264">
        <f>IF(H33="正常操作",G33+G34+G35,G34+G35)</f>
        <v>0</v>
      </c>
      <c r="D43" s="317" t="s">
        <v>43</v>
      </c>
      <c r="E43" s="317" t="s">
        <v>44</v>
      </c>
      <c r="F43" s="318" t="s">
        <v>44</v>
      </c>
      <c r="G43" s="2818" t="s">
        <v>950</v>
      </c>
      <c r="H43" s="311"/>
      <c r="I43" s="319"/>
      <c r="J43" s="2014"/>
      <c r="K43" s="1267" t="str">
        <f>C4</f>
        <v>剩余法-现房</v>
      </c>
      <c r="L43" s="1268">
        <f ca="1">IF(L42="估价结果/万元",C19,C20)</f>
        <v>56815.416404038195</v>
      </c>
      <c r="M43" s="1269">
        <f>C18</f>
        <v>0.6</v>
      </c>
      <c r="N43" s="1270">
        <f ca="1">IF(N42="测算结果/万元",G19,G20)</f>
        <v>42672</v>
      </c>
      <c r="O43" s="1271">
        <f ca="1">IF(O42="最终结果/万元",C32,C33)</f>
        <v>42672</v>
      </c>
      <c r="P43" s="2012"/>
      <c r="V43" s="2012"/>
    </row>
    <row r="44" spans="1:26" ht="18.75" thickBot="1">
      <c r="A44" s="3398" t="str">
        <f>IF(OR(项目基本情况!E8="抵押价格",项目基本情况!E8="已注销及未注销"),"3.抵押价格","——")</f>
        <v>——</v>
      </c>
      <c r="B44" s="3399"/>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基准地价</v>
      </c>
      <c r="L44" s="1273">
        <f ca="1">IF(L42="估价结果/万元",D19,D20)</f>
        <v>21456</v>
      </c>
      <c r="M44" s="1274">
        <f>D18</f>
        <v>0.4</v>
      </c>
      <c r="N44" s="1275"/>
      <c r="O44" s="1276"/>
      <c r="P44" s="2012"/>
      <c r="V44" s="2012"/>
    </row>
    <row r="45" spans="1:26" ht="15">
      <c r="A45" s="3403" t="str">
        <f>IF(项目基本情况!E8="已注销及未注销","4.抵押担保权已注销时的抵押价格",IF(项目基本情况!E8="已注销","3.抵押担保权已注销时的抵押价格","——"))</f>
        <v>——</v>
      </c>
      <c r="B45" s="340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0" t="str">
        <f>IF(项目基本情况!E9="抵押净值",IF(A45="——","4.抵押净值","5.抵押净值"),"——")</f>
        <v>——</v>
      </c>
      <c r="B46" s="340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64" t="s">
        <v>374</v>
      </c>
      <c r="B63" s="3365"/>
      <c r="C63" s="3366"/>
      <c r="D63" s="341">
        <f ca="1">ROUND(C42*F63,0)</f>
        <v>25603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05" t="s">
        <v>378</v>
      </c>
      <c r="B64" s="3406"/>
      <c r="C64" s="3406"/>
      <c r="D64" s="3406"/>
      <c r="E64" s="3406"/>
      <c r="F64" s="3406"/>
      <c r="G64" s="3407"/>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402" t="s">
        <v>386</v>
      </c>
      <c r="B66" s="3371"/>
      <c r="C66" s="3371"/>
      <c r="D66" s="261">
        <f ca="1">IF(H66="情况1",0,IF(H66="情况2",D70,IF(H66="情况3",D71,IF(H66="情况4",D72))))</f>
        <v>1341</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332" t="s">
        <v>385</v>
      </c>
      <c r="M66" s="3333"/>
      <c r="N66" s="2421"/>
      <c r="O66" s="2422"/>
      <c r="P66" s="2423"/>
      <c r="Q66" s="2012"/>
      <c r="R66" s="2012"/>
      <c r="S66" s="2012"/>
      <c r="T66" s="2012"/>
      <c r="U66" s="2012"/>
      <c r="V66" s="2012"/>
    </row>
    <row r="67" spans="1:22" ht="25.5" customHeight="1">
      <c r="A67" s="352" t="s">
        <v>390</v>
      </c>
      <c r="B67" s="3383" t="s">
        <v>391</v>
      </c>
      <c r="C67" s="3383"/>
      <c r="D67" s="353">
        <v>0</v>
      </c>
      <c r="E67" s="41" t="s">
        <v>392</v>
      </c>
      <c r="F67" s="62" t="s">
        <v>21</v>
      </c>
      <c r="G67" s="3367"/>
      <c r="H67" s="311"/>
      <c r="I67" s="1286"/>
      <c r="J67" s="2019"/>
      <c r="K67" s="1960">
        <v>2</v>
      </c>
      <c r="L67" s="3337" t="s">
        <v>389</v>
      </c>
      <c r="M67" s="3337"/>
      <c r="N67" s="1319">
        <f>'数据-取费表'!B2</f>
        <v>44134</v>
      </c>
      <c r="O67" s="1319"/>
      <c r="P67" s="1319"/>
      <c r="Q67" s="2012"/>
      <c r="R67" s="2012"/>
      <c r="S67" s="2012"/>
      <c r="T67" s="2012"/>
      <c r="U67" s="2012"/>
      <c r="V67" s="2012"/>
    </row>
    <row r="68" spans="1:22" ht="25.5" customHeight="1">
      <c r="A68" s="354"/>
      <c r="B68" s="3383" t="s">
        <v>394</v>
      </c>
      <c r="C68" s="3383"/>
      <c r="D68" s="355"/>
      <c r="E68" s="77"/>
      <c r="F68" s="356"/>
      <c r="G68" s="3368"/>
      <c r="H68" s="311"/>
      <c r="I68" s="1286"/>
      <c r="J68" s="2019"/>
      <c r="K68" s="1960">
        <v>3</v>
      </c>
      <c r="L68" s="3337" t="s">
        <v>393</v>
      </c>
      <c r="M68" s="3337"/>
      <c r="N68" s="1287">
        <f ca="1">C42</f>
        <v>42672</v>
      </c>
      <c r="O68" s="1287"/>
      <c r="P68" s="1287"/>
      <c r="Q68" s="2012"/>
      <c r="R68" s="2012"/>
      <c r="S68" s="2012"/>
      <c r="T68" s="2012"/>
      <c r="U68" s="2012"/>
      <c r="V68" s="2012"/>
    </row>
    <row r="69" spans="1:22" ht="12" customHeight="1">
      <c r="A69" s="357"/>
      <c r="B69" s="3383" t="s">
        <v>395</v>
      </c>
      <c r="C69" s="3383"/>
      <c r="D69" s="358"/>
      <c r="E69" s="73"/>
      <c r="F69" s="356"/>
      <c r="G69" s="3369"/>
      <c r="H69" s="311"/>
      <c r="I69" s="1286"/>
      <c r="J69" s="2019"/>
      <c r="K69" s="1288">
        <v>4</v>
      </c>
      <c r="L69" s="3338" t="s">
        <v>2875</v>
      </c>
      <c r="M69" s="3339"/>
      <c r="N69" s="1289" t="str">
        <f>C44</f>
        <v>——</v>
      </c>
      <c r="O69" s="1289"/>
      <c r="P69" s="1289"/>
      <c r="Q69" s="2012"/>
      <c r="R69" s="2012"/>
      <c r="S69" s="2012"/>
      <c r="T69" s="2012"/>
      <c r="U69" s="2012"/>
      <c r="V69" s="2012"/>
    </row>
    <row r="70" spans="1:22" ht="24" customHeight="1">
      <c r="A70" s="359" t="s">
        <v>396</v>
      </c>
      <c r="B70" s="3383" t="s">
        <v>397</v>
      </c>
      <c r="C70" s="3383"/>
      <c r="D70" s="358">
        <f ca="1">ROUND(D63*'数据-取费表'!B41/(1+'数据-取费表'!C42),0)</f>
        <v>1341</v>
      </c>
      <c r="E70" s="17" t="s">
        <v>398</v>
      </c>
      <c r="F70" s="360">
        <f>'数据-取费表'!B41</f>
        <v>5.5000000000000007E-2</v>
      </c>
      <c r="G70" s="361"/>
      <c r="H70" s="311"/>
      <c r="I70" s="1286"/>
      <c r="J70" s="2019"/>
      <c r="K70" s="3004"/>
      <c r="L70" s="3005"/>
      <c r="M70" s="3005"/>
      <c r="N70" s="3006" t="s">
        <v>2880</v>
      </c>
      <c r="O70" s="3005"/>
      <c r="P70" s="3007"/>
      <c r="Q70" s="2012"/>
      <c r="R70" s="2012"/>
      <c r="S70" s="2012"/>
      <c r="T70" s="2012"/>
      <c r="U70" s="2012"/>
      <c r="V70" s="2012"/>
    </row>
    <row r="71" spans="1:22" ht="12" customHeight="1">
      <c r="A71" s="359" t="s">
        <v>404</v>
      </c>
      <c r="B71" s="3382" t="s">
        <v>405</v>
      </c>
      <c r="C71" s="3396"/>
      <c r="D71" s="358">
        <f ca="1">ROUND(D63*'数据-取费表'!B41/(1+'数据-取费表'!C42),0)</f>
        <v>1341</v>
      </c>
      <c r="E71" s="17" t="s">
        <v>398</v>
      </c>
      <c r="F71" s="360">
        <f>'数据-取费表'!B41</f>
        <v>5.5000000000000007E-2</v>
      </c>
      <c r="G71" s="361"/>
      <c r="H71" s="311"/>
      <c r="I71" s="1286"/>
      <c r="J71" s="2019"/>
      <c r="K71" s="3003" t="s">
        <v>399</v>
      </c>
      <c r="L71" s="3340" t="s">
        <v>400</v>
      </c>
      <c r="M71" s="3340"/>
      <c r="N71" s="3003" t="s">
        <v>401</v>
      </c>
      <c r="O71" s="3003" t="s">
        <v>402</v>
      </c>
      <c r="P71" s="3003" t="s">
        <v>403</v>
      </c>
      <c r="Q71" s="2012"/>
      <c r="R71" s="2012"/>
      <c r="S71" s="2012"/>
      <c r="T71" s="2012"/>
      <c r="U71" s="2012"/>
      <c r="V71" s="2012"/>
    </row>
    <row r="72" spans="1:22" ht="12" customHeight="1">
      <c r="A72" s="359" t="s">
        <v>407</v>
      </c>
      <c r="B72" s="3382" t="s">
        <v>408</v>
      </c>
      <c r="C72" s="3396"/>
      <c r="D72" s="358">
        <f ca="1">C86</f>
        <v>1231</v>
      </c>
      <c r="E72" s="73" t="s">
        <v>409</v>
      </c>
      <c r="F72" s="360">
        <f>'数据-取费表'!B41</f>
        <v>5.5000000000000007E-2</v>
      </c>
      <c r="G72" s="361"/>
      <c r="H72" s="1292"/>
      <c r="I72" s="1286"/>
      <c r="J72" s="2019"/>
      <c r="K72" s="1960">
        <v>1</v>
      </c>
      <c r="L72" s="3336" t="s">
        <v>406</v>
      </c>
      <c r="M72" s="3336"/>
      <c r="N72" s="1290">
        <f ca="1">D66</f>
        <v>1341</v>
      </c>
      <c r="O72" s="1843" t="str">
        <f>E66</f>
        <v>销售额×税（费）率</v>
      </c>
      <c r="P72" s="1291">
        <f>F66</f>
        <v>5.5000000000000007E-2</v>
      </c>
      <c r="Q72" s="2012"/>
      <c r="R72" s="2012"/>
      <c r="S72" s="2012"/>
      <c r="T72" s="2012"/>
      <c r="U72" s="2012"/>
      <c r="V72" s="2012"/>
    </row>
    <row r="73" spans="1:22" ht="24" customHeight="1">
      <c r="A73" s="3370" t="s">
        <v>411</v>
      </c>
      <c r="B73" s="3371"/>
      <c r="C73" s="3371"/>
      <c r="D73" s="362">
        <f>IF(H73="个人住宅",0,ROUND(D63*I73,0))</f>
        <v>0</v>
      </c>
      <c r="E73" s="17" t="s">
        <v>412</v>
      </c>
      <c r="F73" s="360" t="str">
        <f>IF(H73="正常",I73,"免征")</f>
        <v>免征</v>
      </c>
      <c r="G73" s="361"/>
      <c r="H73" s="191" t="s">
        <v>2450</v>
      </c>
      <c r="I73" s="360">
        <f>'数据-取费表'!B49</f>
        <v>5.0000000000000001E-4</v>
      </c>
      <c r="J73" s="2019"/>
      <c r="K73" s="1960">
        <v>2</v>
      </c>
      <c r="L73" s="3336" t="s">
        <v>410</v>
      </c>
      <c r="M73" s="3336"/>
      <c r="N73" s="1290">
        <f t="shared" ref="N73:P74" si="1">D73</f>
        <v>0</v>
      </c>
      <c r="O73" s="1843" t="str">
        <f t="shared" si="1"/>
        <v>销售额×税（费）率</v>
      </c>
      <c r="P73" s="1291" t="str">
        <f t="shared" si="1"/>
        <v>免征</v>
      </c>
      <c r="Q73" s="2012"/>
      <c r="R73" s="2012"/>
      <c r="S73" s="2012"/>
      <c r="T73" s="2012"/>
      <c r="U73" s="2012"/>
      <c r="V73" s="2012"/>
    </row>
    <row r="74" spans="1:22" ht="24.75">
      <c r="A74" s="3370" t="s">
        <v>415</v>
      </c>
      <c r="B74" s="3371"/>
      <c r="C74" s="3371"/>
      <c r="D74" s="362">
        <f ca="1">IF(H74="个人住宅",D75,D76)</f>
        <v>13917</v>
      </c>
      <c r="E74" s="17" t="s">
        <v>416</v>
      </c>
      <c r="F74" s="360" t="str">
        <f>IF(H74="正常",F76,"免征")</f>
        <v>——</v>
      </c>
      <c r="G74" s="981" t="s">
        <v>417</v>
      </c>
      <c r="H74" s="363" t="s">
        <v>413</v>
      </c>
      <c r="I74" s="42"/>
      <c r="J74" s="2019"/>
      <c r="K74" s="1960">
        <v>3</v>
      </c>
      <c r="L74" s="3336" t="s">
        <v>414</v>
      </c>
      <c r="M74" s="3336"/>
      <c r="N74" s="1290">
        <f t="shared" ca="1" si="1"/>
        <v>13917</v>
      </c>
      <c r="O74" s="1843" t="str">
        <f t="shared" si="1"/>
        <v>增值额×税（费）率</v>
      </c>
      <c r="P74" s="1293" t="str">
        <f t="shared" si="1"/>
        <v>——</v>
      </c>
      <c r="Q74" s="2012"/>
      <c r="R74" s="2012"/>
      <c r="S74" s="2012"/>
      <c r="T74" s="2012"/>
      <c r="U74" s="2012"/>
      <c r="V74" s="2012"/>
    </row>
    <row r="75" spans="1:22" ht="24">
      <c r="A75" s="359" t="s">
        <v>418</v>
      </c>
      <c r="B75" s="3351" t="s">
        <v>419</v>
      </c>
      <c r="C75" s="3352"/>
      <c r="D75" s="364">
        <v>0</v>
      </c>
      <c r="E75" s="41" t="s">
        <v>420</v>
      </c>
      <c r="F75" s="365"/>
      <c r="G75" s="361"/>
      <c r="H75" s="42"/>
      <c r="I75" s="42"/>
      <c r="J75" s="2019"/>
      <c r="K75" s="2996">
        <f>IF(H77="非个人房产","",4)</f>
        <v>4</v>
      </c>
      <c r="L75" s="3336" t="str">
        <f>IF(H77="非个人房产","——","个人所得税")</f>
        <v>个人所得税</v>
      </c>
      <c r="M75" s="3336"/>
      <c r="N75" s="1294">
        <f ca="1">D77</f>
        <v>256</v>
      </c>
      <c r="O75" s="1856" t="str">
        <f>E77</f>
        <v>销售额×税（费）率</v>
      </c>
      <c r="P75" s="1295">
        <f>F77</f>
        <v>0.01</v>
      </c>
      <c r="Q75" s="2012"/>
      <c r="R75" s="2012"/>
      <c r="S75" s="2012"/>
      <c r="T75" s="2012"/>
      <c r="U75" s="2012"/>
      <c r="V75" s="2012"/>
    </row>
    <row r="76" spans="1:22" ht="24.75">
      <c r="A76" s="359" t="s">
        <v>396</v>
      </c>
      <c r="B76" s="3351" t="s">
        <v>422</v>
      </c>
      <c r="C76" s="3393"/>
      <c r="D76" s="362">
        <f ca="1">IF(H76="转让取得",C99,C115)</f>
        <v>13917</v>
      </c>
      <c r="E76" s="17" t="s">
        <v>423</v>
      </c>
      <c r="F76" s="53" t="s">
        <v>21</v>
      </c>
      <c r="G76" s="361"/>
      <c r="H76" s="363" t="s">
        <v>424</v>
      </c>
      <c r="I76" s="42"/>
      <c r="J76" s="2019"/>
      <c r="K76" s="2996" t="str">
        <f>IF(项目基本情况!K6="上海银行",IF(K75="",4,K75+1),"")</f>
        <v/>
      </c>
      <c r="L76" s="3347" t="str">
        <f>IF(项目基本情况!K6="上海银行","其他处置费用","")</f>
        <v/>
      </c>
      <c r="M76" s="3348"/>
      <c r="N76" s="1290" t="str">
        <f>IF(项目基本情况!K6="上海银行",N89,"")</f>
        <v/>
      </c>
      <c r="O76" s="3349" t="str">
        <f>IF(项目基本情况!K6="上海银行","包含处置中涉及的律师、诉讼、拍卖、评估等费用","")</f>
        <v/>
      </c>
      <c r="P76" s="3350"/>
      <c r="Q76" s="2012"/>
      <c r="R76" s="2012"/>
      <c r="S76" s="2012"/>
      <c r="T76" s="2012"/>
      <c r="U76" s="2012"/>
      <c r="V76" s="2012"/>
    </row>
    <row r="77" spans="1:22" ht="26.25" thickBot="1">
      <c r="A77" s="3362" t="s">
        <v>426</v>
      </c>
      <c r="B77" s="3363"/>
      <c r="C77" s="3363"/>
      <c r="D77" s="366">
        <f ca="1">IF(H77="非个人房产","——",IF(H77="个人住宅",0,ROUND(D63*I77,0)))</f>
        <v>256</v>
      </c>
      <c r="E77" s="367" t="str">
        <f>IF(H77="非个人房产","——","销售额×税（费）率")</f>
        <v>销售额×税（费）率</v>
      </c>
      <c r="F77" s="368">
        <f>IF(H77="非个人房产","——",IF(H77="个人住宅","免征",I77))</f>
        <v>0.01</v>
      </c>
      <c r="G77" s="982" t="s">
        <v>417</v>
      </c>
      <c r="H77" s="363" t="s">
        <v>2876</v>
      </c>
      <c r="I77" s="369">
        <v>0.01</v>
      </c>
      <c r="J77" s="2019"/>
      <c r="K77" s="3358">
        <f>IF(AND(K75="",K76=""),4,IF(项目基本情况!K6="上海银行",K76+1,K75+1))</f>
        <v>5</v>
      </c>
      <c r="L77" s="3336" t="s">
        <v>2877</v>
      </c>
      <c r="M77" s="3002" t="s">
        <v>421</v>
      </c>
      <c r="N77" s="1296"/>
      <c r="O77" s="1297">
        <f ca="1">SUMIF(N72:N76,"&lt;9e307")</f>
        <v>15514</v>
      </c>
      <c r="P77" s="1298"/>
      <c r="Q77" s="3000" t="e">
        <f ca="1">O77/N69</f>
        <v>#VALUE!</v>
      </c>
      <c r="R77" s="2012"/>
      <c r="S77" s="2012"/>
      <c r="T77" s="2012"/>
      <c r="U77" s="2012"/>
      <c r="V77" s="2012"/>
    </row>
    <row r="78" spans="1:22" ht="12" customHeight="1">
      <c r="A78" s="1299"/>
      <c r="B78" s="311"/>
      <c r="C78" s="311"/>
      <c r="D78" s="311"/>
      <c r="E78" s="42"/>
      <c r="F78" s="42"/>
      <c r="G78" s="42"/>
      <c r="H78" s="1001"/>
      <c r="I78" s="311"/>
      <c r="J78" s="2019"/>
      <c r="K78" s="3358"/>
      <c r="L78" s="3336"/>
      <c r="M78" s="3002" t="s">
        <v>425</v>
      </c>
      <c r="N78" s="1296"/>
      <c r="O78" s="1297" t="str">
        <f ca="1">NUMBERSTRING(INT(O77*10000),2)&amp;"元整"</f>
        <v>壹亿伍仟伍佰壹拾肆万元整</v>
      </c>
      <c r="P78" s="1298"/>
      <c r="Q78" s="2012"/>
      <c r="R78" s="2012"/>
      <c r="S78" s="2012"/>
      <c r="T78" s="2012"/>
      <c r="U78" s="2012"/>
      <c r="V78" s="2012"/>
    </row>
    <row r="79" spans="1:22" ht="13.5" thickBot="1">
      <c r="A79" s="3410" t="s">
        <v>427</v>
      </c>
      <c r="B79" s="3410"/>
      <c r="C79" s="3410"/>
      <c r="D79" s="3410"/>
      <c r="E79" s="3410"/>
      <c r="F79" s="42"/>
      <c r="G79" s="42"/>
      <c r="H79" s="1001"/>
      <c r="I79" s="311"/>
      <c r="J79" s="2019"/>
      <c r="K79" s="3334">
        <f>K77+1</f>
        <v>6</v>
      </c>
      <c r="L79" s="3336" t="s">
        <v>2878</v>
      </c>
      <c r="M79" s="3002" t="s">
        <v>421</v>
      </c>
      <c r="N79" s="1296"/>
      <c r="O79" s="1297" t="e">
        <f ca="1">N69-O77</f>
        <v>#VALUE!</v>
      </c>
      <c r="P79" s="1298"/>
      <c r="Q79" s="2012"/>
      <c r="R79" s="2012"/>
      <c r="S79" s="2012"/>
      <c r="T79" s="2012"/>
      <c r="U79" s="2012"/>
      <c r="V79" s="2012"/>
    </row>
    <row r="80" spans="1:22" ht="12.75">
      <c r="A80" s="3344" t="s">
        <v>428</v>
      </c>
      <c r="B80" s="3345"/>
      <c r="C80" s="992"/>
      <c r="D80" s="992" t="s">
        <v>429</v>
      </c>
      <c r="E80" s="370" t="s">
        <v>430</v>
      </c>
      <c r="F80" s="42"/>
      <c r="G80" s="42"/>
      <c r="H80" s="1001"/>
      <c r="I80" s="311"/>
      <c r="J80" s="2012"/>
      <c r="K80" s="3335"/>
      <c r="L80" s="3336"/>
      <c r="M80" s="3002"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24384</v>
      </c>
      <c r="D81" s="373"/>
      <c r="E81" s="374"/>
      <c r="F81" s="42"/>
      <c r="G81" s="42"/>
      <c r="H81" s="1001"/>
      <c r="I81" s="311"/>
      <c r="J81" s="2012"/>
      <c r="K81" s="2996">
        <f>K79+1</f>
        <v>7</v>
      </c>
      <c r="L81" s="3356" t="s">
        <v>2879</v>
      </c>
      <c r="M81" s="3357"/>
      <c r="N81" s="1300"/>
      <c r="O81" s="1301" t="e">
        <f ca="1">ROUND(O79*10000/'数据-汇总表'!E3,0)</f>
        <v>#VALUE!</v>
      </c>
      <c r="P81" s="1302"/>
      <c r="Q81" s="2012"/>
      <c r="R81" s="2012"/>
      <c r="S81" s="2012"/>
      <c r="T81" s="2012"/>
      <c r="U81" s="2012"/>
      <c r="V81" s="2012"/>
    </row>
    <row r="82" spans="1:26" ht="13.5" thickTop="1">
      <c r="A82" s="375" t="s">
        <v>1822</v>
      </c>
      <c r="B82" s="376" t="s">
        <v>432</v>
      </c>
      <c r="C82" s="377">
        <f ca="1">D63</f>
        <v>25603</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46" t="s">
        <v>2866</v>
      </c>
      <c r="L83" s="3008" t="s">
        <v>2867</v>
      </c>
      <c r="M83" s="2998" t="e">
        <f>IF(N69&gt;10000,N69*0.5%,IF(AND(N69&gt;1000,N69&lt;=10000),N69*1%,IF(AND(N69&gt;100,N69&lt;=1000),N69*3%,IF(AND(N69&gt;10,N69&lt;=100),N69*5%,N69*8%))))</f>
        <v>#VALUE!</v>
      </c>
      <c r="N83" s="53" t="e">
        <f>ROUND(M83,1)</f>
        <v>#VALUE!</v>
      </c>
      <c r="O83" s="3001"/>
      <c r="P83" s="2012"/>
      <c r="Q83" s="2012"/>
      <c r="R83" s="2012"/>
      <c r="S83" s="2012"/>
      <c r="T83" s="2012"/>
      <c r="U83" s="2012"/>
      <c r="V83" s="2012"/>
    </row>
    <row r="84" spans="1:26" ht="12.75">
      <c r="A84" s="381" t="s">
        <v>1824</v>
      </c>
      <c r="B84" s="382" t="s">
        <v>434</v>
      </c>
      <c r="C84" s="383">
        <v>2000</v>
      </c>
      <c r="D84" s="384" t="s">
        <v>19</v>
      </c>
      <c r="E84" s="3043" t="s">
        <v>2934</v>
      </c>
      <c r="F84" s="42"/>
      <c r="G84" s="42"/>
      <c r="H84" s="1001"/>
      <c r="I84" s="311"/>
      <c r="J84" s="2012"/>
      <c r="K84" s="3346"/>
      <c r="L84" s="3008" t="s">
        <v>2868</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f ca="1">C81-C84</f>
        <v>22384</v>
      </c>
      <c r="D85" s="378" t="s">
        <v>19</v>
      </c>
      <c r="E85" s="379"/>
      <c r="F85" s="42"/>
      <c r="G85" s="42"/>
      <c r="H85" s="1001"/>
      <c r="I85" s="311"/>
      <c r="J85" s="2012"/>
      <c r="K85" s="3346"/>
      <c r="L85" s="3008" t="s">
        <v>2870</v>
      </c>
      <c r="M85" s="2998"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f ca="1">IF(C85&lt;=0,0,ROUND(C85*D86,0))</f>
        <v>1231</v>
      </c>
      <c r="D86" s="389">
        <f>'数据-取费表'!B41</f>
        <v>5.5000000000000007E-2</v>
      </c>
      <c r="E86" s="390"/>
      <c r="F86" s="42"/>
      <c r="G86" s="42"/>
      <c r="H86" s="1001"/>
      <c r="I86" s="311"/>
      <c r="J86" s="2012"/>
      <c r="K86" s="3346"/>
      <c r="L86" s="3008" t="s">
        <v>2871</v>
      </c>
      <c r="M86" s="2998"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46"/>
      <c r="L87" s="3008" t="s">
        <v>2873</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11"/>
      <c r="Q87" s="2012"/>
      <c r="R87" s="2012"/>
      <c r="S87" s="2012"/>
      <c r="T87" s="2012"/>
      <c r="U87" s="2012"/>
      <c r="V87" s="2012"/>
      <c r="W87" s="292"/>
      <c r="X87" s="292"/>
      <c r="Y87" s="292"/>
      <c r="Z87" s="292"/>
    </row>
    <row r="88" spans="1:26" s="1308" customFormat="1" ht="15" thickBot="1">
      <c r="A88" s="3385" t="s">
        <v>437</v>
      </c>
      <c r="B88" s="3386"/>
      <c r="C88" s="3386"/>
      <c r="D88" s="3386"/>
      <c r="E88" s="3386"/>
      <c r="F88" s="3386"/>
      <c r="G88" s="3386"/>
      <c r="H88" s="3386"/>
      <c r="I88" s="1309"/>
      <c r="J88" s="2020"/>
      <c r="K88" s="3346"/>
      <c r="L88" s="3008" t="s">
        <v>2874</v>
      </c>
      <c r="M88" s="2998" t="e">
        <f>IF(N69&gt;10000,N69*0.5%,IF(AND(N69&gt;5000,N69&lt;=10000),N69*1%,IF(AND(N69&gt;1000,N69&lt;=5000),N69*2%,IF(AND(N69&gt;200,N69&lt;=1000),N69*3%,N69*5%))))</f>
        <v>#VALUE!</v>
      </c>
      <c r="N88" s="53" t="e">
        <f>ROUND(M88,1)</f>
        <v>#VALUE!</v>
      </c>
      <c r="O88" s="3001"/>
      <c r="P88" s="11"/>
      <c r="Q88" s="2017"/>
      <c r="R88" s="2017"/>
      <c r="S88" s="2017"/>
      <c r="T88" s="2017"/>
      <c r="U88" s="2017"/>
      <c r="V88" s="2017"/>
      <c r="W88" s="2021"/>
      <c r="X88" s="2021"/>
      <c r="Y88" s="2021"/>
      <c r="Z88" s="2021"/>
    </row>
    <row r="89" spans="1:26" s="1308" customFormat="1" ht="14.25">
      <c r="A89" s="3344" t="s">
        <v>428</v>
      </c>
      <c r="B89" s="3345"/>
      <c r="C89" s="992"/>
      <c r="D89" s="992" t="s">
        <v>429</v>
      </c>
      <c r="E89" s="391" t="s">
        <v>438</v>
      </c>
      <c r="F89" s="392"/>
      <c r="G89" s="392"/>
      <c r="H89" s="393"/>
      <c r="I89" s="1310"/>
      <c r="J89" s="2022"/>
      <c r="K89" s="3346"/>
      <c r="L89" s="3008" t="s">
        <v>27</v>
      </c>
      <c r="M89" s="2999"/>
      <c r="N89" s="53" t="e">
        <f>ROUND(SUM(N83:N88),0)</f>
        <v>#VALUE!</v>
      </c>
      <c r="O89" s="3009"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24384</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2683</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82" t="s">
        <v>447</v>
      </c>
      <c r="F94" s="3383"/>
      <c r="G94" s="3383"/>
      <c r="H94" s="338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122</v>
      </c>
      <c r="D96" s="406">
        <f>'数据-取费表'!B43</f>
        <v>5.000000000000001E-3</v>
      </c>
      <c r="E96" s="3341" t="s">
        <v>2423</v>
      </c>
      <c r="F96" s="3342"/>
      <c r="G96" s="3342"/>
      <c r="H96" s="334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21701</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8.0883339545285136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12082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85" t="s">
        <v>454</v>
      </c>
      <c r="B101" s="3386"/>
      <c r="C101" s="3386"/>
      <c r="D101" s="3386"/>
      <c r="E101" s="3386"/>
      <c r="F101" s="3386"/>
      <c r="G101" s="3386"/>
      <c r="H101" s="338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4" t="s">
        <v>428</v>
      </c>
      <c r="B102" s="334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24384</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751</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2989</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94" t="s">
        <v>2991</v>
      </c>
      <c r="H108" s="3395"/>
      <c r="I108" s="3175" t="s">
        <v>2990</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5" t="s">
        <v>462</v>
      </c>
      <c r="F109" s="3342"/>
      <c r="G109" s="3342"/>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5" t="s">
        <v>464</v>
      </c>
      <c r="F110" s="3342"/>
      <c r="G110" s="3342"/>
      <c r="H110" s="334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122</v>
      </c>
      <c r="D111" s="406">
        <f>'数据-取费表'!B43</f>
        <v>5.000000000000001E-3</v>
      </c>
      <c r="E111" s="3341" t="s">
        <v>2423</v>
      </c>
      <c r="F111" s="3342"/>
      <c r="G111" s="3342"/>
      <c r="H111" s="334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5" t="s">
        <v>2448</v>
      </c>
      <c r="F112" s="3342"/>
      <c r="G112" s="3342"/>
      <c r="H112" s="334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23633</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31.468708388814914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13917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C4:K14"/>
  <sheetViews>
    <sheetView tabSelected="1" topLeftCell="B1" workbookViewId="0">
      <selection activeCell="G6" sqref="G6"/>
    </sheetView>
  </sheetViews>
  <sheetFormatPr defaultRowHeight="13.5"/>
  <cols>
    <col min="3" max="3" width="14" customWidth="1"/>
    <col min="4" max="4" width="0" hidden="1" customWidth="1"/>
    <col min="6" max="6" width="0" hidden="1" customWidth="1"/>
    <col min="7" max="7" width="27.125" customWidth="1"/>
    <col min="10" max="10" width="10.5" bestFit="1" customWidth="1"/>
  </cols>
  <sheetData>
    <row r="4" spans="3:11">
      <c r="G4">
        <f ca="1">(C6+E6)/2</f>
        <v>4062</v>
      </c>
    </row>
    <row r="5" spans="3:11">
      <c r="C5" s="3229" t="s">
        <v>3171</v>
      </c>
      <c r="D5" s="3230"/>
      <c r="E5" s="3229" t="s">
        <v>3172</v>
      </c>
      <c r="F5" s="3230"/>
      <c r="G5" s="3229" t="s">
        <v>3185</v>
      </c>
      <c r="H5" s="3229" t="s">
        <v>3174</v>
      </c>
      <c r="I5" s="3230"/>
      <c r="J5" s="3230"/>
      <c r="K5" s="3230"/>
    </row>
    <row r="6" spans="3:11">
      <c r="C6" s="3230">
        <f ca="1">基准地价!C29</f>
        <v>2227</v>
      </c>
      <c r="D6" s="3230"/>
      <c r="E6" s="3230">
        <f ca="1">'剩余法-现房'!B3</f>
        <v>5897</v>
      </c>
      <c r="F6" s="3230"/>
      <c r="G6" s="3230">
        <f ca="1">ROUND((C6+E6)/2*(1-0.15),0)</f>
        <v>3453</v>
      </c>
      <c r="H6" s="3230">
        <v>0.4</v>
      </c>
      <c r="I6" s="3230"/>
      <c r="J6" s="3229" t="s">
        <v>3177</v>
      </c>
      <c r="K6" s="3229" t="s">
        <v>3175</v>
      </c>
    </row>
    <row r="7" spans="3:11">
      <c r="C7" s="3230"/>
      <c r="D7" s="3230"/>
      <c r="E7" s="3230"/>
      <c r="F7" s="3230"/>
      <c r="G7" s="3229" t="s">
        <v>3173</v>
      </c>
      <c r="H7" s="3230"/>
      <c r="I7" s="3230"/>
      <c r="J7" s="3230">
        <f ca="1">ROUND(G6*H6+G8*H8,0)</f>
        <v>4078</v>
      </c>
      <c r="K7" s="3231">
        <f ca="1">J7*667/10000</f>
        <v>272.00259999999997</v>
      </c>
    </row>
    <row r="8" spans="3:11">
      <c r="C8" s="3230"/>
      <c r="D8" s="3230"/>
      <c r="E8" s="3230"/>
      <c r="F8" s="3230"/>
      <c r="G8" s="3230">
        <f ca="1">成本逼近法!B3</f>
        <v>4495</v>
      </c>
      <c r="H8" s="3230">
        <v>0.6</v>
      </c>
      <c r="I8" s="3230"/>
      <c r="J8" s="3230">
        <f ca="1">ROUND(J7*'数据-汇总表'!D3/10000,0)</f>
        <v>39289</v>
      </c>
      <c r="K8" s="3230"/>
    </row>
    <row r="11" spans="3:11">
      <c r="G11" s="3228" t="s">
        <v>3180</v>
      </c>
      <c r="J11">
        <f ca="1">ROUND(G12*H6+G8*H8,0)</f>
        <v>4013</v>
      </c>
      <c r="K11">
        <f ca="1">J11*667</f>
        <v>2676671</v>
      </c>
    </row>
    <row r="12" spans="3:11">
      <c r="G12">
        <f ca="1">ROUND((C6+E6)/2*(1-0.19),0)</f>
        <v>3290</v>
      </c>
      <c r="H12">
        <v>0.4</v>
      </c>
    </row>
    <row r="13" spans="3:11">
      <c r="G13" s="3228" t="s">
        <v>3176</v>
      </c>
    </row>
    <row r="14" spans="3:11">
      <c r="G14">
        <f ca="1">G8</f>
        <v>4495</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17" sqref="A17:XFD1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43311</v>
      </c>
      <c r="C2" s="2092"/>
      <c r="D2" s="2092"/>
      <c r="E2" s="2092"/>
      <c r="F2" s="2092"/>
      <c r="G2" s="2092"/>
    </row>
    <row r="3" spans="1:25" s="2043" customFormat="1" ht="18" customHeight="1">
      <c r="A3" s="1374" t="s">
        <v>1683</v>
      </c>
      <c r="B3" s="425">
        <f ca="1">ROUND(B2*10000/'数据-汇总表'!E3,0)</f>
        <v>4495</v>
      </c>
      <c r="C3" s="2092"/>
      <c r="D3" s="2092"/>
      <c r="E3" s="2092"/>
      <c r="F3" s="2092"/>
      <c r="G3" s="2092"/>
    </row>
    <row r="4" spans="1:25" s="2043" customFormat="1" ht="18" customHeight="1">
      <c r="A4" s="426" t="s">
        <v>468</v>
      </c>
      <c r="B4" s="427">
        <f ca="1">ROUND(B2*10000/'数据-汇总表'!D3,0)</f>
        <v>4495</v>
      </c>
      <c r="C4" s="2045"/>
      <c r="D4" s="2092"/>
      <c r="E4" s="2092"/>
      <c r="F4" s="2092"/>
      <c r="G4" s="2092"/>
    </row>
    <row r="5" spans="1:25" s="2043" customFormat="1" ht="18" customHeight="1" thickBot="1">
      <c r="A5" s="429"/>
      <c r="B5" s="430">
        <f ca="1">ROUND(B2/('数据-汇总表'!D3/666.67),0)</f>
        <v>300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38176.532520877845</v>
      </c>
      <c r="D7" s="749"/>
      <c r="E7" s="750"/>
      <c r="F7" s="750"/>
      <c r="G7" s="2442" t="s">
        <v>2999</v>
      </c>
    </row>
    <row r="8" spans="1:25" s="2167" customFormat="1" ht="13.5" customHeight="1">
      <c r="A8" s="2432" t="s">
        <v>2435</v>
      </c>
      <c r="B8" s="2435" t="s">
        <v>2437</v>
      </c>
      <c r="C8" s="2436">
        <f>土地案例!P15*'数据-汇总表'!D3/10000</f>
        <v>38176.532520877845</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1926.8712</v>
      </c>
      <c r="D10" s="760">
        <f>'数据-汇总表'!E3</f>
        <v>96343.56</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1927</v>
      </c>
      <c r="D13" s="758">
        <f>'数据-汇总表'!E6</f>
        <v>96343.56</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1926.8712</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3208</v>
      </c>
      <c r="D18" s="762"/>
      <c r="E18" s="763"/>
      <c r="F18" s="761">
        <f>'数据-取费表'!Q16</f>
        <v>0.08</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43311.403720877846</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43311.403720877846</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43311</v>
      </c>
      <c r="D22" s="760"/>
      <c r="E22" s="749"/>
      <c r="F22" s="317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43311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4" t="str">
        <f>项目基本情况!B1</f>
        <v>北京市划拨国有建设用地使用权市场价格预评估</v>
      </c>
      <c r="C37" s="3244"/>
      <c r="D37" s="3244"/>
      <c r="E37" s="3244"/>
      <c r="F37" s="3244"/>
      <c r="G37" s="3244"/>
      <c r="H37" s="3244"/>
      <c r="I37" s="324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1"/>
      <c r="C1" s="2088"/>
      <c r="D1" s="2088"/>
      <c r="E1" s="2088"/>
      <c r="F1" s="2088"/>
      <c r="G1" s="2088"/>
      <c r="H1" s="2088"/>
      <c r="I1" s="2088"/>
      <c r="J1" s="2088"/>
      <c r="K1" s="422">
        <f>MATCH(B1,'数据-取费表'!A6:A16,0)+5</f>
        <v>7</v>
      </c>
    </row>
    <row r="2" spans="1:31" s="2025" customFormat="1" ht="18" customHeight="1">
      <c r="A2" s="2085" t="s">
        <v>467</v>
      </c>
      <c r="B2" s="2089">
        <f ca="1">C36</f>
        <v>-3745</v>
      </c>
      <c r="C2" s="2088"/>
      <c r="D2" s="2088"/>
      <c r="E2" s="2088"/>
      <c r="F2" s="2088"/>
      <c r="G2" s="2088"/>
      <c r="H2" s="2088"/>
      <c r="I2" s="2088"/>
      <c r="J2" s="2088"/>
      <c r="K2" s="2088"/>
    </row>
    <row r="3" spans="1:31" s="2025" customFormat="1" ht="18" customHeight="1">
      <c r="A3" s="2090" t="s">
        <v>1682</v>
      </c>
      <c r="B3" s="2091">
        <f ca="1">ROUND(B2*10000/IF(B1="",'数据-汇总表'!E3,INDIRECT("'数据-取费表'!K"&amp;$K$1)),0)</f>
        <v>-389</v>
      </c>
      <c r="C3" s="2088"/>
      <c r="D3" s="2088"/>
      <c r="E3" s="2088"/>
      <c r="F3" s="2088"/>
      <c r="G3" s="2088"/>
      <c r="H3" s="2088"/>
      <c r="I3" s="2088"/>
      <c r="J3" s="2088"/>
      <c r="K3" s="2088"/>
    </row>
    <row r="4" spans="1:31" s="2025" customFormat="1" ht="18" customHeight="1">
      <c r="A4" s="426" t="s">
        <v>468</v>
      </c>
      <c r="B4" s="427">
        <f ca="1">ROUND(B2*10000/IF(B1="",'数据-汇总表'!D3,INDIRECT("'数据-取费表'!R"&amp;$K$1)),0)</f>
        <v>-389</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0" t="s">
        <v>1840</v>
      </c>
      <c r="B6" s="2781"/>
      <c r="C6" s="2782">
        <f>SUM(C10:K10)</f>
        <v>0</v>
      </c>
      <c r="D6" s="2781"/>
      <c r="E6" s="2781"/>
      <c r="F6" s="2781"/>
      <c r="G6" s="2781"/>
      <c r="H6" s="2781"/>
      <c r="I6" s="2781"/>
      <c r="J6" s="2781"/>
      <c r="K6" s="2783"/>
    </row>
    <row r="7" spans="1:31" s="2097" customFormat="1" ht="15">
      <c r="A7" s="2784" t="s">
        <v>470</v>
      </c>
      <c r="B7" s="278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6"/>
      <c r="D8" s="2786"/>
      <c r="E8" s="2786"/>
      <c r="F8" s="2786"/>
      <c r="G8" s="2786"/>
      <c r="H8" s="2786"/>
      <c r="I8" s="2786"/>
      <c r="J8" s="2786"/>
      <c r="K8" s="2787"/>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8" t="s">
        <v>1845</v>
      </c>
      <c r="B10" s="2774" t="s">
        <v>474</v>
      </c>
      <c r="C10" s="2978"/>
      <c r="D10" s="2978"/>
      <c r="E10" s="2978"/>
      <c r="F10" s="2789"/>
      <c r="G10" s="2789"/>
      <c r="H10" s="2789"/>
      <c r="I10" s="2789"/>
      <c r="J10" s="2789"/>
      <c r="K10" s="2790"/>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1" t="s">
        <v>1841</v>
      </c>
      <c r="B11" s="2781"/>
      <c r="C11" s="2781"/>
      <c r="D11" s="2781"/>
      <c r="E11" s="2781"/>
      <c r="F11" s="2781"/>
      <c r="G11" s="2781"/>
      <c r="H11" s="2781"/>
      <c r="I11" s="2781"/>
      <c r="J11" s="2781"/>
      <c r="K11" s="2783"/>
    </row>
    <row r="12" spans="1:31" s="2069" customFormat="1" ht="13.5" customHeight="1">
      <c r="A12" s="2792" t="s">
        <v>470</v>
      </c>
      <c r="B12" s="2764" t="s">
        <v>471</v>
      </c>
      <c r="C12" s="2793" t="s">
        <v>475</v>
      </c>
      <c r="D12" s="2760" t="s">
        <v>476</v>
      </c>
      <c r="E12" s="2760" t="s">
        <v>477</v>
      </c>
      <c r="F12" s="2760" t="s">
        <v>478</v>
      </c>
      <c r="G12" s="2764"/>
      <c r="H12" s="2765"/>
      <c r="I12" s="2765"/>
      <c r="J12" s="2765"/>
      <c r="K12" s="2766"/>
    </row>
    <row r="13" spans="1:31" s="2100" customFormat="1" ht="13.5" customHeight="1">
      <c r="A13" s="2794" t="s">
        <v>1846</v>
      </c>
      <c r="B13" s="2795" t="s">
        <v>479</v>
      </c>
      <c r="C13" s="450">
        <f ca="1">IF(B1="",'数据-取费表'!P16,INDIRECT("'数据-取费表'!p"&amp;$K$1)+INDIRECT("'数据-取费表'!t"&amp;$K$1))</f>
        <v>0</v>
      </c>
      <c r="D13" s="2796"/>
      <c r="E13" s="2797"/>
      <c r="F13" s="2798"/>
      <c r="G13" s="2764"/>
      <c r="H13" s="2765"/>
      <c r="I13" s="2765"/>
      <c r="J13" s="2765"/>
      <c r="K13" s="2766"/>
    </row>
    <row r="14" spans="1:31" s="2100" customFormat="1" ht="13.5" customHeight="1">
      <c r="A14" s="2794" t="s">
        <v>1847</v>
      </c>
      <c r="B14" s="2795" t="s">
        <v>480</v>
      </c>
      <c r="C14" s="53">
        <f ca="1">ROUND(C13*F14,0)</f>
        <v>0</v>
      </c>
      <c r="D14" s="2796"/>
      <c r="E14" s="2797"/>
      <c r="F14" s="2799">
        <f>'数据-取费表'!B33</f>
        <v>0.03</v>
      </c>
      <c r="G14" s="2764" t="s">
        <v>481</v>
      </c>
      <c r="H14" s="2765"/>
      <c r="I14" s="2765"/>
      <c r="J14" s="2765"/>
      <c r="K14" s="2766"/>
    </row>
    <row r="15" spans="1:31" s="2100" customFormat="1" ht="13.5" customHeight="1">
      <c r="A15" s="2794" t="s">
        <v>1848</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101" customFormat="1" ht="13.5" customHeight="1">
      <c r="A16" s="2794" t="s">
        <v>1849</v>
      </c>
      <c r="B16" s="2795" t="s">
        <v>484</v>
      </c>
      <c r="C16" s="53">
        <f ca="1">ROUND(D16*E16/10000,0)</f>
        <v>1927</v>
      </c>
      <c r="D16" s="2796">
        <f ca="1">IF(B1="",'数据-汇总表'!E3,INDIRECT("'数据-取费表'!K"&amp;$K$1)+INDIRECT("'数据-取费表'!S"&amp;$K$1))</f>
        <v>96343.56</v>
      </c>
      <c r="E16" s="53">
        <f>'数据-取费表'!B35</f>
        <v>200</v>
      </c>
      <c r="F16" s="2799"/>
      <c r="G16" s="2764"/>
      <c r="H16" s="2765"/>
      <c r="I16" s="2765"/>
      <c r="J16" s="2765"/>
      <c r="K16" s="2766"/>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4" t="s">
        <v>1850</v>
      </c>
      <c r="B17" s="2795" t="s">
        <v>485</v>
      </c>
      <c r="C17" s="2800">
        <f ca="1">ROUND(C13*F17,0)</f>
        <v>0</v>
      </c>
      <c r="D17" s="475"/>
      <c r="E17" s="2800"/>
      <c r="F17" s="2801">
        <f>'数据-取费表'!B36</f>
        <v>1.4999999999999999E-2</v>
      </c>
      <c r="G17" s="261" t="s">
        <v>486</v>
      </c>
      <c r="H17" s="2767"/>
      <c r="I17" s="2767"/>
      <c r="J17" s="2767"/>
      <c r="K17" s="279"/>
    </row>
    <row r="18" spans="1:14" s="2100" customFormat="1" ht="13.5" customHeight="1">
      <c r="A18" s="2802" t="s">
        <v>1851</v>
      </c>
      <c r="B18" s="2803" t="s">
        <v>487</v>
      </c>
      <c r="C18" s="2804">
        <f ca="1">SUM(C13:C17)</f>
        <v>1927</v>
      </c>
      <c r="D18" s="2805"/>
      <c r="E18" s="468"/>
      <c r="F18" s="468"/>
      <c r="G18" s="2768" t="s">
        <v>2425</v>
      </c>
      <c r="H18" s="2769"/>
      <c r="I18" s="2769"/>
      <c r="J18" s="2769"/>
      <c r="K18" s="2770"/>
    </row>
    <row r="19" spans="1:14" s="2100" customFormat="1" ht="13.5" customHeight="1">
      <c r="A19" s="2802" t="s">
        <v>1852</v>
      </c>
      <c r="B19" s="2803" t="s">
        <v>488</v>
      </c>
      <c r="C19" s="2760">
        <f ca="1">ROUND(D19*E19/10000,0)</f>
        <v>0</v>
      </c>
      <c r="D19" s="2806">
        <f ca="1">D16</f>
        <v>96343.56</v>
      </c>
      <c r="E19" s="2760">
        <f>'数据-取费表'!B32</f>
        <v>0</v>
      </c>
      <c r="F19" s="468"/>
      <c r="G19" s="2764" t="s">
        <v>489</v>
      </c>
      <c r="H19" s="2765"/>
      <c r="I19" s="2769"/>
      <c r="J19" s="2769"/>
      <c r="K19" s="2770"/>
    </row>
    <row r="20" spans="1:14" s="2100" customFormat="1" ht="13.5" customHeight="1">
      <c r="A20" s="2802" t="s">
        <v>1853</v>
      </c>
      <c r="B20" s="2803" t="s">
        <v>490</v>
      </c>
      <c r="C20" s="2760">
        <f ca="1">C21+C22-IF(B1="",'数据-取费表'!B29,IF(G20="已全部缴纳",C21+C22,H20))</f>
        <v>1927</v>
      </c>
      <c r="D20" s="2806"/>
      <c r="E20" s="2760"/>
      <c r="F20" s="2807"/>
      <c r="G20" s="3031"/>
      <c r="H20" s="2762"/>
      <c r="I20" s="2763" t="s">
        <v>2645</v>
      </c>
      <c r="J20" s="2769"/>
      <c r="K20" s="2770"/>
    </row>
    <row r="21" spans="1:14" s="2100" customFormat="1" ht="13.5" customHeight="1">
      <c r="A21" s="2794" t="s">
        <v>1854</v>
      </c>
      <c r="B21" s="2795" t="s">
        <v>491</v>
      </c>
      <c r="C21" s="53">
        <f ca="1">ROUND(D21*E21/10000,0)</f>
        <v>0</v>
      </c>
      <c r="D21" s="2796">
        <f ca="1">IF(B1="",'数据-汇总表'!E5,IF(INDIRECT("'数据-取费表'!c"&amp;$K$1)="住宅",INDIRECT("'数据-取费表'!k"&amp;$K$1),0))</f>
        <v>0</v>
      </c>
      <c r="E21" s="53">
        <f>'数据-取费表'!B27</f>
        <v>160</v>
      </c>
      <c r="F21" s="2799"/>
      <c r="G21" s="26"/>
      <c r="H21" s="51"/>
      <c r="I21" s="51"/>
      <c r="J21" s="51"/>
      <c r="K21" s="2771"/>
    </row>
    <row r="22" spans="1:14" s="2100" customFormat="1" ht="13.5" customHeight="1">
      <c r="A22" s="2794" t="s">
        <v>1855</v>
      </c>
      <c r="B22" s="2795" t="s">
        <v>492</v>
      </c>
      <c r="C22" s="53">
        <f ca="1">ROUND(D22*E22/10000,0)</f>
        <v>1927</v>
      </c>
      <c r="D22" s="2796">
        <f ca="1">IF(B1="",'数据-汇总表'!E6,IF(INDIRECT("'数据-取费表'!c"&amp;$K$1)="住宅",INDIRECT("'数据-取费表'!s"&amp;$K$1),INDIRECT("'数据-取费表'!k"&amp;$K$1)+INDIRECT("'数据-取费表'!s"&amp;$K$1)))</f>
        <v>96343.56</v>
      </c>
      <c r="E22" s="53">
        <f>'数据-取费表'!B28</f>
        <v>200</v>
      </c>
      <c r="F22" s="2799"/>
      <c r="G22" s="26"/>
      <c r="H22" s="51"/>
      <c r="I22" s="51"/>
      <c r="J22" s="51"/>
      <c r="K22" s="2771"/>
    </row>
    <row r="23" spans="1:14" s="2100" customFormat="1" ht="13.5" customHeight="1">
      <c r="A23" s="2802" t="s">
        <v>1856</v>
      </c>
      <c r="B23" s="2984" t="s">
        <v>2826</v>
      </c>
      <c r="C23" s="2804">
        <f ca="1">ROUND((C18+C19+C20)*F23,0)</f>
        <v>77</v>
      </c>
      <c r="D23" s="468"/>
      <c r="E23" s="468"/>
      <c r="F23" s="2808">
        <f>'数据-取费表'!B37</f>
        <v>0.02</v>
      </c>
      <c r="G23" s="2764" t="s">
        <v>2426</v>
      </c>
      <c r="H23" s="2765"/>
      <c r="I23" s="2765"/>
      <c r="J23" s="2765"/>
      <c r="K23" s="2766"/>
      <c r="L23" s="2102"/>
      <c r="M23" s="2102"/>
      <c r="N23" s="2102"/>
    </row>
    <row r="24" spans="1:14" s="2100" customFormat="1" ht="13.5" customHeight="1">
      <c r="A24" s="2802" t="s">
        <v>1857</v>
      </c>
      <c r="B24" s="2984" t="s">
        <v>2829</v>
      </c>
      <c r="C24" s="2804">
        <f>ROUND(C6*F24,0)</f>
        <v>0</v>
      </c>
      <c r="D24" s="475"/>
      <c r="E24" s="473"/>
      <c r="F24" s="2808">
        <f>'数据-取费表'!B38</f>
        <v>0.02</v>
      </c>
      <c r="G24" s="2773" t="s">
        <v>499</v>
      </c>
      <c r="H24" s="2767"/>
      <c r="I24" s="2767"/>
      <c r="J24" s="2767"/>
      <c r="K24" s="279"/>
      <c r="L24" s="2102"/>
      <c r="M24" s="2102"/>
      <c r="N24" s="2102"/>
    </row>
    <row r="25" spans="1:14" s="2103" customFormat="1" ht="13.5" customHeight="1">
      <c r="A25" s="2802" t="s">
        <v>1858</v>
      </c>
      <c r="B25" s="2984" t="s">
        <v>2827</v>
      </c>
      <c r="C25" s="467">
        <f>ROUND(F25/(1+'数据-取费表'!C42),4)</f>
        <v>2.9000000000000001E-2</v>
      </c>
      <c r="D25" s="462" t="s">
        <v>2821</v>
      </c>
      <c r="E25" s="469"/>
      <c r="F25" s="2808">
        <f>IF(项目基本情况!B8="出让",0,'数据-取费表'!B48+'数据-取费表'!B49)</f>
        <v>3.0499999999999999E-2</v>
      </c>
      <c r="G25" s="2772" t="s">
        <v>2284</v>
      </c>
      <c r="H25" s="2765"/>
      <c r="I25" s="2765"/>
      <c r="J25" s="2765"/>
      <c r="K25" s="2766"/>
    </row>
    <row r="26" spans="1:14" s="2102" customFormat="1" ht="13.5" customHeight="1">
      <c r="A26" s="2802" t="s">
        <v>1859</v>
      </c>
      <c r="B26" s="2985" t="s">
        <v>2828</v>
      </c>
      <c r="C26" s="2809">
        <f ca="1">C28</f>
        <v>85</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69"/>
      <c r="I26" s="2769"/>
      <c r="J26" s="2769"/>
      <c r="K26" s="2770"/>
    </row>
    <row r="27" spans="1:14" s="2104" customFormat="1" ht="13.5" customHeight="1">
      <c r="A27" s="802" t="s">
        <v>1854</v>
      </c>
      <c r="B27" s="2810" t="s">
        <v>496</v>
      </c>
      <c r="C27" s="2811">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7"/>
      <c r="I27" s="2767"/>
      <c r="J27" s="2767"/>
      <c r="K27" s="279"/>
    </row>
    <row r="28" spans="1:14" s="2104" customFormat="1" ht="13.5" customHeight="1">
      <c r="A28" s="802" t="s">
        <v>1855</v>
      </c>
      <c r="B28" s="2810" t="s">
        <v>2830</v>
      </c>
      <c r="C28" s="2812">
        <f ca="1">ROUND(IF('数据-取费表'!B22&lt;=1,(C18+C19+C20+C23+C24)*F26*'数据-取费表'!B24/2,(C18+C19+C20+C23+C24)*(POWER((1+F26),'数据-取费表'!B24/2)-1)),0)</f>
        <v>85</v>
      </c>
      <c r="D28" s="472"/>
      <c r="E28" s="473"/>
      <c r="F28" s="474"/>
      <c r="G28" s="2535" t="str">
        <f>IF('数据-取费表'!B22&lt;=1,"（1）-（4）项×年利率×建设期÷2","（1）-（4）项×((1+年利率)^(建设期÷2)-1)")</f>
        <v>（1）-（4）项×年利率×建设期÷2</v>
      </c>
      <c r="H28" s="2767"/>
      <c r="I28" s="2767"/>
      <c r="J28" s="2767"/>
      <c r="K28" s="279"/>
    </row>
    <row r="29" spans="1:14" s="2104" customFormat="1" ht="13.5" customHeight="1">
      <c r="A29" s="2813" t="s">
        <v>1860</v>
      </c>
      <c r="B29" s="2803" t="s">
        <v>497</v>
      </c>
      <c r="C29" s="2804">
        <f>ROUND(C6*F29/(1+'数据-取费表'!C42),0)</f>
        <v>0</v>
      </c>
      <c r="D29" s="468"/>
      <c r="E29" s="468"/>
      <c r="F29" s="2986">
        <f>'数据-取费表'!B41</f>
        <v>5.5000000000000007E-2</v>
      </c>
      <c r="G29" s="2773" t="s">
        <v>498</v>
      </c>
      <c r="H29" s="2765"/>
      <c r="I29" s="2765"/>
      <c r="J29" s="2765"/>
      <c r="K29" s="2766"/>
    </row>
    <row r="30" spans="1:14" s="2105" customFormat="1" ht="13.5" customHeight="1">
      <c r="A30" s="1619" t="s">
        <v>1861</v>
      </c>
      <c r="B30" s="2814" t="s">
        <v>500</v>
      </c>
      <c r="C30" s="2809">
        <f ca="1">C31</f>
        <v>4016</v>
      </c>
      <c r="D30" s="477">
        <f ca="1">C32</f>
        <v>7.3800000000000004E-2</v>
      </c>
      <c r="E30" s="469" t="s">
        <v>495</v>
      </c>
      <c r="F30" s="471"/>
      <c r="G30" s="2772" t="s">
        <v>2964</v>
      </c>
      <c r="H30" s="2765"/>
      <c r="I30" s="2765"/>
      <c r="J30" s="2765"/>
      <c r="K30" s="2766"/>
    </row>
    <row r="31" spans="1:14" s="2104" customFormat="1" ht="13.5" customHeight="1">
      <c r="A31" s="802" t="s">
        <v>1854</v>
      </c>
      <c r="B31" s="2810"/>
      <c r="C31" s="450">
        <f ca="1">C18+C19+C20+C23+C24+C26+C29</f>
        <v>4016</v>
      </c>
      <c r="D31" s="472"/>
      <c r="E31" s="473"/>
      <c r="F31" s="474"/>
      <c r="G31" s="261"/>
      <c r="H31" s="2767"/>
      <c r="I31" s="2767"/>
      <c r="J31" s="2767"/>
      <c r="K31" s="279"/>
    </row>
    <row r="32" spans="1:14" s="2104" customFormat="1" ht="13.5" customHeight="1">
      <c r="A32" s="802" t="s">
        <v>1855</v>
      </c>
      <c r="B32" s="2810"/>
      <c r="C32" s="53">
        <f ca="1">ROUND(C25+D26,4)</f>
        <v>7.3800000000000004E-2</v>
      </c>
      <c r="D32" s="472"/>
      <c r="E32" s="473"/>
      <c r="F32" s="474"/>
      <c r="G32" s="261"/>
      <c r="H32" s="2767"/>
      <c r="I32" s="2767"/>
      <c r="J32" s="2767"/>
      <c r="K32" s="279"/>
    </row>
    <row r="33" spans="1:11" s="2106" customFormat="1" ht="13.5" customHeight="1">
      <c r="A33" s="2983" t="s">
        <v>2825</v>
      </c>
      <c r="B33" s="2981" t="s">
        <v>2823</v>
      </c>
      <c r="C33" s="478">
        <f ca="1">C35</f>
        <v>314</v>
      </c>
      <c r="D33" s="467">
        <f ca="1">C34</f>
        <v>8.2299999999999998E-2</v>
      </c>
      <c r="E33" s="469" t="s">
        <v>495</v>
      </c>
      <c r="F33" s="479">
        <f ca="1">IF(B1="",'数据-取费表'!Q16,INDIRECT("'数据-取费表'!q"&amp;$K$1))</f>
        <v>0.08</v>
      </c>
      <c r="G33" s="2768"/>
      <c r="H33" s="2769"/>
      <c r="I33" s="2769"/>
      <c r="J33" s="2769"/>
      <c r="K33" s="2770"/>
    </row>
    <row r="34" spans="1:11" s="2107" customFormat="1" ht="13.5" customHeight="1">
      <c r="A34" s="375" t="s">
        <v>1854</v>
      </c>
      <c r="B34" s="2815" t="s">
        <v>501</v>
      </c>
      <c r="C34" s="472">
        <f ca="1">ROUND((1+C25)*F33,4)</f>
        <v>8.2299999999999998E-2</v>
      </c>
      <c r="D34" s="472"/>
      <c r="E34" s="473"/>
      <c r="F34" s="480"/>
      <c r="G34" s="261" t="s">
        <v>2285</v>
      </c>
      <c r="H34" s="2767"/>
      <c r="I34" s="2767"/>
      <c r="J34" s="2767"/>
      <c r="K34" s="279"/>
    </row>
    <row r="35" spans="1:11" s="2107" customFormat="1" ht="13.5" customHeight="1" thickBot="1">
      <c r="A35" s="1620" t="s">
        <v>1855</v>
      </c>
      <c r="B35" s="2982" t="s">
        <v>2831</v>
      </c>
      <c r="C35" s="1612">
        <f ca="1">ROUND((C18+C19+C20+C23+C24)*F33,0)</f>
        <v>314</v>
      </c>
      <c r="D35" s="1613"/>
      <c r="E35" s="2816"/>
      <c r="F35" s="1614"/>
      <c r="G35" s="2774"/>
      <c r="H35" s="2775"/>
      <c r="I35" s="2775"/>
      <c r="J35" s="2775"/>
      <c r="K35" s="2776"/>
    </row>
    <row r="36" spans="1:11" s="2069" customFormat="1" ht="13.5" customHeight="1" thickBot="1">
      <c r="A36" s="284" t="s">
        <v>1842</v>
      </c>
      <c r="B36" s="2778"/>
      <c r="C36" s="2817">
        <f ca="1">ROUND((C6-C30-C33)/(1+D30+D33),0)</f>
        <v>-3745</v>
      </c>
      <c r="D36" s="2778"/>
      <c r="E36" s="2778"/>
      <c r="F36" s="2778"/>
      <c r="G36" s="2777" t="s">
        <v>2832</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filterMode="1">
    <pageSetUpPr fitToPage="1"/>
  </sheetPr>
  <dimension ref="A1:P62"/>
  <sheetViews>
    <sheetView zoomScale="80" zoomScaleNormal="80" workbookViewId="0">
      <pane xSplit="6" ySplit="3" topLeftCell="G4" activePane="bottomRight" state="frozen"/>
      <selection pane="topRight" activeCell="H1" sqref="H1"/>
      <selection pane="bottomLeft" activeCell="A4" sqref="A4"/>
      <selection pane="bottomRight" activeCell="G30" sqref="G15:G30"/>
    </sheetView>
  </sheetViews>
  <sheetFormatPr defaultRowHeight="11.25"/>
  <cols>
    <col min="1" max="1" width="5.5" style="3226" customWidth="1"/>
    <col min="2" max="2" width="7.25" style="3226" customWidth="1"/>
    <col min="3" max="3" width="4.875" style="3226" bestFit="1" customWidth="1"/>
    <col min="4" max="4" width="7.125" style="3179" customWidth="1"/>
    <col min="5" max="5" width="8.25" style="3179" customWidth="1"/>
    <col min="6" max="6" width="18.125" style="3179" customWidth="1"/>
    <col min="7" max="7" width="13.75" style="3179" customWidth="1"/>
    <col min="8" max="8" width="8" style="3179" customWidth="1"/>
    <col min="9" max="9" width="13.375" style="3179" customWidth="1"/>
    <col min="10" max="10" width="36.625" style="3179" customWidth="1"/>
    <col min="11" max="11" width="14.375" style="3179" customWidth="1"/>
    <col min="12" max="13" width="17.75" style="3226" customWidth="1"/>
    <col min="14" max="16384" width="9" style="3179"/>
  </cols>
  <sheetData>
    <row r="1" spans="1:16" ht="39.75" customHeight="1">
      <c r="A1" s="3415" t="s">
        <v>3000</v>
      </c>
      <c r="B1" s="3416"/>
      <c r="C1" s="3416"/>
      <c r="D1" s="3416"/>
      <c r="E1" s="3416"/>
      <c r="F1" s="3416"/>
      <c r="G1" s="3416"/>
      <c r="H1" s="3416"/>
      <c r="I1" s="3416"/>
      <c r="J1" s="3416"/>
      <c r="K1" s="3416"/>
      <c r="L1" s="3416"/>
      <c r="M1" s="3416"/>
    </row>
    <row r="2" spans="1:16" ht="23.25" customHeight="1">
      <c r="A2" s="3411" t="s">
        <v>3001</v>
      </c>
      <c r="B2" s="3411" t="s">
        <v>3002</v>
      </c>
      <c r="C2" s="3411" t="s">
        <v>3003</v>
      </c>
      <c r="D2" s="3417" t="s">
        <v>3004</v>
      </c>
      <c r="E2" s="3417" t="s">
        <v>3005</v>
      </c>
      <c r="F2" s="3411" t="s">
        <v>3006</v>
      </c>
      <c r="G2" s="3411" t="s">
        <v>3007</v>
      </c>
      <c r="H2" s="3411" t="s">
        <v>3008</v>
      </c>
      <c r="I2" s="3411" t="s">
        <v>3009</v>
      </c>
      <c r="J2" s="3411" t="s">
        <v>3010</v>
      </c>
      <c r="K2" s="3413" t="s">
        <v>3011</v>
      </c>
      <c r="L2" s="3414" t="s">
        <v>3012</v>
      </c>
      <c r="M2" s="3414"/>
    </row>
    <row r="3" spans="1:16" s="3181" customFormat="1" ht="23.25" customHeight="1">
      <c r="A3" s="3412"/>
      <c r="B3" s="3412"/>
      <c r="C3" s="3412"/>
      <c r="D3" s="3418"/>
      <c r="E3" s="3418"/>
      <c r="F3" s="3412"/>
      <c r="G3" s="3412"/>
      <c r="H3" s="3412"/>
      <c r="I3" s="3412"/>
      <c r="J3" s="3412"/>
      <c r="K3" s="3413"/>
      <c r="L3" s="3180" t="s">
        <v>3013</v>
      </c>
      <c r="M3" s="3180" t="s">
        <v>3014</v>
      </c>
    </row>
    <row r="4" spans="1:16" s="3188" customFormat="1" ht="95.25" hidden="1" customHeight="1">
      <c r="A4" s="3182">
        <v>2016</v>
      </c>
      <c r="B4" s="3183" t="s">
        <v>3015</v>
      </c>
      <c r="C4" s="3183" t="s">
        <v>3016</v>
      </c>
      <c r="D4" s="3184" t="s">
        <v>3017</v>
      </c>
      <c r="E4" s="3184" t="s">
        <v>3018</v>
      </c>
      <c r="F4" s="3185" t="s">
        <v>3019</v>
      </c>
      <c r="G4" s="3184" t="s">
        <v>3020</v>
      </c>
      <c r="H4" s="3184" t="s">
        <v>3021</v>
      </c>
      <c r="I4" s="3184" t="s">
        <v>3022</v>
      </c>
      <c r="J4" s="3184" t="s">
        <v>3023</v>
      </c>
      <c r="K4" s="3186">
        <v>16.73</v>
      </c>
      <c r="L4" s="3184">
        <v>15586.51</v>
      </c>
      <c r="M4" s="3184">
        <v>24154.36</v>
      </c>
      <c r="N4" s="3187">
        <f t="shared" ref="N4:N9" si="0">(L4+M4)/K4</f>
        <v>2375.4255827854154</v>
      </c>
    </row>
    <row r="5" spans="1:16" s="3188" customFormat="1" ht="95.25" hidden="1" customHeight="1">
      <c r="A5" s="3182">
        <v>2016</v>
      </c>
      <c r="B5" s="3183" t="s">
        <v>3015</v>
      </c>
      <c r="C5" s="3183" t="s">
        <v>3016</v>
      </c>
      <c r="D5" s="3184" t="s">
        <v>3017</v>
      </c>
      <c r="E5" s="3184" t="s">
        <v>3018</v>
      </c>
      <c r="F5" s="3185" t="s">
        <v>3024</v>
      </c>
      <c r="G5" s="3184" t="s">
        <v>3020</v>
      </c>
      <c r="H5" s="3184" t="s">
        <v>3021</v>
      </c>
      <c r="I5" s="3184" t="s">
        <v>3025</v>
      </c>
      <c r="J5" s="3184" t="s">
        <v>3023</v>
      </c>
      <c r="K5" s="3189">
        <v>39.770000000000003</v>
      </c>
      <c r="L5" s="3184">
        <v>17716.41</v>
      </c>
      <c r="M5" s="3184">
        <v>2390.64</v>
      </c>
      <c r="N5" s="3187">
        <f t="shared" si="0"/>
        <v>505.58335428715105</v>
      </c>
    </row>
    <row r="6" spans="1:16" s="3188" customFormat="1" ht="95.25" hidden="1" customHeight="1">
      <c r="A6" s="3182">
        <v>2016</v>
      </c>
      <c r="B6" s="3183" t="s">
        <v>3015</v>
      </c>
      <c r="C6" s="3183" t="s">
        <v>3016</v>
      </c>
      <c r="D6" s="3184" t="s">
        <v>3017</v>
      </c>
      <c r="E6" s="3190" t="s">
        <v>3026</v>
      </c>
      <c r="F6" s="3185" t="s">
        <v>3027</v>
      </c>
      <c r="G6" s="3190" t="s">
        <v>3028</v>
      </c>
      <c r="H6" s="3190" t="s">
        <v>3021</v>
      </c>
      <c r="I6" s="3190" t="s">
        <v>3029</v>
      </c>
      <c r="J6" s="3184" t="s">
        <v>3030</v>
      </c>
      <c r="K6" s="3189">
        <v>663.6</v>
      </c>
      <c r="L6" s="3184">
        <v>191909.86</v>
      </c>
      <c r="M6" s="3184">
        <v>204137.8</v>
      </c>
      <c r="N6" s="3187">
        <f t="shared" si="0"/>
        <v>596.81684749849296</v>
      </c>
    </row>
    <row r="7" spans="1:16" s="3188" customFormat="1" ht="95.25" hidden="1" customHeight="1">
      <c r="A7" s="3182">
        <v>2016</v>
      </c>
      <c r="B7" s="3183" t="s">
        <v>3031</v>
      </c>
      <c r="C7" s="3183" t="s">
        <v>3032</v>
      </c>
      <c r="D7" s="3191" t="s">
        <v>3017</v>
      </c>
      <c r="E7" s="3191" t="s">
        <v>3026</v>
      </c>
      <c r="F7" s="3185" t="s">
        <v>3033</v>
      </c>
      <c r="G7" s="3192" t="s">
        <v>3034</v>
      </c>
      <c r="H7" s="3191" t="s">
        <v>3035</v>
      </c>
      <c r="I7" s="3191" t="s">
        <v>3036</v>
      </c>
      <c r="J7" s="3191" t="s">
        <v>3037</v>
      </c>
      <c r="K7" s="3189">
        <v>129.57</v>
      </c>
      <c r="L7" s="3184">
        <v>122822.85</v>
      </c>
      <c r="M7" s="3184">
        <v>403475</v>
      </c>
      <c r="N7" s="3187">
        <f t="shared" si="0"/>
        <v>4061.8804507216178</v>
      </c>
    </row>
    <row r="8" spans="1:16" s="3187" customFormat="1" ht="95.25" hidden="1" customHeight="1">
      <c r="A8" s="3182">
        <v>2017</v>
      </c>
      <c r="B8" s="3193" t="s">
        <v>3038</v>
      </c>
      <c r="C8" s="3193" t="s">
        <v>3039</v>
      </c>
      <c r="D8" s="3191" t="s">
        <v>3017</v>
      </c>
      <c r="E8" s="3194" t="s">
        <v>3026</v>
      </c>
      <c r="F8" s="3185" t="s">
        <v>3040</v>
      </c>
      <c r="G8" s="3192" t="s">
        <v>3034</v>
      </c>
      <c r="H8" s="3194" t="s">
        <v>3035</v>
      </c>
      <c r="I8" s="3194" t="s">
        <v>3041</v>
      </c>
      <c r="J8" s="3195" t="s">
        <v>3042</v>
      </c>
      <c r="K8" s="3189">
        <v>34.26</v>
      </c>
      <c r="L8" s="3184">
        <v>38931.19</v>
      </c>
      <c r="M8" s="3184">
        <v>64775.53</v>
      </c>
      <c r="N8" s="3187">
        <f t="shared" si="0"/>
        <v>3027.0496205487452</v>
      </c>
    </row>
    <row r="9" spans="1:16" s="3187" customFormat="1" ht="95.25" hidden="1" customHeight="1">
      <c r="A9" s="3182">
        <v>2017</v>
      </c>
      <c r="B9" s="3193" t="s">
        <v>3038</v>
      </c>
      <c r="C9" s="3193" t="s">
        <v>3039</v>
      </c>
      <c r="D9" s="3191" t="s">
        <v>3017</v>
      </c>
      <c r="E9" s="3191" t="s">
        <v>3026</v>
      </c>
      <c r="F9" s="3185" t="s">
        <v>3043</v>
      </c>
      <c r="G9" s="3191" t="s">
        <v>3034</v>
      </c>
      <c r="H9" s="3191" t="s">
        <v>3035</v>
      </c>
      <c r="I9" s="3191" t="s">
        <v>3022</v>
      </c>
      <c r="J9" s="3191" t="s">
        <v>3044</v>
      </c>
      <c r="K9" s="3189">
        <v>51.07</v>
      </c>
      <c r="L9" s="3184">
        <v>33012.44</v>
      </c>
      <c r="M9" s="3184">
        <v>46402.36</v>
      </c>
      <c r="N9" s="3187">
        <f t="shared" si="0"/>
        <v>1555.0186019189348</v>
      </c>
    </row>
    <row r="10" spans="1:16" s="3187" customFormat="1" ht="67.5" hidden="1" customHeight="1">
      <c r="A10" s="3182">
        <v>2017</v>
      </c>
      <c r="B10" s="3193" t="s">
        <v>3038</v>
      </c>
      <c r="C10" s="3193" t="s">
        <v>3039</v>
      </c>
      <c r="D10" s="3192" t="s">
        <v>3045</v>
      </c>
      <c r="E10" s="3192" t="s">
        <v>3026</v>
      </c>
      <c r="F10" s="3185" t="s">
        <v>3046</v>
      </c>
      <c r="G10" s="3192" t="s">
        <v>3047</v>
      </c>
      <c r="H10" s="3192" t="s">
        <v>3021</v>
      </c>
      <c r="I10" s="3196" t="s">
        <v>3048</v>
      </c>
      <c r="J10" s="3196" t="s">
        <v>3049</v>
      </c>
      <c r="K10" s="3184">
        <v>96.99</v>
      </c>
      <c r="L10" s="3184">
        <v>51676.39</v>
      </c>
      <c r="M10" s="3184">
        <v>172115.08</v>
      </c>
      <c r="N10" s="3187">
        <f>(L10+M10)/K10</f>
        <v>2307.3664295288172</v>
      </c>
    </row>
    <row r="11" spans="1:16" s="3187" customFormat="1" ht="95.25" hidden="1" customHeight="1">
      <c r="A11" s="3182">
        <v>2017</v>
      </c>
      <c r="B11" s="3193" t="s">
        <v>3038</v>
      </c>
      <c r="C11" s="3193" t="s">
        <v>3039</v>
      </c>
      <c r="D11" s="3192" t="s">
        <v>3045</v>
      </c>
      <c r="E11" s="3192" t="s">
        <v>3026</v>
      </c>
      <c r="F11" s="3185" t="s">
        <v>3050</v>
      </c>
      <c r="G11" s="3192" t="s">
        <v>3051</v>
      </c>
      <c r="H11" s="3192" t="s">
        <v>3021</v>
      </c>
      <c r="I11" s="3196" t="s">
        <v>3052</v>
      </c>
      <c r="J11" s="3197" t="s">
        <v>3053</v>
      </c>
      <c r="K11" s="3198">
        <v>49.52</v>
      </c>
      <c r="L11" s="3184">
        <v>25737.439999999999</v>
      </c>
      <c r="M11" s="3184">
        <v>180122.23999999999</v>
      </c>
      <c r="N11" s="3187">
        <f t="shared" ref="N11:N32" si="1">(L11+M11)/K11</f>
        <v>4157.1017770597737</v>
      </c>
    </row>
    <row r="12" spans="1:16" s="3187" customFormat="1" ht="45.75" hidden="1" customHeight="1">
      <c r="A12" s="3182">
        <v>2017</v>
      </c>
      <c r="B12" s="3193" t="s">
        <v>3038</v>
      </c>
      <c r="C12" s="3193" t="s">
        <v>3039</v>
      </c>
      <c r="D12" s="3192" t="s">
        <v>3054</v>
      </c>
      <c r="E12" s="3192" t="s">
        <v>3026</v>
      </c>
      <c r="F12" s="3185" t="s">
        <v>3055</v>
      </c>
      <c r="G12" s="3192" t="s">
        <v>3056</v>
      </c>
      <c r="H12" s="3194" t="s">
        <v>3035</v>
      </c>
      <c r="I12" s="3196" t="s">
        <v>3057</v>
      </c>
      <c r="J12" s="3184" t="s">
        <v>3058</v>
      </c>
      <c r="K12" s="3189">
        <v>116.6</v>
      </c>
      <c r="L12" s="3184">
        <v>138739.75</v>
      </c>
      <c r="M12" s="3184">
        <v>441601.69</v>
      </c>
      <c r="N12" s="3199">
        <f t="shared" si="1"/>
        <v>4977.1993138936532</v>
      </c>
    </row>
    <row r="13" spans="1:16" s="3200" customFormat="1" ht="96" hidden="1">
      <c r="A13" s="3182">
        <v>2017</v>
      </c>
      <c r="B13" s="3194" t="s">
        <v>3059</v>
      </c>
      <c r="C13" s="3194" t="s">
        <v>3060</v>
      </c>
      <c r="D13" s="3194" t="s">
        <v>3061</v>
      </c>
      <c r="E13" s="3194" t="s">
        <v>3062</v>
      </c>
      <c r="F13" s="3192" t="s">
        <v>3063</v>
      </c>
      <c r="G13" s="3192" t="s">
        <v>3064</v>
      </c>
      <c r="H13" s="3192" t="s">
        <v>3065</v>
      </c>
      <c r="I13" s="3196" t="s">
        <v>3066</v>
      </c>
      <c r="J13" s="3197" t="s">
        <v>3067</v>
      </c>
      <c r="K13" s="3186">
        <v>33.36</v>
      </c>
      <c r="L13" s="3184">
        <v>16588.11</v>
      </c>
      <c r="M13" s="3184">
        <v>13953.2</v>
      </c>
      <c r="N13" s="3187">
        <f t="shared" si="1"/>
        <v>915.50689448441256</v>
      </c>
    </row>
    <row r="14" spans="1:16" s="3202" customFormat="1" ht="48" hidden="1" customHeight="1">
      <c r="A14" s="3182">
        <v>2017</v>
      </c>
      <c r="B14" s="3201" t="s">
        <v>3068</v>
      </c>
      <c r="C14" s="3201" t="s">
        <v>3069</v>
      </c>
      <c r="D14" s="3192" t="s">
        <v>3070</v>
      </c>
      <c r="E14" s="3192" t="s">
        <v>3026</v>
      </c>
      <c r="F14" s="3194" t="s">
        <v>3071</v>
      </c>
      <c r="G14" s="3192" t="s">
        <v>3072</v>
      </c>
      <c r="H14" s="3192" t="s">
        <v>3065</v>
      </c>
      <c r="I14" s="3196" t="s">
        <v>3073</v>
      </c>
      <c r="J14" s="3196" t="s">
        <v>3074</v>
      </c>
      <c r="K14" s="3184">
        <v>19.994820000000001</v>
      </c>
      <c r="L14" s="3184">
        <v>4110.28</v>
      </c>
      <c r="M14" s="3184">
        <v>1634.87</v>
      </c>
      <c r="N14" s="3187">
        <f t="shared" si="1"/>
        <v>287.33191896701243</v>
      </c>
    </row>
    <row r="15" spans="1:16" s="3200" customFormat="1" ht="95.25" customHeight="1">
      <c r="A15" s="3182">
        <v>2017</v>
      </c>
      <c r="B15" s="3193" t="s">
        <v>3075</v>
      </c>
      <c r="C15" s="3193" t="s">
        <v>3076</v>
      </c>
      <c r="D15" s="3192" t="s">
        <v>3077</v>
      </c>
      <c r="E15" s="3192" t="s">
        <v>3026</v>
      </c>
      <c r="F15" s="3192" t="s">
        <v>3078</v>
      </c>
      <c r="G15" s="3192" t="s">
        <v>3079</v>
      </c>
      <c r="H15" s="3192" t="s">
        <v>3035</v>
      </c>
      <c r="I15" s="3196" t="s">
        <v>3080</v>
      </c>
      <c r="J15" s="3197" t="s">
        <v>3081</v>
      </c>
      <c r="K15" s="3203">
        <v>72.180000000000007</v>
      </c>
      <c r="L15" s="3184">
        <v>20148.59</v>
      </c>
      <c r="M15" s="3184">
        <v>195592.13</v>
      </c>
      <c r="N15" s="3187">
        <f>(L15+M15)/K15</f>
        <v>2988.9265724577444</v>
      </c>
      <c r="P15" s="3200">
        <f>(N24+N20+N22+N30+N16+N15)/6</f>
        <v>3962.5411932959341</v>
      </c>
    </row>
    <row r="16" spans="1:16" s="3200" customFormat="1" ht="95.25" customHeight="1">
      <c r="A16" s="3182">
        <v>2017</v>
      </c>
      <c r="B16" s="3193" t="s">
        <v>3075</v>
      </c>
      <c r="C16" s="3193" t="s">
        <v>3076</v>
      </c>
      <c r="D16" s="3192" t="s">
        <v>3077</v>
      </c>
      <c r="E16" s="3192" t="s">
        <v>3026</v>
      </c>
      <c r="F16" s="3192" t="s">
        <v>3082</v>
      </c>
      <c r="G16" s="3192" t="s">
        <v>3083</v>
      </c>
      <c r="H16" s="3192" t="s">
        <v>3035</v>
      </c>
      <c r="I16" s="3196" t="s">
        <v>3084</v>
      </c>
      <c r="J16" s="3204" t="s">
        <v>3085</v>
      </c>
      <c r="K16" s="3189">
        <v>148.19999999999999</v>
      </c>
      <c r="L16" s="3184">
        <v>46469.07</v>
      </c>
      <c r="M16" s="3184">
        <v>462882.97</v>
      </c>
      <c r="N16" s="3187">
        <f t="shared" si="1"/>
        <v>3436.9233468286102</v>
      </c>
    </row>
    <row r="17" spans="1:14" s="3205" customFormat="1" ht="95.25" hidden="1" customHeight="1">
      <c r="A17" s="3182">
        <v>2017</v>
      </c>
      <c r="B17" s="3201" t="s">
        <v>3086</v>
      </c>
      <c r="C17" s="3201" t="s">
        <v>3087</v>
      </c>
      <c r="D17" s="3192" t="s">
        <v>3088</v>
      </c>
      <c r="E17" s="3192" t="s">
        <v>3026</v>
      </c>
      <c r="F17" s="3192" t="s">
        <v>3089</v>
      </c>
      <c r="G17" s="3192" t="s">
        <v>3090</v>
      </c>
      <c r="H17" s="3192" t="s">
        <v>3035</v>
      </c>
      <c r="I17" s="3196" t="s">
        <v>3091</v>
      </c>
      <c r="J17" s="3196" t="s">
        <v>3092</v>
      </c>
      <c r="K17" s="3189">
        <v>89.78</v>
      </c>
      <c r="L17" s="3184">
        <v>52725.51</v>
      </c>
      <c r="M17" s="3184">
        <v>150160.9</v>
      </c>
      <c r="N17" s="3187">
        <f t="shared" si="1"/>
        <v>2259.8174426375585</v>
      </c>
    </row>
    <row r="18" spans="1:14" s="3200" customFormat="1" ht="95.25" hidden="1" customHeight="1">
      <c r="A18" s="3182">
        <v>2017</v>
      </c>
      <c r="B18" s="3201" t="s">
        <v>3086</v>
      </c>
      <c r="C18" s="3201" t="s">
        <v>3087</v>
      </c>
      <c r="D18" s="3192" t="s">
        <v>3088</v>
      </c>
      <c r="E18" s="3192" t="s">
        <v>3026</v>
      </c>
      <c r="F18" s="3192" t="s">
        <v>3093</v>
      </c>
      <c r="G18" s="3192" t="s">
        <v>3094</v>
      </c>
      <c r="H18" s="3192" t="s">
        <v>3035</v>
      </c>
      <c r="I18" s="3196" t="s">
        <v>3095</v>
      </c>
      <c r="J18" s="3206" t="s">
        <v>3096</v>
      </c>
      <c r="K18" s="3189">
        <v>146.24</v>
      </c>
      <c r="L18" s="3184">
        <v>73331.179999999993</v>
      </c>
      <c r="M18" s="3184">
        <v>459399.64</v>
      </c>
      <c r="N18" s="3187">
        <f t="shared" si="1"/>
        <v>3642.8529814004378</v>
      </c>
    </row>
    <row r="19" spans="1:14" s="3200" customFormat="1" ht="51" hidden="1" customHeight="1">
      <c r="A19" s="3182">
        <v>2017</v>
      </c>
      <c r="B19" s="3201" t="s">
        <v>3097</v>
      </c>
      <c r="C19" s="3201" t="s">
        <v>3087</v>
      </c>
      <c r="D19" s="3192" t="s">
        <v>3070</v>
      </c>
      <c r="E19" s="3192" t="s">
        <v>3026</v>
      </c>
      <c r="F19" s="3192" t="s">
        <v>3098</v>
      </c>
      <c r="G19" s="3192" t="s">
        <v>3099</v>
      </c>
      <c r="H19" s="3192" t="s">
        <v>3065</v>
      </c>
      <c r="I19" s="3196" t="s">
        <v>3100</v>
      </c>
      <c r="J19" s="3196" t="s">
        <v>3101</v>
      </c>
      <c r="K19" s="3184">
        <v>132.25</v>
      </c>
      <c r="L19" s="3184">
        <v>24298.5</v>
      </c>
      <c r="M19" s="3184">
        <v>107594.55</v>
      </c>
      <c r="N19" s="3187">
        <f t="shared" si="1"/>
        <v>997.30094517958401</v>
      </c>
    </row>
    <row r="20" spans="1:14" s="3211" customFormat="1" ht="95.25" customHeight="1">
      <c r="A20" s="3182">
        <v>2017</v>
      </c>
      <c r="B20" s="3201" t="s">
        <v>3097</v>
      </c>
      <c r="C20" s="3207" t="s">
        <v>3087</v>
      </c>
      <c r="D20" s="3208" t="s">
        <v>3102</v>
      </c>
      <c r="E20" s="3192" t="s">
        <v>3062</v>
      </c>
      <c r="F20" s="3209" t="s">
        <v>3103</v>
      </c>
      <c r="G20" s="3192" t="s">
        <v>3079</v>
      </c>
      <c r="H20" s="3192" t="s">
        <v>3035</v>
      </c>
      <c r="I20" s="3210" t="s">
        <v>3104</v>
      </c>
      <c r="J20" s="3210" t="s">
        <v>3105</v>
      </c>
      <c r="K20" s="3189">
        <v>217.58</v>
      </c>
      <c r="L20" s="3184">
        <v>106922.18</v>
      </c>
      <c r="M20" s="3184">
        <v>1002860.16</v>
      </c>
      <c r="N20" s="3187">
        <f t="shared" si="1"/>
        <v>5100.5714679658058</v>
      </c>
    </row>
    <row r="21" spans="1:14" s="3188" customFormat="1" ht="95.25" hidden="1" customHeight="1">
      <c r="A21" s="3212">
        <v>2018</v>
      </c>
      <c r="B21" s="3201" t="s">
        <v>3106</v>
      </c>
      <c r="C21" s="3201" t="s">
        <v>3069</v>
      </c>
      <c r="D21" s="3213" t="s">
        <v>3061</v>
      </c>
      <c r="E21" s="3213" t="s">
        <v>3062</v>
      </c>
      <c r="F21" s="3213" t="s">
        <v>3107</v>
      </c>
      <c r="G21" s="3213" t="s">
        <v>3108</v>
      </c>
      <c r="H21" s="3213" t="s">
        <v>3065</v>
      </c>
      <c r="I21" s="3214" t="s">
        <v>3109</v>
      </c>
      <c r="J21" s="3215" t="s">
        <v>3110</v>
      </c>
      <c r="K21" s="3216">
        <v>726.3</v>
      </c>
      <c r="L21" s="3184">
        <v>281939.06</v>
      </c>
      <c r="M21" s="3184">
        <v>704305.38</v>
      </c>
      <c r="N21" s="3187">
        <f t="shared" si="1"/>
        <v>1357.9022993253477</v>
      </c>
    </row>
    <row r="22" spans="1:14" s="3218" customFormat="1" ht="95.25" customHeight="1">
      <c r="A22" s="3213">
        <v>2018</v>
      </c>
      <c r="B22" s="3201" t="s">
        <v>3111</v>
      </c>
      <c r="C22" s="3217" t="s">
        <v>3112</v>
      </c>
      <c r="D22" s="3194" t="s">
        <v>3102</v>
      </c>
      <c r="E22" s="3194" t="s">
        <v>3026</v>
      </c>
      <c r="F22" s="3194" t="s">
        <v>3113</v>
      </c>
      <c r="G22" s="3194" t="s">
        <v>3079</v>
      </c>
      <c r="H22" s="3194" t="s">
        <v>3035</v>
      </c>
      <c r="I22" s="3214" t="s">
        <v>3114</v>
      </c>
      <c r="J22" s="3215" t="s">
        <v>3115</v>
      </c>
      <c r="K22" s="3189">
        <v>193.55</v>
      </c>
      <c r="L22" s="3184">
        <v>230654.05</v>
      </c>
      <c r="M22" s="3184">
        <v>598903.21</v>
      </c>
      <c r="N22" s="3187">
        <f t="shared" si="1"/>
        <v>4286.0101265822786</v>
      </c>
    </row>
    <row r="23" spans="1:14" s="3218" customFormat="1" ht="95.25" hidden="1" customHeight="1">
      <c r="A23" s="3213">
        <v>2018</v>
      </c>
      <c r="B23" s="3201" t="s">
        <v>3111</v>
      </c>
      <c r="C23" s="3217" t="s">
        <v>3112</v>
      </c>
      <c r="D23" s="3194" t="s">
        <v>3102</v>
      </c>
      <c r="E23" s="3194" t="s">
        <v>3026</v>
      </c>
      <c r="F23" s="3194" t="s">
        <v>3116</v>
      </c>
      <c r="G23" s="3194" t="s">
        <v>3117</v>
      </c>
      <c r="H23" s="3194" t="s">
        <v>3035</v>
      </c>
      <c r="I23" s="3214" t="s">
        <v>3118</v>
      </c>
      <c r="J23" s="3215" t="s">
        <v>3119</v>
      </c>
      <c r="K23" s="3219">
        <v>210.43</v>
      </c>
      <c r="L23" s="3184">
        <v>23862.83</v>
      </c>
      <c r="M23" s="3184">
        <v>602931.53</v>
      </c>
      <c r="N23" s="3187">
        <f t="shared" si="1"/>
        <v>2978.6359359406929</v>
      </c>
    </row>
    <row r="24" spans="1:14" s="3218" customFormat="1" ht="95.25" customHeight="1">
      <c r="A24" s="3213">
        <v>2018</v>
      </c>
      <c r="B24" s="3201" t="s">
        <v>3111</v>
      </c>
      <c r="C24" s="3217" t="s">
        <v>3112</v>
      </c>
      <c r="D24" s="3194" t="s">
        <v>3102</v>
      </c>
      <c r="E24" s="3194" t="s">
        <v>3026</v>
      </c>
      <c r="F24" s="3194" t="s">
        <v>3120</v>
      </c>
      <c r="G24" s="3194" t="s">
        <v>3079</v>
      </c>
      <c r="H24" s="3194" t="s">
        <v>3035</v>
      </c>
      <c r="I24" s="3214" t="s">
        <v>3121</v>
      </c>
      <c r="J24" s="3215" t="s">
        <v>3122</v>
      </c>
      <c r="K24" s="3219">
        <v>74.25</v>
      </c>
      <c r="L24" s="3184">
        <v>13520.67</v>
      </c>
      <c r="M24" s="3184">
        <v>291651.92</v>
      </c>
      <c r="N24" s="3187">
        <f t="shared" si="1"/>
        <v>4110.0685521885516</v>
      </c>
    </row>
    <row r="25" spans="1:14" s="3218" customFormat="1" ht="95.25" hidden="1" customHeight="1">
      <c r="A25" s="3213">
        <v>2018</v>
      </c>
      <c r="B25" s="3201" t="s">
        <v>3111</v>
      </c>
      <c r="C25" s="3217" t="s">
        <v>3112</v>
      </c>
      <c r="D25" s="3194" t="s">
        <v>3123</v>
      </c>
      <c r="E25" s="3194" t="s">
        <v>3026</v>
      </c>
      <c r="F25" s="3194" t="s">
        <v>3124</v>
      </c>
      <c r="G25" s="3194" t="s">
        <v>3125</v>
      </c>
      <c r="H25" s="3194" t="s">
        <v>3035</v>
      </c>
      <c r="I25" s="3214" t="s">
        <v>3126</v>
      </c>
      <c r="J25" s="3185" t="s">
        <v>3127</v>
      </c>
      <c r="K25" s="3219">
        <v>29.09</v>
      </c>
      <c r="L25" s="3184">
        <v>12773.36</v>
      </c>
      <c r="M25" s="3184">
        <v>231746.85</v>
      </c>
      <c r="N25" s="3187">
        <f t="shared" si="1"/>
        <v>8405.6448951529746</v>
      </c>
    </row>
    <row r="26" spans="1:14" s="3218" customFormat="1" ht="95.25" hidden="1" customHeight="1">
      <c r="A26" s="3213">
        <v>2018</v>
      </c>
      <c r="B26" s="3201" t="s">
        <v>3128</v>
      </c>
      <c r="C26" s="3220" t="s">
        <v>3129</v>
      </c>
      <c r="D26" s="3219" t="s">
        <v>3102</v>
      </c>
      <c r="E26" s="3219" t="s">
        <v>3026</v>
      </c>
      <c r="F26" s="3219" t="s">
        <v>3130</v>
      </c>
      <c r="G26" s="3219" t="s">
        <v>3079</v>
      </c>
      <c r="H26" s="3219" t="s">
        <v>3035</v>
      </c>
      <c r="I26" s="3219" t="s">
        <v>3131</v>
      </c>
      <c r="J26" s="3219" t="s">
        <v>3132</v>
      </c>
      <c r="K26" s="3219">
        <v>165.53</v>
      </c>
      <c r="L26" s="3184">
        <v>55495.91</v>
      </c>
      <c r="M26" s="3184">
        <v>418159.92</v>
      </c>
      <c r="N26" s="3187">
        <f t="shared" si="1"/>
        <v>2861.4500694738113</v>
      </c>
    </row>
    <row r="27" spans="1:14" s="3218" customFormat="1" ht="72" hidden="1">
      <c r="A27" s="3213">
        <v>2018</v>
      </c>
      <c r="B27" s="3201" t="s">
        <v>3133</v>
      </c>
      <c r="C27" s="3220" t="s">
        <v>3129</v>
      </c>
      <c r="D27" s="3219" t="s">
        <v>3102</v>
      </c>
      <c r="E27" s="3219" t="s">
        <v>3026</v>
      </c>
      <c r="F27" s="3219" t="s">
        <v>3134</v>
      </c>
      <c r="G27" s="3219" t="s">
        <v>3135</v>
      </c>
      <c r="H27" s="3219" t="s">
        <v>3035</v>
      </c>
      <c r="I27" s="3219" t="s">
        <v>3136</v>
      </c>
      <c r="J27" s="3219" t="s">
        <v>3137</v>
      </c>
      <c r="K27" s="3221">
        <v>175.57</v>
      </c>
      <c r="L27" s="3184">
        <v>157294.39999999999</v>
      </c>
      <c r="M27" s="3184">
        <v>394653.43</v>
      </c>
      <c r="N27" s="3187">
        <f t="shared" si="1"/>
        <v>3143.7479637751321</v>
      </c>
    </row>
    <row r="28" spans="1:14" s="3188" customFormat="1" ht="63.75" hidden="1" customHeight="1">
      <c r="A28" s="3213">
        <v>2018</v>
      </c>
      <c r="B28" s="3201" t="s">
        <v>3138</v>
      </c>
      <c r="C28" s="3222" t="s">
        <v>3139</v>
      </c>
      <c r="D28" s="3223" t="s">
        <v>3054</v>
      </c>
      <c r="E28" s="3223" t="s">
        <v>3026</v>
      </c>
      <c r="F28" s="3223" t="s">
        <v>3140</v>
      </c>
      <c r="G28" s="3223" t="s">
        <v>3141</v>
      </c>
      <c r="H28" s="3223" t="s">
        <v>3035</v>
      </c>
      <c r="I28" s="3223" t="s">
        <v>3142</v>
      </c>
      <c r="J28" s="3223" t="s">
        <v>3143</v>
      </c>
      <c r="K28" s="3219">
        <v>49.58</v>
      </c>
      <c r="L28" s="3184">
        <v>61873.95</v>
      </c>
      <c r="M28" s="3184">
        <v>240341.82</v>
      </c>
      <c r="N28" s="3199">
        <f t="shared" si="1"/>
        <v>6095.5177490923761</v>
      </c>
    </row>
    <row r="29" spans="1:14" s="3188" customFormat="1" ht="95.25" hidden="1" customHeight="1">
      <c r="A29" s="3213">
        <v>2018</v>
      </c>
      <c r="B29" s="3201" t="s">
        <v>3138</v>
      </c>
      <c r="C29" s="3222" t="s">
        <v>3139</v>
      </c>
      <c r="D29" s="3223" t="s">
        <v>3144</v>
      </c>
      <c r="E29" s="3223" t="s">
        <v>3026</v>
      </c>
      <c r="F29" s="3223" t="s">
        <v>3145</v>
      </c>
      <c r="G29" s="3223" t="s">
        <v>3146</v>
      </c>
      <c r="H29" s="3223" t="s">
        <v>3035</v>
      </c>
      <c r="I29" s="3223" t="s">
        <v>3147</v>
      </c>
      <c r="J29" s="3223" t="s">
        <v>3148</v>
      </c>
      <c r="K29" s="3224">
        <v>113.32</v>
      </c>
      <c r="L29" s="3184">
        <v>84598.35</v>
      </c>
      <c r="M29" s="3184">
        <v>378467.53</v>
      </c>
      <c r="N29" s="3187">
        <f t="shared" si="1"/>
        <v>4086.3561595481824</v>
      </c>
    </row>
    <row r="30" spans="1:14" s="3188" customFormat="1" ht="95.25" customHeight="1">
      <c r="A30" s="3213">
        <v>2018</v>
      </c>
      <c r="B30" s="3201" t="s">
        <v>3138</v>
      </c>
      <c r="C30" s="3189">
        <v>12</v>
      </c>
      <c r="D30" s="3223" t="s">
        <v>3102</v>
      </c>
      <c r="E30" s="3223" t="s">
        <v>3026</v>
      </c>
      <c r="F30" s="3223" t="s">
        <v>3149</v>
      </c>
      <c r="G30" s="3223" t="s">
        <v>3079</v>
      </c>
      <c r="H30" s="3223" t="s">
        <v>3035</v>
      </c>
      <c r="I30" s="3223" t="s">
        <v>3150</v>
      </c>
      <c r="J30" s="3223" t="s">
        <v>3151</v>
      </c>
      <c r="K30" s="3219">
        <v>239.14</v>
      </c>
      <c r="L30" s="3184">
        <v>61695.44</v>
      </c>
      <c r="M30" s="3184">
        <v>859650.5</v>
      </c>
      <c r="N30" s="3187">
        <f t="shared" si="1"/>
        <v>3852.7470937526136</v>
      </c>
    </row>
    <row r="31" spans="1:14" s="3188" customFormat="1" ht="120" hidden="1" customHeight="1">
      <c r="A31" s="3213">
        <v>2018</v>
      </c>
      <c r="B31" s="3201" t="s">
        <v>3138</v>
      </c>
      <c r="C31" s="3189" t="s">
        <v>3139</v>
      </c>
      <c r="D31" s="3223" t="s">
        <v>3088</v>
      </c>
      <c r="E31" s="3223" t="s">
        <v>3026</v>
      </c>
      <c r="F31" s="3223" t="s">
        <v>3152</v>
      </c>
      <c r="G31" s="3223" t="s">
        <v>3153</v>
      </c>
      <c r="H31" s="3223" t="s">
        <v>3035</v>
      </c>
      <c r="I31" s="3223" t="s">
        <v>3154</v>
      </c>
      <c r="J31" s="3223" t="s">
        <v>3155</v>
      </c>
      <c r="K31" s="3219">
        <v>129.57</v>
      </c>
      <c r="L31" s="3184">
        <v>164075.88</v>
      </c>
      <c r="M31" s="3184">
        <v>363152.48</v>
      </c>
      <c r="N31" s="3187">
        <f t="shared" si="1"/>
        <v>4069.061974222428</v>
      </c>
    </row>
    <row r="32" spans="1:14" s="3188" customFormat="1" ht="72" hidden="1">
      <c r="A32" s="3213">
        <v>2018</v>
      </c>
      <c r="B32" s="3201" t="s">
        <v>3133</v>
      </c>
      <c r="C32" s="3189" t="s">
        <v>3139</v>
      </c>
      <c r="D32" s="3223" t="s">
        <v>3102</v>
      </c>
      <c r="E32" s="3223" t="s">
        <v>3026</v>
      </c>
      <c r="F32" s="3223" t="s">
        <v>3156</v>
      </c>
      <c r="G32" s="3223" t="s">
        <v>3079</v>
      </c>
      <c r="H32" s="3223" t="s">
        <v>3035</v>
      </c>
      <c r="I32" s="3223" t="s">
        <v>3157</v>
      </c>
      <c r="J32" s="3223" t="s">
        <v>3158</v>
      </c>
      <c r="K32" s="3219">
        <v>55.01</v>
      </c>
      <c r="L32" s="3184">
        <v>61454.45</v>
      </c>
      <c r="M32" s="3184">
        <v>558371.41</v>
      </c>
      <c r="N32" s="3187">
        <f t="shared" si="1"/>
        <v>11267.512452281404</v>
      </c>
    </row>
    <row r="33" spans="11:14">
      <c r="K33" s="3225">
        <f>SUBTOTAL(9,K10:K32)</f>
        <v>944.9</v>
      </c>
      <c r="L33" s="3226">
        <f>SUBTOTAL(9,L10:L32)</f>
        <v>479410</v>
      </c>
      <c r="M33" s="3226">
        <f>SUBTOTAL(9,M10:M32)</f>
        <v>3411540.8899999997</v>
      </c>
      <c r="N33" s="3179">
        <f>(L33+M33)/K33</f>
        <v>4117.8440999047516</v>
      </c>
    </row>
    <row r="34" spans="11:14">
      <c r="K34" s="3225"/>
      <c r="M34" s="3227"/>
    </row>
    <row r="35" spans="11:14">
      <c r="K35" s="3225"/>
    </row>
    <row r="36" spans="11:14">
      <c r="K36" s="3225"/>
    </row>
    <row r="37" spans="11:14">
      <c r="K37" s="3225"/>
    </row>
    <row r="38" spans="11:14">
      <c r="K38" s="3225"/>
    </row>
    <row r="39" spans="11:14">
      <c r="K39" s="3225"/>
    </row>
    <row r="40" spans="11:14">
      <c r="K40" s="3225"/>
    </row>
    <row r="41" spans="11:14">
      <c r="K41" s="3225"/>
    </row>
    <row r="42" spans="11:14">
      <c r="K42" s="3225"/>
    </row>
    <row r="43" spans="11:14">
      <c r="K43" s="3225"/>
    </row>
    <row r="44" spans="11:14">
      <c r="K44" s="3225"/>
    </row>
    <row r="45" spans="11:14">
      <c r="K45" s="3225"/>
    </row>
    <row r="46" spans="11:14">
      <c r="K46" s="3225"/>
    </row>
    <row r="47" spans="11:14">
      <c r="K47" s="3225"/>
    </row>
    <row r="48" spans="11:14">
      <c r="K48" s="3225"/>
    </row>
    <row r="49" spans="11:11">
      <c r="K49" s="3225"/>
    </row>
    <row r="50" spans="11:11">
      <c r="K50" s="3225"/>
    </row>
    <row r="51" spans="11:11">
      <c r="K51" s="3225"/>
    </row>
    <row r="52" spans="11:11">
      <c r="K52" s="3225"/>
    </row>
    <row r="53" spans="11:11">
      <c r="K53" s="3225"/>
    </row>
    <row r="54" spans="11:11">
      <c r="K54" s="3225"/>
    </row>
    <row r="55" spans="11:11">
      <c r="K55" s="3225"/>
    </row>
    <row r="56" spans="11:11">
      <c r="K56" s="3225"/>
    </row>
    <row r="57" spans="11:11">
      <c r="K57" s="3225"/>
    </row>
    <row r="58" spans="11:11">
      <c r="K58" s="3225"/>
    </row>
    <row r="59" spans="11:11">
      <c r="K59" s="3225"/>
    </row>
    <row r="60" spans="11:11">
      <c r="K60" s="3225"/>
    </row>
    <row r="61" spans="11:11">
      <c r="K61" s="3225"/>
    </row>
    <row r="62" spans="11:11">
      <c r="K62" s="3225"/>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zoomScale="80" zoomScaleNormal="80" workbookViewId="0">
      <selection activeCell="C19" sqref="C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96343.56</v>
      </c>
      <c r="E1" s="1401" t="s">
        <v>2422</v>
      </c>
      <c r="F1" s="2415">
        <f>'数据-汇总表'!D3</f>
        <v>96343.56</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88" t="s">
        <v>2755</v>
      </c>
      <c r="S1" s="2888" t="s">
        <v>2756</v>
      </c>
      <c r="T1" s="2888" t="s">
        <v>2777</v>
      </c>
      <c r="U1" s="2888" t="s">
        <v>2778</v>
      </c>
      <c r="V1" s="2888" t="s">
        <v>2779</v>
      </c>
      <c r="W1" s="2173"/>
      <c r="X1" s="2173"/>
      <c r="Y1" s="2173"/>
      <c r="Z1" s="2173"/>
      <c r="AA1" s="2173"/>
      <c r="AB1" s="2173"/>
      <c r="AC1" s="2174"/>
    </row>
    <row r="2" spans="1:39" ht="15.75">
      <c r="A2" s="1401" t="s">
        <v>918</v>
      </c>
      <c r="B2" s="1036">
        <f ca="1">C26</f>
        <v>21456</v>
      </c>
      <c r="C2" s="1402" t="s">
        <v>919</v>
      </c>
      <c r="D2" s="1403" t="s">
        <v>920</v>
      </c>
      <c r="E2" s="1404" t="s">
        <v>979</v>
      </c>
      <c r="F2" s="1403" t="s">
        <v>922</v>
      </c>
      <c r="G2" s="1636" t="str">
        <f>IF(E2="商业",项目基本情况!B43,IF(E2="办公",项目基本情况!C43,IF(E2="住宅",项目基本情况!D43,项目基本情况!E43)))</f>
        <v>七级</v>
      </c>
      <c r="H2" s="1403" t="s">
        <v>924</v>
      </c>
      <c r="I2" s="1637" t="str">
        <f>IF(E2="商业",项目基本情况!B44,IF(E2="办公",项目基本情况!C44,IF(E2="住宅",项目基本情况!D44,项目基本情况!E44)))</f>
        <v>Ⅶ-兴1</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89">
        <v>1</v>
      </c>
      <c r="S2" s="2889">
        <f>ROUND(IF(G3&gt;1,IF(R2&lt;7,SUMPRODUCT((B93:B98=R2)*(C92:N92=G2)*(C93:N98)),SUMIF(C92:N92,G2,C100:N100)),IF(R2&lt;7,SUMPRODUCT((B102:B107=R2)*(C92:N92=G2)*(C102:N107)),SUMIF(C92:N92,G2,C109:N109))),4)</f>
        <v>1.8629</v>
      </c>
      <c r="T2" s="2889">
        <f ca="1">ROUND($C$5*$C$18*$C$19*$C$20*S2*$C$24,0)</f>
        <v>3732</v>
      </c>
      <c r="U2" s="2878"/>
      <c r="V2" s="2889">
        <f ca="1">ROUND(T2*U2/10000,0)</f>
        <v>0</v>
      </c>
      <c r="W2" s="2173"/>
      <c r="X2" s="2173"/>
      <c r="Y2" s="2173"/>
      <c r="Z2" s="2173"/>
      <c r="AA2" s="2173"/>
      <c r="AB2" s="2173"/>
      <c r="AC2" s="2174"/>
    </row>
    <row r="3" spans="1:39" ht="15.75">
      <c r="A3" s="1406" t="s">
        <v>1685</v>
      </c>
      <c r="B3" s="1036">
        <f ca="1">ROUND(B2*10000/D1,0)</f>
        <v>2227</v>
      </c>
      <c r="C3" s="1402" t="s">
        <v>925</v>
      </c>
      <c r="D3" s="1403" t="s">
        <v>926</v>
      </c>
      <c r="E3" s="1407" t="s">
        <v>3159</v>
      </c>
      <c r="F3" s="1408" t="s">
        <v>3160</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89">
        <v>2</v>
      </c>
      <c r="S3" s="2889">
        <f>ROUND(IF(G3&gt;1,IF(R3&lt;7,SUMPRODUCT((B93:B98=R3)*(C92:N92=G2)*(C93:N98)),SUMIF(C92:N92,G2,C100:N100)),IF(R3&lt;7,SUMPRODUCT((B102:B107=R3)*(C92:N92=G2)*(C102:N107)),SUMIF(C92:N92,G2,C109:N109))),4)</f>
        <v>1.3371999999999999</v>
      </c>
      <c r="T3" s="2889">
        <f t="shared" ref="T3:T16" ca="1" si="0">ROUND($C$5*$C$18*$C$19*$C$20*S3*$C$24,0)</f>
        <v>2679</v>
      </c>
      <c r="U3" s="2878"/>
      <c r="V3" s="2889">
        <f t="shared" ref="V3:V16" ca="1" si="1">ROUND(T3*U3/10000,0)</f>
        <v>0</v>
      </c>
      <c r="W3" s="2173"/>
      <c r="X3" s="2173"/>
      <c r="Y3" s="2173"/>
      <c r="Z3" s="2173"/>
      <c r="AA3" s="2173"/>
      <c r="AB3" s="2173"/>
      <c r="AC3" s="2174"/>
    </row>
    <row r="4" spans="1:39" ht="28.5">
      <c r="A4" s="1875" t="s">
        <v>2275</v>
      </c>
      <c r="B4" s="2416">
        <f ca="1">ROUND(B2*10000/F1,0)</f>
        <v>2227</v>
      </c>
      <c r="C4" s="1878" t="s">
        <v>2250</v>
      </c>
      <c r="D4" s="1878">
        <f ca="1">ROUND(B2/(F1/666.67),0)</f>
        <v>148</v>
      </c>
      <c r="E4" s="1878" t="s">
        <v>2251</v>
      </c>
      <c r="F4" s="1876"/>
      <c r="G4" s="1876"/>
      <c r="H4" s="1876"/>
      <c r="I4" s="1876"/>
      <c r="J4" s="1877"/>
      <c r="K4" s="3131"/>
      <c r="L4" s="1869" t="s">
        <v>2237</v>
      </c>
      <c r="M4" s="1870">
        <f>SUMPRODUCT((区片价!B49:B75=I2)*(区片价!C3:F3=E2)*(区片价!C49:F75))</f>
        <v>0</v>
      </c>
      <c r="N4" s="1871">
        <f>SUMPRODUCT((因素修正幅度!B49:B75=I2)*(因素修正幅度!C3:F3=E2)*(因素修正幅度!C49:F75))</f>
        <v>0</v>
      </c>
      <c r="O4" s="3131"/>
      <c r="P4" s="1396"/>
      <c r="Q4" s="2173"/>
      <c r="R4" s="2889">
        <v>3</v>
      </c>
      <c r="S4" s="2889">
        <f>ROUND(IF(G3&gt;1,IF(R4&lt;7,SUMPRODUCT((B93:B98=R4)*(C92:N92=G2)*(C93:N98)),SUMIF(C92:N92,G2,C100:N100)),IF(R4&lt;7,SUMPRODUCT((B102:B107=R4)*(C92:N92=G2)*(C102:N107)),SUMIF(C92:N92,G2,C109:N109))),4)</f>
        <v>1.0788</v>
      </c>
      <c r="T4" s="2889">
        <f t="shared" ca="1" si="0"/>
        <v>2161</v>
      </c>
      <c r="U4" s="2878"/>
      <c r="V4" s="2889">
        <f t="shared" ca="1" si="1"/>
        <v>0</v>
      </c>
      <c r="W4" s="2173"/>
      <c r="X4" s="2173"/>
      <c r="Y4" s="2173"/>
      <c r="Z4" s="2173"/>
      <c r="AA4" s="2173"/>
      <c r="AB4" s="2173"/>
      <c r="AC4" s="2174"/>
    </row>
    <row r="5" spans="1:39" s="1416" customFormat="1" ht="15.75" thickBot="1">
      <c r="A5" s="1622" t="s">
        <v>1821</v>
      </c>
      <c r="B5" s="1410" t="s">
        <v>929</v>
      </c>
      <c r="C5" s="1039">
        <f>ROUND(IF(E2="商业",C6*C7+C16,(IF(E2="住宅",C6*C12+C16,C6+C16))),0)</f>
        <v>1465</v>
      </c>
      <c r="D5" s="3056">
        <f>ROUND(C6+C16,0)</f>
        <v>1465</v>
      </c>
      <c r="E5" s="3056"/>
      <c r="F5" s="1411"/>
      <c r="G5" s="1412"/>
      <c r="H5" s="1412"/>
      <c r="I5" s="1412"/>
      <c r="J5" s="1413"/>
      <c r="K5" s="3132"/>
      <c r="L5" s="1869" t="s">
        <v>2238</v>
      </c>
      <c r="M5" s="1870">
        <f>SUMPRODUCT((区片价!B76:B109=I2)*(区片价!C3:F3=E2)*(区片价!C76:F109))</f>
        <v>0</v>
      </c>
      <c r="N5" s="1871">
        <f>SUMPRODUCT((因素修正幅度!B76:B109=I2)*(因素修正幅度!C3:F3=E2)*(因素修正幅度!C76:F109))</f>
        <v>0</v>
      </c>
      <c r="O5" s="3132"/>
      <c r="P5" s="1579"/>
      <c r="Q5" s="2173"/>
      <c r="R5" s="2889">
        <v>4</v>
      </c>
      <c r="S5" s="2889">
        <f>ROUND(IF(G3&gt;1,IF(R5&lt;7,SUMPRODUCT((B93:B98=R5)*(C92:N92=G2)*(C93:N98)),SUMIF(C92:N92,G2,C100:N100)),IF(R5&lt;7,SUMPRODUCT((B102:B107=R5)*(C92:N92=G2)*(C102:N107)),SUMIF(C92:N92,G2,C109:N109))),4)</f>
        <v>0.86560000000000004</v>
      </c>
      <c r="T5" s="2889">
        <f t="shared" ca="1" si="0"/>
        <v>1734</v>
      </c>
      <c r="U5" s="2878"/>
      <c r="V5" s="2889">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1540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89">
        <v>5</v>
      </c>
      <c r="S6" s="2889">
        <f>ROUND(IF(G3&gt;1,IF(R6&lt;7,SUMPRODUCT((B93:B98=R6)*(C92:N92=G2)*(C93:N98)),SUMIF(C92:N92,G2,C100:N100)),IF(R6&lt;7,SUMPRODUCT((B102:B107=R6)*(C92:N92=G2)*(C102:N107)),SUMIF(C92:N92,G2,C109:N109))),4)</f>
        <v>0.73709999999999998</v>
      </c>
      <c r="T6" s="2889">
        <f t="shared" ca="1" si="0"/>
        <v>1476</v>
      </c>
      <c r="U6" s="2878"/>
      <c r="V6" s="2889">
        <f t="shared" ca="1" si="1"/>
        <v>0</v>
      </c>
      <c r="W6" s="2173"/>
      <c r="X6" s="2173"/>
      <c r="Y6" s="2173"/>
      <c r="Z6" s="2173"/>
      <c r="AA6" s="2173"/>
      <c r="AB6" s="2173"/>
      <c r="AC6" s="2175"/>
      <c r="AD6" s="1414"/>
      <c r="AE6" s="1414"/>
      <c r="AF6" s="1414"/>
      <c r="AG6" s="1414"/>
      <c r="AH6" s="1414"/>
      <c r="AI6" s="1414"/>
      <c r="AJ6" s="1415"/>
    </row>
    <row r="7" spans="1:39" ht="24">
      <c r="A7" s="3420"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1540</v>
      </c>
      <c r="N7" s="1871">
        <f>SUMPRODUCT((因素修正幅度!B158:B205=I2)*(因素修正幅度!C3:F3=E2)*(因素修正幅度!C158:F205))</f>
        <v>0.13</v>
      </c>
      <c r="O7" s="1451"/>
      <c r="P7" s="1580"/>
      <c r="Q7" s="2173"/>
      <c r="R7" s="2889">
        <v>6</v>
      </c>
      <c r="S7" s="2889">
        <f>ROUND(IF(G3&gt;1,IF(R7&lt;7,SUMPRODUCT((B93:B98=R7)*(C92:N92=G2)*(C93:N98)),SUMIF(C92:N92,G2,C100:N100)),IF(R7&lt;7,SUMPRODUCT((B102:B107=R7)*(C92:N92=G2)*(C102:N107)),SUMIF(C92:N92,G2,C109:N109))),4)</f>
        <v>0.6482</v>
      </c>
      <c r="T7" s="2889">
        <f t="shared" ca="1" si="0"/>
        <v>1298</v>
      </c>
      <c r="U7" s="2878"/>
      <c r="V7" s="2889">
        <f t="shared" ca="1" si="1"/>
        <v>0</v>
      </c>
      <c r="W7" s="2887" t="s">
        <v>2758</v>
      </c>
      <c r="X7" s="2879" t="str">
        <f>G2</f>
        <v>七级</v>
      </c>
      <c r="Y7" s="2879" t="s">
        <v>2759</v>
      </c>
      <c r="Z7" s="2880">
        <f>G3</f>
        <v>1</v>
      </c>
      <c r="AA7" s="2176"/>
      <c r="AB7" s="2176"/>
      <c r="AC7" s="2177"/>
      <c r="AD7" s="2881"/>
      <c r="AE7" s="2881"/>
      <c r="AF7" s="2881"/>
      <c r="AG7" s="2881"/>
      <c r="AH7" s="2881"/>
      <c r="AI7" s="2881"/>
      <c r="AJ7" s="2882"/>
    </row>
    <row r="8" spans="1:39" ht="15">
      <c r="A8" s="3421"/>
      <c r="B8" s="1409" t="s">
        <v>932</v>
      </c>
      <c r="C8" s="1515"/>
      <c r="D8" s="1043" t="s">
        <v>933</v>
      </c>
      <c r="E8" s="1044">
        <f>ROUND(C11/E7,4)</f>
        <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89">
        <v>7</v>
      </c>
      <c r="S8" s="2878"/>
      <c r="T8" s="2889">
        <f t="shared" ca="1" si="0"/>
        <v>0</v>
      </c>
      <c r="U8" s="2878"/>
      <c r="V8" s="2889">
        <f t="shared" ca="1" si="1"/>
        <v>0</v>
      </c>
      <c r="W8" s="3431" t="s">
        <v>2776</v>
      </c>
      <c r="X8" s="3432"/>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1"/>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89">
        <v>8</v>
      </c>
      <c r="S9" s="2878"/>
      <c r="T9" s="2889">
        <f t="shared" ca="1" si="0"/>
        <v>0</v>
      </c>
      <c r="U9" s="2878"/>
      <c r="V9" s="2889">
        <f t="shared" ca="1" si="1"/>
        <v>0</v>
      </c>
      <c r="W9" s="3430" t="s">
        <v>2772</v>
      </c>
      <c r="X9" s="2883" t="s">
        <v>2773</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1"/>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89">
        <v>9</v>
      </c>
      <c r="S10" s="2878"/>
      <c r="T10" s="2889">
        <f t="shared" ca="1" si="0"/>
        <v>0</v>
      </c>
      <c r="U10" s="2878"/>
      <c r="V10" s="2889">
        <f t="shared" ca="1" si="1"/>
        <v>0</v>
      </c>
      <c r="W10" s="343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1"/>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89">
        <v>10</v>
      </c>
      <c r="S11" s="2878"/>
      <c r="T11" s="2889">
        <f t="shared" ca="1" si="0"/>
        <v>0</v>
      </c>
      <c r="U11" s="2878"/>
      <c r="V11" s="2889">
        <f t="shared" ca="1" si="1"/>
        <v>0</v>
      </c>
      <c r="W11" s="3430"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20"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89">
        <v>11</v>
      </c>
      <c r="S12" s="2878"/>
      <c r="T12" s="2889">
        <f t="shared" ca="1" si="0"/>
        <v>0</v>
      </c>
      <c r="U12" s="2878"/>
      <c r="V12" s="2889">
        <f t="shared" ca="1" si="1"/>
        <v>0</v>
      </c>
      <c r="W12" s="3430"/>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2"/>
      <c r="B13" s="1439" t="s">
        <v>1694</v>
      </c>
      <c r="C13" s="1440" t="s">
        <v>1695</v>
      </c>
      <c r="D13" s="1083" t="s">
        <v>1696</v>
      </c>
      <c r="E13" s="1083" t="s">
        <v>1697</v>
      </c>
      <c r="F13" s="1441" t="s">
        <v>946</v>
      </c>
      <c r="G13" s="1442" t="s">
        <v>1640</v>
      </c>
      <c r="H13" s="1443" t="s">
        <v>1640</v>
      </c>
      <c r="I13" s="1444" t="s">
        <v>1640</v>
      </c>
      <c r="J13" s="1445" t="s">
        <v>1640</v>
      </c>
      <c r="K13" s="3147"/>
      <c r="L13" s="3147"/>
      <c r="M13" s="3147"/>
      <c r="N13" s="3147"/>
      <c r="O13" s="3147"/>
      <c r="P13" s="1396"/>
      <c r="Q13" s="2173"/>
      <c r="R13" s="2889">
        <v>12</v>
      </c>
      <c r="S13" s="2878"/>
      <c r="T13" s="2889">
        <f t="shared" ca="1" si="0"/>
        <v>0</v>
      </c>
      <c r="U13" s="2878"/>
      <c r="V13" s="2889">
        <f t="shared" ca="1" si="1"/>
        <v>0</v>
      </c>
      <c r="W13" s="3430"/>
      <c r="X13" s="2886"/>
      <c r="Y13" s="2885">
        <f>(-0.163*(Y12^2)-0.59*Y12+7617)*(10^(-4))/Y11</f>
        <v>0.76170000000000004</v>
      </c>
      <c r="Z13" s="2885">
        <f t="shared" ref="Z13:AJ13" si="5">(-0.163*(Z12^2)-0.59*Z12+7617)*(10^(-4))/Z11</f>
        <v>0.76170000000000004</v>
      </c>
      <c r="AA13" s="2885">
        <f t="shared" si="5"/>
        <v>0.76170000000000004</v>
      </c>
      <c r="AB13" s="2885">
        <f t="shared" si="5"/>
        <v>0.76170000000000004</v>
      </c>
      <c r="AC13" s="2885">
        <f t="shared" si="5"/>
        <v>0.76170000000000004</v>
      </c>
      <c r="AD13" s="2885">
        <f t="shared" si="5"/>
        <v>0.76170000000000004</v>
      </c>
      <c r="AE13" s="2885">
        <f t="shared" si="5"/>
        <v>0.76170000000000004</v>
      </c>
      <c r="AF13" s="2885">
        <f t="shared" si="5"/>
        <v>0.76170000000000004</v>
      </c>
      <c r="AG13" s="2885">
        <f t="shared" si="5"/>
        <v>0.76170000000000004</v>
      </c>
      <c r="AH13" s="2885">
        <f t="shared" si="5"/>
        <v>0.76170000000000004</v>
      </c>
      <c r="AI13" s="2885">
        <f t="shared" si="5"/>
        <v>0.76170000000000004</v>
      </c>
      <c r="AJ13" s="2885">
        <f t="shared" si="5"/>
        <v>0.76170000000000004</v>
      </c>
    </row>
    <row r="14" spans="1:39" ht="12.75" customHeight="1">
      <c r="A14" s="3422"/>
      <c r="B14" s="1446"/>
      <c r="C14" s="1447"/>
      <c r="D14" s="1448"/>
      <c r="E14" s="1448"/>
      <c r="F14" s="1449"/>
      <c r="G14" s="1450" t="s">
        <v>947</v>
      </c>
      <c r="H14" s="1451"/>
      <c r="I14" s="1452"/>
      <c r="J14" s="1453"/>
      <c r="K14" s="3133"/>
      <c r="L14" s="3133"/>
      <c r="M14" s="3133"/>
      <c r="N14" s="3133"/>
      <c r="O14" s="3133"/>
      <c r="P14" s="1396"/>
      <c r="Q14" s="2173"/>
      <c r="R14" s="2889">
        <v>13</v>
      </c>
      <c r="S14" s="2878"/>
      <c r="T14" s="2889">
        <f t="shared" ca="1" si="0"/>
        <v>0</v>
      </c>
      <c r="U14" s="2878"/>
      <c r="V14" s="2889">
        <f t="shared" ca="1" si="1"/>
        <v>0</v>
      </c>
      <c r="W14" s="2173"/>
      <c r="X14" s="2173"/>
      <c r="Y14" s="2173"/>
      <c r="Z14" s="2173"/>
      <c r="AA14" s="2173"/>
      <c r="AB14" s="2173"/>
      <c r="AC14" s="2174"/>
    </row>
    <row r="15" spans="1:39" ht="13.5" customHeight="1" thickBot="1">
      <c r="A15" s="3423"/>
      <c r="B15" s="3152" t="s">
        <v>1698</v>
      </c>
      <c r="C15" s="1047">
        <f>IF(C14="有",1.1,1)</f>
        <v>1</v>
      </c>
      <c r="D15" s="1047">
        <f>IF(D14="有",1.1,1)</f>
        <v>1</v>
      </c>
      <c r="E15" s="1047">
        <f>IF(E14="有",1.1,1)</f>
        <v>1</v>
      </c>
      <c r="F15" s="1047">
        <f>IF(F14="500米范围内",1.2,IF(F14="500-1000米",1.1,1))</f>
        <v>1</v>
      </c>
      <c r="G15" s="3144">
        <v>1</v>
      </c>
      <c r="H15" s="3144">
        <v>1</v>
      </c>
      <c r="I15" s="3144">
        <v>1</v>
      </c>
      <c r="J15" s="3145">
        <v>1</v>
      </c>
      <c r="K15" s="3148"/>
      <c r="L15" s="3148"/>
      <c r="M15" s="3148"/>
      <c r="N15" s="3148"/>
      <c r="O15" s="3148"/>
      <c r="P15" s="1396"/>
      <c r="Q15" s="2173"/>
      <c r="R15" s="2889">
        <v>14</v>
      </c>
      <c r="S15" s="2878"/>
      <c r="T15" s="2889">
        <f t="shared" ca="1" si="0"/>
        <v>0</v>
      </c>
      <c r="U15" s="2878"/>
      <c r="V15" s="2889">
        <f t="shared" ca="1" si="1"/>
        <v>0</v>
      </c>
      <c r="W15" s="2173"/>
      <c r="X15" s="2173"/>
      <c r="Y15" s="2173"/>
      <c r="Z15" s="2173"/>
      <c r="AA15" s="2173"/>
      <c r="AB15" s="2173"/>
      <c r="AC15" s="2174"/>
    </row>
    <row r="16" spans="1:39" ht="24.6" customHeight="1">
      <c r="A16" s="3420" t="s">
        <v>1836</v>
      </c>
      <c r="B16" s="1422" t="s">
        <v>948</v>
      </c>
      <c r="C16" s="1050">
        <f>ROUND(IF(F17="与级别开发程度一致",0,(G17-E17)/C17),0)</f>
        <v>-75</v>
      </c>
      <c r="D16" s="3438" t="s">
        <v>952</v>
      </c>
      <c r="E16" s="3439"/>
      <c r="F16" s="3438" t="s">
        <v>949</v>
      </c>
      <c r="G16" s="3439"/>
      <c r="H16" s="1454" t="s">
        <v>3161</v>
      </c>
      <c r="I16" s="1454" t="s">
        <v>3162</v>
      </c>
      <c r="J16" s="1454" t="s">
        <v>3163</v>
      </c>
      <c r="K16" s="1454" t="s">
        <v>3164</v>
      </c>
      <c r="L16" s="1454" t="s">
        <v>3165</v>
      </c>
      <c r="M16" s="1454" t="s">
        <v>3166</v>
      </c>
      <c r="N16" s="1454"/>
      <c r="O16" s="3157"/>
      <c r="P16" s="1396"/>
      <c r="Q16" s="2176"/>
      <c r="R16" s="2889">
        <v>15</v>
      </c>
      <c r="S16" s="2878"/>
      <c r="T16" s="2889">
        <f t="shared" ca="1" si="0"/>
        <v>0</v>
      </c>
      <c r="U16" s="2878"/>
      <c r="V16" s="2889">
        <f t="shared" ca="1" si="1"/>
        <v>0</v>
      </c>
      <c r="W16" s="2176"/>
      <c r="X16" s="2176"/>
      <c r="Y16" s="2176"/>
      <c r="Z16" s="2176"/>
      <c r="AA16" s="2176"/>
      <c r="AB16" s="2176"/>
      <c r="AC16" s="2177"/>
    </row>
    <row r="17" spans="1:40" ht="24.75" thickBot="1">
      <c r="A17" s="3424"/>
      <c r="B17" s="3158" t="s">
        <v>951</v>
      </c>
      <c r="C17" s="3159">
        <f>SUMPRODUCT((修正!A2:A5=E2)*(修正!B1:M1=G2)*(修正!B2:M5))</f>
        <v>1.2</v>
      </c>
      <c r="D17" s="3160" t="str">
        <f>IF(OR(G2="八级",G2="九级",G2="十级",G2="十一级",G2="十二级"),"五通一平","七通一平")</f>
        <v>七通一平</v>
      </c>
      <c r="E17" s="3150">
        <f>SUMPRODUCT((修正!B1:M1=G2)*(修正!B15:M15))</f>
        <v>300</v>
      </c>
      <c r="F17" s="3151" t="s">
        <v>3167</v>
      </c>
      <c r="G17" s="3150">
        <f>SUM(H17:O17)</f>
        <v>210</v>
      </c>
      <c r="H17" s="1049">
        <f>SUMPRODUCT((七通一平=H16)*(修正!B1:M1=G2)*(修正!B6:M14))</f>
        <v>65</v>
      </c>
      <c r="I17" s="1049">
        <f>SUMPRODUCT((七通一平=I16)*(修正!B1:M1=G2)*(修正!B6:M14))</f>
        <v>55</v>
      </c>
      <c r="J17" s="1049">
        <f>SUMPRODUCT((七通一平=J16)*(修正!B1:M1=G2)*(修正!B6:M14))</f>
        <v>15</v>
      </c>
      <c r="K17" s="1049">
        <f>SUMPRODUCT((七通一平=K16)*(修正!B1:M1=G2)*(修正!B6:M14))</f>
        <v>25</v>
      </c>
      <c r="L17" s="1049">
        <f>SUMPRODUCT((七通一平=L16)*(修正!B1:M1=G2)*(修正!B6:M14))</f>
        <v>35</v>
      </c>
      <c r="M17" s="1049">
        <f>SUMPRODUCT((七通一平=M16)*(修正!B1:M1=G2)*(修正!B6:M14))</f>
        <v>15</v>
      </c>
      <c r="N17" s="1049">
        <f>SUMPRODUCT((七通一平=N16)*(修正!B1:M1=G2)*(修正!B6:M14))</f>
        <v>0</v>
      </c>
      <c r="O17" s="316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2" t="s">
        <v>1827</v>
      </c>
      <c r="B18" s="3153" t="s">
        <v>953</v>
      </c>
      <c r="C18" s="3154">
        <f>SUMIF(修正!C18:C39,E3,修正!E18:E39)</f>
        <v>1</v>
      </c>
      <c r="D18" s="3155"/>
      <c r="E18" s="3156"/>
      <c r="F18" s="3138"/>
      <c r="G18" s="3132"/>
      <c r="H18" s="3132"/>
      <c r="I18" s="3132"/>
      <c r="J18" s="3146"/>
      <c r="K18" s="3132"/>
      <c r="L18" s="3132"/>
      <c r="M18" s="3132"/>
      <c r="N18" s="3132"/>
      <c r="O18" s="313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ROUND(IF(H19="按公示增长率计算",SUMPRODUCT((地价!A3:A32=YEAR(G19)&amp;"-"&amp;ROUNDUP(MONTH(G19)/3,0))*(地价!X2:AB2=E2)*(地价!X3:AB32)),IF(H19="地价指数",M20/M19,(1+I19)^O19)),4)</f>
        <v>1.3673</v>
      </c>
      <c r="D19" s="1461" t="s">
        <v>955</v>
      </c>
      <c r="E19" s="1052">
        <v>41640</v>
      </c>
      <c r="F19" s="1461" t="s">
        <v>956</v>
      </c>
      <c r="G19" s="1053">
        <f>'数据-取费表'!B2</f>
        <v>44134</v>
      </c>
      <c r="H19" s="1462" t="s">
        <v>2982</v>
      </c>
      <c r="I19" s="2738" t="str">
        <f>IF(H19="季度增幅（自定义）",SUMIF(N21:N24,E2,O21:O24),"")</f>
        <v/>
      </c>
      <c r="J19" s="1458"/>
      <c r="K19" s="3132"/>
      <c r="L19" s="2989" t="s">
        <v>2833</v>
      </c>
      <c r="M19" s="2990">
        <f>ROUND(SUMIF(地价!B2:F2,E2,地价!B32:F32),0)</f>
        <v>230</v>
      </c>
      <c r="N19" s="2740" t="s">
        <v>1674</v>
      </c>
      <c r="O19" s="2739">
        <f>ROUNDDOWN(DATEDIF(E19,G19,"M")/3,0)</f>
        <v>27</v>
      </c>
      <c r="P19" s="1581"/>
      <c r="Q19" s="2877"/>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2" t="s">
        <v>1834</v>
      </c>
      <c r="B20" s="2733" t="s">
        <v>969</v>
      </c>
      <c r="C20" s="2734">
        <f ca="1">ROUND(POWER(1+G20,J20-I20)*(POWER(1+G20,I20)-1)/(POWER(1+G20,J20)-1),4)</f>
        <v>1</v>
      </c>
      <c r="D20" s="2735" t="s">
        <v>970</v>
      </c>
      <c r="E20" s="3038">
        <f ca="1">存贷款利率!I4/100</f>
        <v>4.3499999999999997E-2</v>
      </c>
      <c r="F20" s="2735" t="s">
        <v>971</v>
      </c>
      <c r="G20" s="2736">
        <f ca="1">SUMIF(M26:P26,E2,M28:P28)</f>
        <v>4.8000000000000001E-2</v>
      </c>
      <c r="H20" s="2735" t="s">
        <v>972</v>
      </c>
      <c r="I20" s="2731">
        <f>SUMIF('数据-取费表'!C6:C15,E2,'数据-取费表'!F6:F15)/COUNTIF('数据-取费表'!C6:C15,E2)</f>
        <v>50</v>
      </c>
      <c r="J20" s="2737">
        <f>IF(E2="住宅",70,IF(E2="商业",40,50))</f>
        <v>50</v>
      </c>
      <c r="K20" s="3134"/>
      <c r="L20" s="2991" t="s">
        <v>2834</v>
      </c>
      <c r="M20" s="3141">
        <f>ROUND(SUMPRODUCT((地价!A4:A32=YEAR(G19)&amp;"-"&amp;ROUNDUP(MONTH(G19)/3,0))*(地价!B2:F2=E2)*(地价!B4:F32)),0)</f>
        <v>319</v>
      </c>
      <c r="N20" s="2743" t="s">
        <v>2639</v>
      </c>
      <c r="O20" s="2741" t="s">
        <v>2638</v>
      </c>
      <c r="P20" s="2742" t="s">
        <v>2644</v>
      </c>
      <c r="Q20" s="2877"/>
      <c r="R20" s="2179"/>
      <c r="S20" s="2179"/>
      <c r="T20" s="2179"/>
      <c r="U20" s="2179"/>
      <c r="V20" s="2179"/>
      <c r="W20" s="2179"/>
      <c r="X20" s="2179"/>
      <c r="Y20" s="1459"/>
      <c r="Z20" s="1459"/>
      <c r="AA20" s="1459"/>
      <c r="AB20" s="1459"/>
      <c r="AC20" s="1459"/>
      <c r="AD20" s="1459"/>
    </row>
    <row r="21" spans="1:40" s="1416" customFormat="1" ht="14.25">
      <c r="A21" s="1626" t="s">
        <v>1835</v>
      </c>
      <c r="B21" s="1467" t="s">
        <v>3168</v>
      </c>
      <c r="C21" s="1152">
        <f>IF(B21="容积率修正",IF(G3&lt;=10,D22,J22),C23)</f>
        <v>1.1117999999999999</v>
      </c>
      <c r="D21" s="1468"/>
      <c r="E21" s="1468"/>
      <c r="F21" s="1468"/>
      <c r="G21" s="1468"/>
      <c r="H21" s="1468"/>
      <c r="I21" s="1468"/>
      <c r="J21" s="1469"/>
      <c r="K21" s="3132"/>
      <c r="L21" s="1468"/>
      <c r="M21" s="1468"/>
      <c r="N21" s="1465" t="s">
        <v>973</v>
      </c>
      <c r="O21" s="1528"/>
      <c r="P21" s="2730">
        <f>SUMPRODUCT((地价!A3:A32=YEAR(G19)&amp;"-"&amp;ROUNDUP(MONTH(G19)/3,0))*(地价!AD2:AH2=N21)*(地价!AD3:AH32))</f>
        <v>1.11E-2</v>
      </c>
      <c r="Q21" s="2877"/>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1.1117999999999999</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4" t="s">
        <v>975</v>
      </c>
      <c r="J22" s="1054" t="str">
        <f>IF(G3&gt;10,D113,"——")</f>
        <v>——</v>
      </c>
      <c r="K22" s="3135"/>
      <c r="L22" s="1468"/>
      <c r="M22" s="1468"/>
      <c r="N22" s="1465" t="s">
        <v>976</v>
      </c>
      <c r="O22" s="1528"/>
      <c r="P22" s="2730">
        <f>SUMPRODUCT((地价!A3:A32=YEAR(G19)&amp;"-"&amp;ROUNDUP(MONTH(G19)/3,0))*(地价!AD2:AH2=N22)*(地价!AD3:AH32))</f>
        <v>1.11E-2</v>
      </c>
      <c r="Q22" s="2877"/>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36"/>
      <c r="L23" s="1396"/>
      <c r="M23" s="1396"/>
      <c r="N23" s="1465" t="s">
        <v>921</v>
      </c>
      <c r="O23" s="1528"/>
      <c r="P23" s="2730">
        <f>SUMPRODUCT((地价!A3:A32=YEAR(G19)&amp;"-"&amp;ROUNDUP(MONTH(G19)/3,0))*(地价!AD2:AH2=N23)*(地价!AD3:AH32))</f>
        <v>1.8499999999999999E-2</v>
      </c>
      <c r="Q23" s="2877"/>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136"/>
      <c r="L24" s="1468"/>
      <c r="M24" s="1468"/>
      <c r="N24" s="1465" t="s">
        <v>979</v>
      </c>
      <c r="O24" s="3140"/>
      <c r="P24" s="2730">
        <f>SUMPRODUCT((地价!A3:A32=YEAR(G19)&amp;"-"&amp;ROUNDUP(MONTH(G19)/3,0))*(地价!AD2:AH2=N24)*(地价!AD3:AH32))</f>
        <v>1.2200000000000001E-2</v>
      </c>
      <c r="Q24" s="2877"/>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42" t="s">
        <v>2642</v>
      </c>
      <c r="O25" s="3143"/>
      <c r="P25" s="2410">
        <f>SUMPRODUCT((地价!A3:A32=YEAR(G19)&amp;"-"&amp;ROUNDUP(MONTH(G19)/3,0))*(地价!AD2:AH2=N25)*(地价!AD3:AH32))</f>
        <v>1.6799999999999999E-2</v>
      </c>
      <c r="Q25" s="2877"/>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21456</v>
      </c>
      <c r="D26" s="1476"/>
      <c r="E26" s="1451"/>
      <c r="F26" s="1477"/>
      <c r="G26" s="1451"/>
      <c r="H26" s="1451"/>
      <c r="I26" s="1451"/>
      <c r="J26" s="1478"/>
      <c r="K26" s="1451"/>
      <c r="L26" s="1582" t="s">
        <v>896</v>
      </c>
      <c r="M26" s="1423" t="s">
        <v>981</v>
      </c>
      <c r="N26" s="1423" t="s">
        <v>982</v>
      </c>
      <c r="O26" s="1423" t="s">
        <v>900</v>
      </c>
      <c r="P26" s="1463" t="s">
        <v>983</v>
      </c>
      <c r="Q26" s="2877"/>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7"/>
      <c r="S27" s="2877"/>
      <c r="T27" s="2877"/>
      <c r="U27" s="2877"/>
      <c r="V27" s="2877"/>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7"/>
      <c r="S28" s="2877"/>
      <c r="T28" s="2877"/>
      <c r="U28" s="2877"/>
      <c r="V28" s="2877"/>
      <c r="W28" s="2179"/>
      <c r="X28" s="2179"/>
      <c r="Y28" s="2179"/>
      <c r="Z28" s="2179"/>
      <c r="AA28" s="2179"/>
      <c r="AB28" s="2179"/>
      <c r="AC28" s="2179"/>
      <c r="AD28" s="1459"/>
      <c r="AE28" s="1459"/>
      <c r="AF28" s="1459"/>
      <c r="AG28" s="1459"/>
    </row>
    <row r="29" spans="1:40" ht="14.25">
      <c r="A29" s="1488"/>
      <c r="B29" s="1489" t="s">
        <v>991</v>
      </c>
      <c r="C29" s="1057">
        <f ca="1">ROUND(C5*C18*C19*C20*C21*C24,0)</f>
        <v>2227</v>
      </c>
      <c r="D29" s="1490">
        <f>'数据-汇总表'!E3</f>
        <v>96343.56</v>
      </c>
      <c r="E29" s="1833">
        <f ca="1">ROUND(C29*D29/10000,0)</f>
        <v>21456</v>
      </c>
      <c r="F29" s="1491" t="s">
        <v>1699</v>
      </c>
      <c r="G29" s="1492"/>
      <c r="H29" s="1492"/>
      <c r="I29" s="1492"/>
      <c r="J29" s="1493"/>
      <c r="K29" s="3137"/>
      <c r="L29" s="3137"/>
      <c r="M29" s="3137"/>
      <c r="N29" s="3137"/>
      <c r="O29" s="3137"/>
      <c r="P29" s="1396"/>
      <c r="Q29" s="2179"/>
      <c r="R29" s="2179"/>
      <c r="S29" s="2179"/>
      <c r="T29" s="2179"/>
      <c r="U29" s="2179"/>
      <c r="V29" s="2179"/>
      <c r="W29" s="2877"/>
      <c r="X29" s="2877"/>
      <c r="Y29" s="2877"/>
      <c r="Z29" s="2877"/>
      <c r="AA29" s="2877"/>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334</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38"/>
      <c r="L32" s="3138"/>
      <c r="M32" s="3138"/>
      <c r="N32" s="3138"/>
      <c r="O32" s="313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7" t="s">
        <v>2954</v>
      </c>
      <c r="B33" s="1510" t="s">
        <v>997</v>
      </c>
      <c r="C33" s="1057">
        <f ca="1">ROUND(D5*C19*C20*C24*F33,0)</f>
        <v>1402</v>
      </c>
      <c r="D33" s="1523"/>
      <c r="E33" s="1046">
        <f ca="1">ROUND(C33*D33/10000,0)</f>
        <v>0</v>
      </c>
      <c r="F33" s="1046">
        <f>SUMIF(修正!A45:A56,G2,修正!B45:B56)</f>
        <v>0.7</v>
      </c>
      <c r="G33" s="1046">
        <f t="shared" ref="G33" ca="1" si="6">ROUND(IF(E2="工业",C33*$M$39,C33*$M$38),0)</f>
        <v>210</v>
      </c>
      <c r="H33" s="1046">
        <f>D33</f>
        <v>0</v>
      </c>
      <c r="I33" s="1046">
        <f ca="1">ROUND(G33*H33/10000,0)</f>
        <v>0</v>
      </c>
      <c r="J33" s="1511"/>
      <c r="K33" s="3139"/>
      <c r="L33" s="3139"/>
      <c r="M33" s="3139"/>
      <c r="N33" s="3139"/>
      <c r="O33" s="313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8"/>
      <c r="B34" s="1440" t="s">
        <v>998</v>
      </c>
      <c r="C34" s="1057">
        <f ca="1">ROUND(D5*C19*C20*C24*F34,0)</f>
        <v>801</v>
      </c>
      <c r="D34" s="1523"/>
      <c r="E34" s="1046">
        <f t="shared" ref="E34:E39" ca="1" si="7">ROUND(C34*D34/10000,0)</f>
        <v>0</v>
      </c>
      <c r="F34" s="1046">
        <f>SUMIF(修正!A45:A56,G2,修正!C45:C56)</f>
        <v>0.4</v>
      </c>
      <c r="G34" s="1046">
        <f ca="1">ROUND(IF(E2="工业",C34*$M$39,C34*$M$38),0)</f>
        <v>120</v>
      </c>
      <c r="H34" s="1046">
        <f t="shared" ref="H34:H39" si="8">D34</f>
        <v>0</v>
      </c>
      <c r="I34" s="1046">
        <f t="shared" ref="I34:I39" ca="1" si="9">ROUND(G34*H34/10000,0)</f>
        <v>0</v>
      </c>
      <c r="J34" s="1511"/>
      <c r="K34" s="3139"/>
      <c r="L34" s="3139"/>
      <c r="M34" s="3139"/>
      <c r="N34" s="3139"/>
      <c r="O34" s="313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8"/>
      <c r="B35" s="1440" t="s">
        <v>999</v>
      </c>
      <c r="C35" s="1057">
        <f ca="1">ROUND(D5*C19*C20*C24*F35,0)</f>
        <v>561</v>
      </c>
      <c r="D35" s="1523"/>
      <c r="E35" s="1046">
        <f t="shared" ca="1" si="7"/>
        <v>0</v>
      </c>
      <c r="F35" s="1046">
        <f>SUMIF(修正!A45:A56,G2,修正!D45:D56)</f>
        <v>0.28000000000000003</v>
      </c>
      <c r="G35" s="1046">
        <f ca="1">ROUND(IF(E2="工业",C35*$M$39,C35*$M$38),0)</f>
        <v>84</v>
      </c>
      <c r="H35" s="1046">
        <f t="shared" si="8"/>
        <v>0</v>
      </c>
      <c r="I35" s="1046">
        <f t="shared" ca="1" si="9"/>
        <v>0</v>
      </c>
      <c r="J35" s="1511"/>
      <c r="K35" s="3139"/>
      <c r="L35" s="3139"/>
      <c r="M35" s="3139"/>
      <c r="N35" s="3139"/>
      <c r="O35" s="313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9"/>
      <c r="B36" s="1440" t="s">
        <v>1000</v>
      </c>
      <c r="C36" s="1057">
        <f ca="1">ROUND(D5*C19*C20*C24*F36,0)</f>
        <v>501</v>
      </c>
      <c r="D36" s="1523"/>
      <c r="E36" s="1046">
        <f t="shared" ca="1" si="7"/>
        <v>0</v>
      </c>
      <c r="F36" s="1046">
        <f>SUMIF(修正!A45:A56,G2,修正!E45:E56)</f>
        <v>0.25</v>
      </c>
      <c r="G36" s="1046">
        <f ca="1">ROUND(IF(E2="工业",C36*$M$39,C36*$M$38),0)</f>
        <v>75</v>
      </c>
      <c r="H36" s="1046">
        <f t="shared" si="8"/>
        <v>0</v>
      </c>
      <c r="I36" s="1046">
        <f t="shared" ca="1" si="9"/>
        <v>0</v>
      </c>
      <c r="J36" s="1511"/>
      <c r="K36" s="3139"/>
      <c r="L36" s="3139"/>
      <c r="M36" s="3139"/>
      <c r="N36" s="3139"/>
      <c r="O36" s="313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501</v>
      </c>
      <c r="D37" s="1523"/>
      <c r="E37" s="1046">
        <f t="shared" ca="1" si="7"/>
        <v>0</v>
      </c>
      <c r="F37" s="1057">
        <f>SUMIF(修正!A45:A56,G2,修正!F45:F56)</f>
        <v>0.25</v>
      </c>
      <c r="G37" s="1046">
        <f ca="1">ROUND(IF(E2="工业",C37*$M$39,C37*$M$38),0)</f>
        <v>75</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0.25</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0.2</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30" t="s">
        <v>2977</v>
      </c>
      <c r="C41" s="838">
        <f ca="1">ROUND(POWER(1+E41,H41-G41)*(POWER(1+E41,G41)-1)/(POWER(1+E41,H41)-1),4)</f>
        <v>0</v>
      </c>
      <c r="D41" s="378" t="s">
        <v>2975</v>
      </c>
      <c r="E41" s="3129">
        <f ca="1">G20</f>
        <v>4.8000000000000001E-2</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0"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39"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0"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39"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39"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f>IF(E2="工业",SUMIF(L1:L12,G2,N1:N12),"——")</f>
        <v>0.13</v>
      </c>
      <c r="G80" s="2378"/>
      <c r="H80" s="2424">
        <f t="shared" ref="H80:H87" si="26">IFERROR(ROUNDDOWN($F$80*I80/2,4),"——")</f>
        <v>1.6899999999999998E-2</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f t="shared" si="26"/>
        <v>2.1399999999999999E-2</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f t="shared" si="26"/>
        <v>3.2000000000000002E-3</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f t="shared" si="26"/>
        <v>2.5999999999999999E-3</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f t="shared" si="26"/>
        <v>3.8999999999999998E-3</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f t="shared" si="26"/>
        <v>9.7000000000000003E-3</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39" t="s">
        <v>2930</v>
      </c>
      <c r="C86" s="1048"/>
      <c r="D86" s="2380">
        <f t="shared" si="25"/>
        <v>0</v>
      </c>
      <c r="E86" s="2408"/>
      <c r="F86" s="2409"/>
      <c r="G86" s="2378"/>
      <c r="H86" s="2424">
        <f t="shared" si="26"/>
        <v>3.2000000000000002E-3</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f t="shared" si="26"/>
        <v>3.8999999999999998E-3</v>
      </c>
      <c r="I87" s="2405">
        <v>0.06</v>
      </c>
      <c r="J87" s="2401">
        <f t="shared" si="27"/>
        <v>0</v>
      </c>
      <c r="K87" s="2401">
        <f t="shared" si="28"/>
        <v>0</v>
      </c>
      <c r="L87" s="2401">
        <v>0</v>
      </c>
      <c r="M87" s="2401">
        <f t="shared" si="29"/>
        <v>0</v>
      </c>
      <c r="N87" s="2401">
        <f t="shared" si="29"/>
        <v>0</v>
      </c>
      <c r="AC87" s="1400"/>
      <c r="AD87" s="1399"/>
      <c r="AJ87" s="1398"/>
      <c r="AN87" s="1399"/>
    </row>
    <row r="90" spans="1:40">
      <c r="A90" s="3425" t="s">
        <v>1631</v>
      </c>
      <c r="B90" s="3425"/>
      <c r="C90" s="3425"/>
      <c r="D90" s="3425"/>
      <c r="E90" s="3425"/>
      <c r="F90" s="3425"/>
      <c r="G90" s="3425"/>
      <c r="H90" s="3425"/>
      <c r="I90" s="3425"/>
      <c r="J90" s="3425"/>
      <c r="K90" s="2413"/>
      <c r="L90" s="2413"/>
      <c r="M90" s="2413"/>
      <c r="N90" s="2413"/>
    </row>
    <row r="91" spans="1:40">
      <c r="A91" s="3426" t="s">
        <v>1441</v>
      </c>
      <c r="B91" s="3426" t="s">
        <v>1632</v>
      </c>
      <c r="C91" s="1134" t="s">
        <v>1633</v>
      </c>
      <c r="D91" s="1135"/>
      <c r="E91" s="1135"/>
      <c r="F91" s="1135"/>
      <c r="G91" s="1135"/>
      <c r="H91" s="1135"/>
      <c r="I91" s="1135"/>
      <c r="J91" s="1136"/>
      <c r="K91" s="1128"/>
      <c r="L91" s="1128"/>
      <c r="M91" s="1128"/>
      <c r="N91" s="1128"/>
    </row>
    <row r="92" spans="1:40">
      <c r="A92" s="3426"/>
      <c r="B92" s="3426"/>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3"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4"/>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3" t="s">
        <v>1635</v>
      </c>
      <c r="B101" s="1141" t="s">
        <v>904</v>
      </c>
      <c r="C101" s="1142">
        <f>$G$3</f>
        <v>1</v>
      </c>
      <c r="D101" s="1142">
        <f t="shared" ref="D101:N101" si="31">$G$3</f>
        <v>1</v>
      </c>
      <c r="E101" s="1142">
        <f t="shared" si="31"/>
        <v>1</v>
      </c>
      <c r="F101" s="1142">
        <f t="shared" si="31"/>
        <v>1</v>
      </c>
      <c r="G101" s="1142">
        <f t="shared" si="31"/>
        <v>1</v>
      </c>
      <c r="H101" s="1142">
        <f t="shared" si="31"/>
        <v>1</v>
      </c>
      <c r="I101" s="1142">
        <f t="shared" si="31"/>
        <v>1</v>
      </c>
      <c r="J101" s="1142">
        <f t="shared" si="31"/>
        <v>1</v>
      </c>
      <c r="K101" s="1142">
        <f t="shared" si="31"/>
        <v>1</v>
      </c>
      <c r="L101" s="1142">
        <f t="shared" si="31"/>
        <v>1</v>
      </c>
      <c r="M101" s="1142">
        <f t="shared" si="31"/>
        <v>1</v>
      </c>
      <c r="N101" s="1142">
        <f t="shared" si="31"/>
        <v>1</v>
      </c>
    </row>
    <row r="102" spans="1:14">
      <c r="A102" s="3434"/>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34"/>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34"/>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34"/>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34"/>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34"/>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34"/>
      <c r="B108" s="3436"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5"/>
      <c r="B109" s="3437"/>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19" t="s">
        <v>1637</v>
      </c>
      <c r="B110" s="3419"/>
      <c r="C110" s="3419"/>
      <c r="D110" s="3419"/>
      <c r="E110" s="3419"/>
      <c r="F110" s="3419"/>
      <c r="G110" s="3419"/>
      <c r="H110" s="3419"/>
      <c r="I110" s="3419"/>
      <c r="J110" s="3419"/>
      <c r="K110" s="2411"/>
      <c r="L110" s="2411"/>
      <c r="M110" s="2411"/>
      <c r="N110" s="2411"/>
    </row>
    <row r="112" spans="1:14" ht="12.75" thickBot="1"/>
    <row r="113" spans="1:13" ht="25.5" thickBot="1">
      <c r="A113" s="1014" t="s">
        <v>894</v>
      </c>
      <c r="B113" s="2414">
        <f>G3</f>
        <v>1</v>
      </c>
      <c r="C113" s="1015" t="s">
        <v>895</v>
      </c>
      <c r="D113" s="1016">
        <f>SUMPRODUCT((A115:A118=F113)*(B114:M114=H113)*B115:M118)</f>
        <v>0.61770000000000003</v>
      </c>
      <c r="E113" s="1017" t="s">
        <v>896</v>
      </c>
      <c r="F113" s="1018" t="str">
        <f>E2</f>
        <v>工业</v>
      </c>
      <c r="G113" s="1017" t="s">
        <v>897</v>
      </c>
      <c r="H113" s="1018" t="str">
        <f>G2</f>
        <v>七级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3">I115</f>
        <v>0.67349999999999999</v>
      </c>
      <c r="K115" s="1028">
        <f t="shared" si="33"/>
        <v>0.67349999999999999</v>
      </c>
      <c r="L115" s="1028">
        <f t="shared" si="33"/>
        <v>0.67349999999999999</v>
      </c>
      <c r="M115" s="1029">
        <f t="shared" si="33"/>
        <v>0.67349999999999999</v>
      </c>
    </row>
    <row r="116" spans="1:13" ht="12.75">
      <c r="A116" s="1027" t="s">
        <v>899</v>
      </c>
      <c r="B116" s="1028">
        <f>ROUND(0.949-0.012*B113,4)</f>
        <v>0.93700000000000006</v>
      </c>
      <c r="C116" s="1028">
        <f>B116</f>
        <v>0.93700000000000006</v>
      </c>
      <c r="D116" s="1028">
        <f>ROUND(0.8567-0.013*B113,4)</f>
        <v>0.84370000000000001</v>
      </c>
      <c r="E116" s="1028">
        <f t="shared" ref="E116:H117" si="34">D116</f>
        <v>0.84370000000000001</v>
      </c>
      <c r="F116" s="1028">
        <f t="shared" si="34"/>
        <v>0.84370000000000001</v>
      </c>
      <c r="G116" s="1028">
        <f t="shared" si="34"/>
        <v>0.84370000000000001</v>
      </c>
      <c r="H116" s="1028">
        <f t="shared" si="34"/>
        <v>0.84370000000000001</v>
      </c>
      <c r="I116" s="1028">
        <f>ROUND(0.7694-0.014*B113,4)</f>
        <v>0.75539999999999996</v>
      </c>
      <c r="J116" s="1028">
        <f t="shared" si="33"/>
        <v>0.75539999999999996</v>
      </c>
      <c r="K116" s="1028">
        <f t="shared" si="33"/>
        <v>0.75539999999999996</v>
      </c>
      <c r="L116" s="1028">
        <f t="shared" si="33"/>
        <v>0.75539999999999996</v>
      </c>
      <c r="M116" s="1029">
        <f t="shared" si="33"/>
        <v>0.75539999999999996</v>
      </c>
    </row>
    <row r="117" spans="1:13" ht="12.75">
      <c r="A117" s="1030" t="s">
        <v>900</v>
      </c>
      <c r="B117" s="1028">
        <f>ROUND(0.8808-0.006*B113,4)</f>
        <v>0.87480000000000002</v>
      </c>
      <c r="C117" s="1028">
        <f>B117</f>
        <v>0.87480000000000002</v>
      </c>
      <c r="D117" s="1028">
        <f>ROUND(0.8748-0.008*B113,4)</f>
        <v>0.86680000000000001</v>
      </c>
      <c r="E117" s="1028">
        <f t="shared" si="34"/>
        <v>0.86680000000000001</v>
      </c>
      <c r="F117" s="1028">
        <f t="shared" si="34"/>
        <v>0.86680000000000001</v>
      </c>
      <c r="G117" s="1028">
        <f t="shared" si="34"/>
        <v>0.86680000000000001</v>
      </c>
      <c r="H117" s="1028">
        <f t="shared" si="34"/>
        <v>0.86680000000000001</v>
      </c>
      <c r="I117" s="1028">
        <f>ROUND(0.7412-0.0095*B113,4)</f>
        <v>0.73170000000000002</v>
      </c>
      <c r="J117" s="1028">
        <f t="shared" si="33"/>
        <v>0.73170000000000002</v>
      </c>
      <c r="K117" s="1028">
        <f t="shared" si="33"/>
        <v>0.73170000000000002</v>
      </c>
      <c r="L117" s="1028">
        <f t="shared" si="33"/>
        <v>0.73170000000000002</v>
      </c>
      <c r="M117" s="1029">
        <f t="shared" si="33"/>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3"/>
        <v>0.55310000000000004</v>
      </c>
      <c r="K118" s="1032">
        <f t="shared" si="33"/>
        <v>0.55310000000000004</v>
      </c>
      <c r="L118" s="1032">
        <f t="shared" si="33"/>
        <v>0.55310000000000004</v>
      </c>
      <c r="M118" s="1033">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B61" workbookViewId="0">
      <selection activeCell="D87" sqref="D87"/>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1" t="s">
        <v>979</v>
      </c>
      <c r="C1" s="2088"/>
      <c r="D1" s="2088"/>
      <c r="E1" s="2088"/>
      <c r="F1" s="2088"/>
      <c r="G1" s="2088"/>
      <c r="H1" s="2088"/>
      <c r="I1" s="2088"/>
      <c r="J1" s="2088"/>
      <c r="K1" s="422">
        <f>MATCH(B1,'数据-取费表'!A6:A16,0)+5</f>
        <v>6</v>
      </c>
    </row>
    <row r="2" spans="1:41" s="2025" customFormat="1" ht="18" customHeight="1">
      <c r="A2" s="423" t="s">
        <v>467</v>
      </c>
      <c r="B2" s="424">
        <f ca="1">C32</f>
        <v>56815.416404038195</v>
      </c>
      <c r="C2" s="2088"/>
      <c r="D2" s="2088"/>
      <c r="E2" s="2088"/>
      <c r="F2" s="2088"/>
      <c r="G2" s="2088"/>
      <c r="H2" s="2088"/>
      <c r="I2" s="2088"/>
      <c r="J2" s="2088"/>
      <c r="K2" s="2088"/>
    </row>
    <row r="3" spans="1:41" s="2025" customFormat="1" ht="18" customHeight="1">
      <c r="A3" s="1374" t="s">
        <v>1682</v>
      </c>
      <c r="B3" s="425">
        <f ca="1">ROUND(B2*10000/IF(B1="",'数据-汇总表'!E3,INDIRECT("'数据-取费表'!K"&amp;$K$1)),0)</f>
        <v>5897</v>
      </c>
      <c r="C3" s="2088"/>
      <c r="D3" s="2088"/>
      <c r="E3" s="2088"/>
      <c r="F3" s="2088"/>
      <c r="G3" s="2088"/>
      <c r="H3" s="2088"/>
      <c r="I3" s="2088"/>
      <c r="J3" s="2088"/>
      <c r="K3" s="2088"/>
    </row>
    <row r="4" spans="1:41" s="2025" customFormat="1" ht="18" customHeight="1">
      <c r="A4" s="426" t="s">
        <v>468</v>
      </c>
      <c r="B4" s="427">
        <f ca="1">ROUND(B2*10000/IF(B1="",'数据-汇总表'!D3,INDIRECT("'数据-取费表'!R"&amp;$K$1)),0)</f>
        <v>5897</v>
      </c>
      <c r="C4" s="2045"/>
      <c r="D4" s="2088"/>
      <c r="E4" s="2088"/>
      <c r="F4" s="2088"/>
      <c r="G4" s="2088"/>
      <c r="H4" s="2088"/>
      <c r="I4" s="2088"/>
      <c r="J4" s="2088"/>
      <c r="K4" s="2088"/>
    </row>
    <row r="5" spans="1:41" s="2025" customFormat="1" ht="18" customHeight="1" thickBot="1">
      <c r="A5" s="429"/>
      <c r="B5" s="430">
        <f ca="1">ROUND(B2/(IF(B1="",'数据-汇总表'!D3,INDIRECT("'数据-取费表'!R"&amp;$K$1))/666.67),0)</f>
        <v>393</v>
      </c>
      <c r="C5" s="431" t="s">
        <v>469</v>
      </c>
      <c r="D5" s="2088"/>
      <c r="E5" s="2088"/>
      <c r="F5" s="2088"/>
      <c r="G5" s="2088"/>
      <c r="H5" s="2088"/>
      <c r="I5" s="2088"/>
      <c r="J5" s="2088"/>
      <c r="K5" s="2088"/>
    </row>
    <row r="6" spans="1:41" s="2095" customFormat="1" ht="16.5" customHeight="1">
      <c r="A6" s="432" t="s">
        <v>2646</v>
      </c>
      <c r="B6" s="433"/>
      <c r="C6" s="1607">
        <f ca="1">SUM(C10:K10)</f>
        <v>91235</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9470</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96343.56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91235</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14452</v>
      </c>
      <c r="D13" s="451"/>
      <c r="E13" s="365"/>
      <c r="F13" s="452"/>
      <c r="G13" s="444"/>
      <c r="H13" s="447"/>
      <c r="I13" s="447"/>
      <c r="J13" s="447"/>
      <c r="K13" s="448"/>
    </row>
    <row r="14" spans="1:41" s="2100" customFormat="1" ht="13.5" customHeight="1">
      <c r="A14" s="1617" t="s">
        <v>1847</v>
      </c>
      <c r="B14" s="449" t="s">
        <v>480</v>
      </c>
      <c r="C14" s="53">
        <f ca="1">ROUND(C13*F14,0)</f>
        <v>434</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1849</v>
      </c>
      <c r="B16" s="449" t="s">
        <v>484</v>
      </c>
      <c r="C16" s="53">
        <f ca="1">ROUND(D16*E16/10000,0)</f>
        <v>1927</v>
      </c>
      <c r="D16" s="451">
        <f ca="1">IF(B1="",'数据-汇总表'!E3,INDIRECT("'数据-取费表'!K"&amp;$K$1)+INDIRECT("'数据-取费表'!S"&amp;$K$1))</f>
        <v>96343.56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217</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17030</v>
      </c>
      <c r="D18" s="461"/>
      <c r="E18" s="462"/>
      <c r="F18" s="462"/>
      <c r="G18" s="1321" t="s">
        <v>2427</v>
      </c>
      <c r="H18" s="447"/>
      <c r="I18" s="447"/>
      <c r="J18" s="447"/>
      <c r="K18" s="448"/>
    </row>
    <row r="19" spans="1:14" s="2103" customFormat="1" ht="13.5" customHeight="1">
      <c r="A19" s="1618" t="s">
        <v>1852</v>
      </c>
      <c r="B19" s="459" t="s">
        <v>493</v>
      </c>
      <c r="C19" s="460">
        <f ca="1">ROUND(C18*F19,0)</f>
        <v>341</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79">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378</v>
      </c>
      <c r="D21" s="467">
        <f ca="1">C23</f>
        <v>4.0000000000000002E-4</v>
      </c>
      <c r="E21" s="469" t="s">
        <v>507</v>
      </c>
      <c r="F21" s="471">
        <f ca="1">'数据-取费表'!B40</f>
        <v>4.3499999999999997E-2</v>
      </c>
      <c r="G21" s="1321" t="str">
        <f>IF('数据-取费表'!B22&lt;=1,"单利计息。","复利计息。")&amp;"建造成本、管理费用及销售费用产生的利息。"</f>
        <v>单利计息。建造成本、管理费用及销售费用产生的利息。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378</v>
      </c>
      <c r="D22" s="472"/>
      <c r="E22" s="473"/>
      <c r="F22" s="474"/>
      <c r="G22" s="2530" t="str">
        <f>IF('数据-取费表'!B22&lt;=1,"((1)+(2))×年利率×建设期÷2","((1)+(2))×((1+年利率)^(建设期÷2)-1)")</f>
        <v>((1)+(2))×年利率×建设期÷2</v>
      </c>
      <c r="H22" s="457"/>
      <c r="I22" s="457"/>
      <c r="J22" s="457"/>
      <c r="K22" s="458"/>
    </row>
    <row r="23" spans="1:14" s="2104" customFormat="1" ht="13.5" customHeight="1">
      <c r="A23" s="1617" t="s">
        <v>1847</v>
      </c>
      <c r="B23" s="1322"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18" t="s">
        <v>1857</v>
      </c>
      <c r="B24" s="2981" t="s">
        <v>2824</v>
      </c>
      <c r="C24" s="478">
        <f ca="1">C25</f>
        <v>1390</v>
      </c>
      <c r="D24" s="489">
        <f ca="1">C26</f>
        <v>1.6000000000000001E-3</v>
      </c>
      <c r="E24" s="469" t="s">
        <v>507</v>
      </c>
      <c r="F24" s="479">
        <f ca="1">IF(B1="",'数据-取费表'!Q16,INDIRECT("'数据-取费表'!q"&amp;$K$1))</f>
        <v>0.08</v>
      </c>
      <c r="G24" s="444"/>
      <c r="H24" s="447"/>
      <c r="I24" s="447"/>
      <c r="J24" s="447"/>
      <c r="K24" s="448"/>
    </row>
    <row r="25" spans="1:14" s="2104" customFormat="1" ht="13.5" customHeight="1">
      <c r="A25" s="1617" t="s">
        <v>1846</v>
      </c>
      <c r="B25" s="1322" t="s">
        <v>2431</v>
      </c>
      <c r="C25" s="490">
        <f ca="1">ROUND((C18+C19)*F24,0)</f>
        <v>1390</v>
      </c>
      <c r="D25" s="472"/>
      <c r="E25" s="473"/>
      <c r="F25" s="480"/>
      <c r="G25" s="1320" t="s">
        <v>2428</v>
      </c>
      <c r="H25" s="457"/>
      <c r="I25" s="457"/>
      <c r="J25" s="457"/>
      <c r="K25" s="458"/>
    </row>
    <row r="26" spans="1:14" s="2104" customFormat="1" ht="13.5" customHeight="1">
      <c r="A26" s="1617" t="s">
        <v>1847</v>
      </c>
      <c r="B26" s="1322" t="s">
        <v>509</v>
      </c>
      <c r="C26" s="491">
        <f ca="1">ROUND(F20*F24,4)</f>
        <v>1.6000000000000001E-3</v>
      </c>
      <c r="D26" s="472"/>
      <c r="E26" s="481"/>
      <c r="F26" s="480"/>
      <c r="G26" s="1320" t="s">
        <v>510</v>
      </c>
      <c r="H26" s="457"/>
      <c r="I26" s="457"/>
      <c r="J26" s="457"/>
      <c r="K26" s="458"/>
    </row>
    <row r="27" spans="1:14" s="2104" customFormat="1" ht="13.5" customHeight="1">
      <c r="A27" s="1621" t="s">
        <v>1865</v>
      </c>
      <c r="B27" s="459" t="s">
        <v>511</v>
      </c>
      <c r="C27" s="2980">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20677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20677</v>
      </c>
      <c r="D30" s="493"/>
      <c r="E30" s="498"/>
      <c r="F30" s="499"/>
      <c r="G30" s="1323" t="s">
        <v>515</v>
      </c>
      <c r="H30" s="496"/>
      <c r="I30" s="496"/>
      <c r="J30" s="447"/>
      <c r="K30" s="448"/>
    </row>
    <row r="31" spans="1:14" s="2110" customFormat="1" ht="13.5" customHeight="1">
      <c r="A31" s="2445" t="s">
        <v>1863</v>
      </c>
      <c r="B31" s="1324"/>
      <c r="C31" s="500">
        <f ca="1">ROUND(C6*F31/(1+'数据-取费表'!C42),0)</f>
        <v>4779</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56815.416404038195</v>
      </c>
      <c r="D32" s="483"/>
      <c r="E32" s="483"/>
      <c r="F32" s="483"/>
      <c r="G32" s="2446" t="s">
        <v>2965</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62" t="s">
        <v>522</v>
      </c>
      <c r="D6" s="3463"/>
      <c r="E6" s="3462" t="s">
        <v>523</v>
      </c>
      <c r="F6" s="3463"/>
      <c r="G6" s="3462" t="s">
        <v>524</v>
      </c>
      <c r="H6" s="3463"/>
      <c r="I6" s="3462" t="s">
        <v>525</v>
      </c>
      <c r="J6" s="3463"/>
      <c r="K6" s="514" t="s">
        <v>526</v>
      </c>
      <c r="L6" s="2117"/>
      <c r="M6" s="2116"/>
      <c r="N6" s="2116"/>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30" ht="20.25">
      <c r="A7" s="515"/>
      <c r="B7" s="516"/>
      <c r="C7" s="3473" t="s">
        <v>2923</v>
      </c>
      <c r="D7" s="3474"/>
      <c r="E7" s="3473" t="s">
        <v>2924</v>
      </c>
      <c r="F7" s="3474"/>
      <c r="G7" s="3473" t="s">
        <v>2925</v>
      </c>
      <c r="H7" s="3474"/>
      <c r="I7" s="3473" t="s">
        <v>2926</v>
      </c>
      <c r="J7" s="3474"/>
      <c r="K7" s="514"/>
      <c r="L7" s="2117"/>
      <c r="M7" s="2116"/>
      <c r="N7" s="2116"/>
      <c r="O7" s="2118"/>
      <c r="P7" s="3466"/>
      <c r="Q7" s="3467"/>
      <c r="R7" s="3452"/>
      <c r="S7" s="3453"/>
      <c r="T7" s="3452"/>
      <c r="U7" s="3453"/>
      <c r="V7" s="3470"/>
      <c r="W7" s="3470"/>
      <c r="X7" s="1552"/>
      <c r="Y7" s="3452"/>
      <c r="Z7" s="3453"/>
      <c r="AA7" s="3446"/>
      <c r="AB7" s="3446"/>
      <c r="AC7" s="3446"/>
    </row>
    <row r="8" spans="1:30" ht="21" thickBot="1">
      <c r="A8" s="515"/>
      <c r="B8" s="516"/>
      <c r="C8" s="3475" t="s">
        <v>2927</v>
      </c>
      <c r="D8" s="3476"/>
      <c r="E8" s="3475" t="s">
        <v>2927</v>
      </c>
      <c r="F8" s="3476"/>
      <c r="G8" s="3471" t="s">
        <v>2927</v>
      </c>
      <c r="H8" s="3472"/>
      <c r="I8" s="3471" t="s">
        <v>2927</v>
      </c>
      <c r="J8" s="3472"/>
      <c r="K8" s="514" t="s">
        <v>528</v>
      </c>
      <c r="L8" s="2117"/>
      <c r="M8" s="2116"/>
      <c r="N8" s="2116"/>
      <c r="O8" s="2118"/>
      <c r="P8" s="3468"/>
      <c r="Q8" s="3469"/>
      <c r="R8" s="3452"/>
      <c r="S8" s="3453"/>
      <c r="T8" s="3454"/>
      <c r="U8" s="3455"/>
      <c r="V8" s="3470"/>
      <c r="W8" s="3470"/>
      <c r="X8" s="1552"/>
      <c r="Y8" s="3454"/>
      <c r="Z8" s="3455"/>
      <c r="AA8" s="3447"/>
      <c r="AB8" s="3447"/>
      <c r="AC8" s="3447"/>
    </row>
    <row r="9" spans="1:30" s="1214" customFormat="1" ht="21" thickBot="1">
      <c r="A9" s="2864"/>
      <c r="B9" s="2871" t="s">
        <v>529</v>
      </c>
      <c r="C9" s="2863">
        <f>'数据-取费表'!B2</f>
        <v>44134</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30" s="1214" customFormat="1" ht="21" thickBot="1">
      <c r="A10" s="2865"/>
      <c r="B10" s="2872"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7" si="3">D10/F10</f>
        <v>#DIV/0!</v>
      </c>
      <c r="AB10" s="1556" t="e">
        <f t="shared" ref="AB10:AB47" si="4">D10/H10</f>
        <v>#DIV/0!</v>
      </c>
      <c r="AC10" s="1556" t="e">
        <f t="shared" ref="AC10:AC47" si="5">D10/J10</f>
        <v>#DIV/0!</v>
      </c>
    </row>
    <row r="11" spans="1:30" s="1214" customFormat="1" ht="20.25">
      <c r="A11" s="2866"/>
      <c r="B11" s="2873" t="s">
        <v>2750</v>
      </c>
      <c r="C11" s="2860"/>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30" s="1332" customFormat="1" ht="27">
      <c r="A12" s="2867"/>
      <c r="B12" s="2872" t="s">
        <v>2751</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56"/>
      <c r="Q12" s="1145" t="str">
        <f t="shared" si="6"/>
        <v>土地使用年限（年）</v>
      </c>
      <c r="R12" s="1553" t="s">
        <v>8</v>
      </c>
      <c r="S12" s="1554">
        <f t="shared" si="0"/>
        <v>100</v>
      </c>
      <c r="T12" s="1553" t="s">
        <v>8</v>
      </c>
      <c r="U12" s="1554">
        <f t="shared" si="1"/>
        <v>100</v>
      </c>
      <c r="V12" s="1553" t="s">
        <v>8</v>
      </c>
      <c r="W12" s="1554">
        <f t="shared" si="2"/>
        <v>100</v>
      </c>
      <c r="X12" s="1555"/>
      <c r="Y12" s="3381"/>
      <c r="Z12" s="1144" t="str">
        <f t="shared" si="7"/>
        <v>土地使用年限（年）</v>
      </c>
      <c r="AA12" s="1556">
        <f t="shared" si="3"/>
        <v>1</v>
      </c>
      <c r="AB12" s="1556">
        <f t="shared" si="4"/>
        <v>1</v>
      </c>
      <c r="AC12" s="1556">
        <f t="shared" si="5"/>
        <v>1</v>
      </c>
    </row>
    <row r="13" spans="1:30" ht="20.25">
      <c r="A13" s="2868"/>
      <c r="B13" s="2872"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30" s="1214" customFormat="1" ht="20.25">
      <c r="A14" s="2865"/>
      <c r="B14" s="2874" t="s">
        <v>2753</v>
      </c>
      <c r="C14" s="2861"/>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56"/>
      <c r="Q14" s="1145" t="str">
        <f t="shared" si="6"/>
        <v>配建</v>
      </c>
      <c r="R14" s="1553" t="s">
        <v>8</v>
      </c>
      <c r="S14" s="1554">
        <f t="shared" si="0"/>
        <v>100</v>
      </c>
      <c r="T14" s="1553" t="s">
        <v>8</v>
      </c>
      <c r="U14" s="1554">
        <f t="shared" si="1"/>
        <v>100</v>
      </c>
      <c r="V14" s="1553" t="s">
        <v>8</v>
      </c>
      <c r="W14" s="1554">
        <f t="shared" si="2"/>
        <v>100</v>
      </c>
      <c r="X14" s="1555"/>
      <c r="Y14" s="3381"/>
      <c r="Z14" s="1144" t="str">
        <f t="shared" si="7"/>
        <v>配建</v>
      </c>
      <c r="AA14" s="1556">
        <f>D14/F14</f>
        <v>1</v>
      </c>
      <c r="AB14" s="1556">
        <f>D14/H14</f>
        <v>1</v>
      </c>
      <c r="AC14" s="1556">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D15/F15</f>
        <v>1</v>
      </c>
      <c r="AB15" s="1556">
        <f>D15/H15</f>
        <v>1</v>
      </c>
      <c r="AC15" s="1556">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D16/F16</f>
        <v>1</v>
      </c>
      <c r="AB16" s="1556">
        <f>D16/H16</f>
        <v>1</v>
      </c>
      <c r="AC16" s="1556">
        <f>D16/J16</f>
        <v>1</v>
      </c>
    </row>
    <row r="17" spans="1:29" ht="99.75">
      <c r="A17" s="2862"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58" t="s">
        <v>540</v>
      </c>
      <c r="Q17" s="1557" t="str">
        <f t="shared" si="6"/>
        <v>居住社区成熟度</v>
      </c>
      <c r="R17" s="1558" t="s">
        <v>8</v>
      </c>
      <c r="S17" s="1559">
        <f t="shared" si="0"/>
        <v>100</v>
      </c>
      <c r="T17" s="1558" t="s">
        <v>8</v>
      </c>
      <c r="U17" s="1559">
        <f t="shared" si="1"/>
        <v>100</v>
      </c>
      <c r="V17" s="1558" t="s">
        <v>8</v>
      </c>
      <c r="W17" s="1559">
        <f t="shared" si="2"/>
        <v>100</v>
      </c>
      <c r="X17" s="1552"/>
      <c r="Y17" s="3458"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59"/>
      <c r="Q18" s="1557"/>
      <c r="R18" s="1558"/>
      <c r="S18" s="1559"/>
      <c r="T18" s="1558"/>
      <c r="U18" s="1559"/>
      <c r="V18" s="1558"/>
      <c r="W18" s="1559"/>
      <c r="X18" s="1552"/>
      <c r="Y18" s="3459"/>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59"/>
      <c r="Q19" s="1557" t="str">
        <f>B19</f>
        <v>商业繁华度</v>
      </c>
      <c r="R19" s="1558" t="s">
        <v>8</v>
      </c>
      <c r="S19" s="1559">
        <f>F19</f>
        <v>100</v>
      </c>
      <c r="T19" s="1558" t="s">
        <v>8</v>
      </c>
      <c r="U19" s="1559">
        <f>H19</f>
        <v>100</v>
      </c>
      <c r="V19" s="1558" t="s">
        <v>8</v>
      </c>
      <c r="W19" s="1559">
        <f>J19</f>
        <v>100</v>
      </c>
      <c r="X19" s="1552"/>
      <c r="Y19" s="3459"/>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59"/>
      <c r="Q20" s="1557"/>
      <c r="R20" s="1558"/>
      <c r="S20" s="1559"/>
      <c r="T20" s="1558"/>
      <c r="U20" s="1559"/>
      <c r="V20" s="1558"/>
      <c r="W20" s="1559"/>
      <c r="X20" s="1552"/>
      <c r="Y20" s="3459"/>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9"/>
      <c r="Q21" s="1557" t="str">
        <f>B21</f>
        <v>办公集聚程度</v>
      </c>
      <c r="R21" s="1558" t="s">
        <v>8</v>
      </c>
      <c r="S21" s="1559">
        <f>F21</f>
        <v>100</v>
      </c>
      <c r="T21" s="1558" t="s">
        <v>8</v>
      </c>
      <c r="U21" s="1559">
        <f>H21</f>
        <v>100</v>
      </c>
      <c r="V21" s="1558" t="s">
        <v>8</v>
      </c>
      <c r="W21" s="1559">
        <f>J21</f>
        <v>100</v>
      </c>
      <c r="X21" s="1552"/>
      <c r="Y21" s="3459"/>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59"/>
      <c r="Q22" s="1557"/>
      <c r="R22" s="1558"/>
      <c r="S22" s="1559"/>
      <c r="T22" s="1558"/>
      <c r="U22" s="1559"/>
      <c r="V22" s="1558"/>
      <c r="W22" s="1559"/>
      <c r="X22" s="1552"/>
      <c r="Y22" s="3459"/>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59"/>
      <c r="Q23" s="1557" t="str">
        <f>B23</f>
        <v>交通便捷度</v>
      </c>
      <c r="R23" s="1558" t="s">
        <v>8</v>
      </c>
      <c r="S23" s="1559">
        <f>F23</f>
        <v>100</v>
      </c>
      <c r="T23" s="1558" t="s">
        <v>8</v>
      </c>
      <c r="U23" s="1559">
        <f>H23</f>
        <v>100</v>
      </c>
      <c r="V23" s="1558" t="s">
        <v>8</v>
      </c>
      <c r="W23" s="1559">
        <f>J23</f>
        <v>100</v>
      </c>
      <c r="X23" s="1552"/>
      <c r="Y23" s="3459"/>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59"/>
      <c r="Q24" s="1557"/>
      <c r="R24" s="1558"/>
      <c r="S24" s="1559"/>
      <c r="T24" s="1558"/>
      <c r="U24" s="1559"/>
      <c r="V24" s="1558"/>
      <c r="W24" s="1559"/>
      <c r="X24" s="1552"/>
      <c r="Y24" s="345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59"/>
      <c r="Q25" s="1557" t="str">
        <f t="shared" ref="Q25:Q39" si="8">B25</f>
        <v>区域土地利用方向</v>
      </c>
      <c r="R25" s="1558" t="s">
        <v>8</v>
      </c>
      <c r="S25" s="1559">
        <f>F25</f>
        <v>100</v>
      </c>
      <c r="T25" s="1558" t="s">
        <v>8</v>
      </c>
      <c r="U25" s="1559">
        <f>H25</f>
        <v>100</v>
      </c>
      <c r="V25" s="1558" t="s">
        <v>8</v>
      </c>
      <c r="W25" s="1559">
        <f>J25</f>
        <v>100</v>
      </c>
      <c r="X25" s="1552"/>
      <c r="Y25" s="3459"/>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59"/>
      <c r="Q26" s="1557"/>
      <c r="R26" s="1558"/>
      <c r="S26" s="1559"/>
      <c r="T26" s="1558"/>
      <c r="U26" s="1559"/>
      <c r="V26" s="1558"/>
      <c r="W26" s="1559"/>
      <c r="X26" s="1552"/>
      <c r="Y26" s="3459"/>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59"/>
      <c r="Q27" s="1557" t="str">
        <f t="shared" si="8"/>
        <v>自然及人文环境状况</v>
      </c>
      <c r="R27" s="1558" t="s">
        <v>8</v>
      </c>
      <c r="S27" s="1559">
        <f>F27</f>
        <v>100</v>
      </c>
      <c r="T27" s="1558" t="s">
        <v>8</v>
      </c>
      <c r="U27" s="1559">
        <f>H27</f>
        <v>100</v>
      </c>
      <c r="V27" s="1558" t="s">
        <v>8</v>
      </c>
      <c r="W27" s="1559">
        <f>J27</f>
        <v>100</v>
      </c>
      <c r="X27" s="1552"/>
      <c r="Y27" s="3459"/>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59"/>
      <c r="Q28" s="1557"/>
      <c r="R28" s="1558"/>
      <c r="S28" s="1559"/>
      <c r="T28" s="1558"/>
      <c r="U28" s="1559"/>
      <c r="V28" s="1558"/>
      <c r="W28" s="1559"/>
      <c r="X28" s="1552"/>
      <c r="Y28" s="3459"/>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59"/>
      <c r="Q29" s="1145" t="str">
        <f t="shared" si="8"/>
        <v>公共配套设施</v>
      </c>
      <c r="R29" s="1553" t="s">
        <v>8</v>
      </c>
      <c r="S29" s="1554">
        <f>F29</f>
        <v>100</v>
      </c>
      <c r="T29" s="1553" t="s">
        <v>8</v>
      </c>
      <c r="U29" s="1554">
        <f>H29</f>
        <v>100</v>
      </c>
      <c r="V29" s="1553" t="s">
        <v>8</v>
      </c>
      <c r="W29" s="1554">
        <f>J29</f>
        <v>100</v>
      </c>
      <c r="X29" s="1555"/>
      <c r="Y29" s="3459"/>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59"/>
      <c r="Q30" s="1145"/>
      <c r="R30" s="1553"/>
      <c r="S30" s="1554"/>
      <c r="T30" s="1553"/>
      <c r="U30" s="1554"/>
      <c r="V30" s="1553"/>
      <c r="W30" s="1554"/>
      <c r="X30" s="1555"/>
      <c r="Y30" s="3459"/>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59"/>
      <c r="Q31" s="2541" t="str">
        <f t="shared" ref="Q31" si="9">B31</f>
        <v>基础设施水平</v>
      </c>
      <c r="R31" s="1553" t="s">
        <v>8</v>
      </c>
      <c r="S31" s="1554">
        <f>F31</f>
        <v>100</v>
      </c>
      <c r="T31" s="1553" t="s">
        <v>8</v>
      </c>
      <c r="U31" s="1554">
        <f>H31</f>
        <v>100</v>
      </c>
      <c r="V31" s="1553" t="s">
        <v>8</v>
      </c>
      <c r="W31" s="1554">
        <f>J31</f>
        <v>100</v>
      </c>
      <c r="X31" s="1555"/>
      <c r="Y31" s="3459"/>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59"/>
      <c r="Q32" s="2541"/>
      <c r="R32" s="1553"/>
      <c r="S32" s="1554"/>
      <c r="T32" s="1553"/>
      <c r="U32" s="1554"/>
      <c r="V32" s="1553"/>
      <c r="W32" s="1554"/>
      <c r="X32" s="1555"/>
      <c r="Y32" s="3459"/>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59"/>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9"/>
      <c r="Q34" s="1557" t="str">
        <f t="shared" si="8"/>
        <v>毗邻道路的类型与等级</v>
      </c>
      <c r="R34" s="1558" t="s">
        <v>8</v>
      </c>
      <c r="S34" s="1559">
        <f t="shared" si="10"/>
        <v>100</v>
      </c>
      <c r="T34" s="1558" t="s">
        <v>8</v>
      </c>
      <c r="U34" s="1559">
        <f t="shared" si="11"/>
        <v>100</v>
      </c>
      <c r="V34" s="1558" t="s">
        <v>8</v>
      </c>
      <c r="W34" s="1559">
        <f t="shared" si="12"/>
        <v>100</v>
      </c>
      <c r="X34" s="1552"/>
      <c r="Y34" s="3459"/>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59"/>
      <c r="Q35" s="1557"/>
      <c r="R35" s="1558"/>
      <c r="S35" s="1559"/>
      <c r="T35" s="1558"/>
      <c r="U35" s="1559"/>
      <c r="V35" s="1558"/>
      <c r="W35" s="1559"/>
      <c r="X35" s="1552"/>
      <c r="Y35" s="3459"/>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9"/>
      <c r="Q36" s="1557" t="str">
        <f t="shared" si="8"/>
        <v>土地级别</v>
      </c>
      <c r="R36" s="1558" t="s">
        <v>8</v>
      </c>
      <c r="S36" s="1559">
        <f t="shared" si="10"/>
        <v>100</v>
      </c>
      <c r="T36" s="1558" t="s">
        <v>8</v>
      </c>
      <c r="U36" s="1559">
        <f t="shared" si="11"/>
        <v>100</v>
      </c>
      <c r="V36" s="1558" t="s">
        <v>8</v>
      </c>
      <c r="W36" s="1559">
        <f t="shared" si="12"/>
        <v>100</v>
      </c>
      <c r="X36" s="1552"/>
      <c r="Y36" s="3459"/>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9"/>
      <c r="Q37" s="1557">
        <f t="shared" si="8"/>
        <v>111</v>
      </c>
      <c r="R37" s="1558" t="s">
        <v>8</v>
      </c>
      <c r="S37" s="1559">
        <f t="shared" si="10"/>
        <v>100</v>
      </c>
      <c r="T37" s="1558" t="s">
        <v>8</v>
      </c>
      <c r="U37" s="1559">
        <f t="shared" si="11"/>
        <v>100</v>
      </c>
      <c r="V37" s="1558" t="s">
        <v>8</v>
      </c>
      <c r="W37" s="1559">
        <f t="shared" si="12"/>
        <v>100</v>
      </c>
      <c r="X37" s="1552"/>
      <c r="Y37" s="3459"/>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0" t="s">
        <v>550</v>
      </c>
      <c r="Q38" s="1557">
        <f t="shared" si="8"/>
        <v>111</v>
      </c>
      <c r="R38" s="1558" t="s">
        <v>8</v>
      </c>
      <c r="S38" s="1559">
        <f t="shared" si="10"/>
        <v>100</v>
      </c>
      <c r="T38" s="1558" t="s">
        <v>8</v>
      </c>
      <c r="U38" s="1559">
        <f t="shared" si="11"/>
        <v>100</v>
      </c>
      <c r="V38" s="1558" t="s">
        <v>8</v>
      </c>
      <c r="W38" s="1559">
        <f t="shared" si="12"/>
        <v>100</v>
      </c>
      <c r="X38" s="1552"/>
      <c r="Y38" s="3461"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61"/>
      <c r="Q39" s="1557">
        <f t="shared" si="8"/>
        <v>111</v>
      </c>
      <c r="R39" s="1562" t="s">
        <v>8</v>
      </c>
      <c r="S39" s="1563">
        <f t="shared" si="10"/>
        <v>100</v>
      </c>
      <c r="T39" s="1562" t="s">
        <v>8</v>
      </c>
      <c r="U39" s="1563">
        <f t="shared" si="11"/>
        <v>100</v>
      </c>
      <c r="V39" s="1562" t="s">
        <v>8</v>
      </c>
      <c r="W39" s="1563">
        <f t="shared" si="12"/>
        <v>100</v>
      </c>
      <c r="X39" s="1564"/>
      <c r="Y39" s="3461"/>
      <c r="Z39" s="1565">
        <f t="shared" si="13"/>
        <v>111</v>
      </c>
      <c r="AA39" s="1561">
        <f t="shared" si="3"/>
        <v>1</v>
      </c>
      <c r="AB39" s="1561">
        <f t="shared" si="4"/>
        <v>1</v>
      </c>
      <c r="AC39" s="1561">
        <f t="shared" si="5"/>
        <v>1</v>
      </c>
    </row>
    <row r="40" spans="1:29" ht="20.25">
      <c r="A40" s="2859"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61"/>
      <c r="Q40" s="1557" t="str">
        <f>B40</f>
        <v>宗地面积</v>
      </c>
      <c r="R40" s="1558" t="s">
        <v>8</v>
      </c>
      <c r="S40" s="1559" t="e">
        <f t="shared" si="10"/>
        <v>#N/A</v>
      </c>
      <c r="T40" s="1558" t="s">
        <v>8</v>
      </c>
      <c r="U40" s="1559" t="e">
        <f t="shared" si="11"/>
        <v>#N/A</v>
      </c>
      <c r="V40" s="1558" t="s">
        <v>8</v>
      </c>
      <c r="W40" s="1559" t="e">
        <f t="shared" si="12"/>
        <v>#N/A</v>
      </c>
      <c r="X40" s="1552"/>
      <c r="Y40" s="3461"/>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61"/>
      <c r="Q41" s="1557" t="str">
        <f t="shared" ref="Q41:Q47" si="14">B41</f>
        <v>宗地形状</v>
      </c>
      <c r="R41" s="1558" t="s">
        <v>8</v>
      </c>
      <c r="S41" s="1559">
        <f t="shared" si="10"/>
        <v>100</v>
      </c>
      <c r="T41" s="1558" t="s">
        <v>8</v>
      </c>
      <c r="U41" s="1559">
        <f t="shared" si="11"/>
        <v>100</v>
      </c>
      <c r="V41" s="1558" t="s">
        <v>8</v>
      </c>
      <c r="W41" s="1559">
        <f t="shared" si="12"/>
        <v>100</v>
      </c>
      <c r="X41" s="1552"/>
      <c r="Y41" s="3461"/>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61"/>
      <c r="Q42" s="1557" t="str">
        <f t="shared" si="14"/>
        <v>临街宽度及深度</v>
      </c>
      <c r="R42" s="1558" t="s">
        <v>8</v>
      </c>
      <c r="S42" s="1559">
        <f t="shared" si="10"/>
        <v>100</v>
      </c>
      <c r="T42" s="1558" t="s">
        <v>8</v>
      </c>
      <c r="U42" s="1559">
        <f t="shared" si="11"/>
        <v>100</v>
      </c>
      <c r="V42" s="1558" t="s">
        <v>8</v>
      </c>
      <c r="W42" s="1559">
        <f t="shared" si="12"/>
        <v>100</v>
      </c>
      <c r="X42" s="1552"/>
      <c r="Y42" s="3461"/>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61"/>
      <c r="Q43" s="1557" t="str">
        <f t="shared" si="14"/>
        <v>宗地开发程度</v>
      </c>
      <c r="R43" s="1553" t="s">
        <v>8</v>
      </c>
      <c r="S43" s="1554">
        <f t="shared" si="10"/>
        <v>100</v>
      </c>
      <c r="T43" s="1553" t="s">
        <v>8</v>
      </c>
      <c r="U43" s="1554">
        <f t="shared" si="11"/>
        <v>100</v>
      </c>
      <c r="V43" s="1553" t="s">
        <v>8</v>
      </c>
      <c r="W43" s="1554">
        <f t="shared" si="12"/>
        <v>100</v>
      </c>
      <c r="X43" s="1555"/>
      <c r="Y43" s="3461"/>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61" t="s">
        <v>550</v>
      </c>
      <c r="Q44" s="1557" t="str">
        <f t="shared" si="14"/>
        <v>工程地质条件</v>
      </c>
      <c r="R44" s="1558" t="s">
        <v>8</v>
      </c>
      <c r="S44" s="1559">
        <f t="shared" si="10"/>
        <v>100</v>
      </c>
      <c r="T44" s="1558" t="s">
        <v>8</v>
      </c>
      <c r="U44" s="1559">
        <f t="shared" si="11"/>
        <v>100</v>
      </c>
      <c r="V44" s="1558" t="s">
        <v>8</v>
      </c>
      <c r="W44" s="1559">
        <f t="shared" si="12"/>
        <v>100</v>
      </c>
      <c r="X44" s="1552"/>
      <c r="Y44" s="3461"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61"/>
      <c r="Q45" s="1557">
        <f t="shared" si="14"/>
        <v>111</v>
      </c>
      <c r="R45" s="1558" t="s">
        <v>8</v>
      </c>
      <c r="S45" s="1559">
        <f t="shared" si="10"/>
        <v>100</v>
      </c>
      <c r="T45" s="1558" t="s">
        <v>8</v>
      </c>
      <c r="U45" s="1559">
        <f t="shared" si="11"/>
        <v>100</v>
      </c>
      <c r="V45" s="1558" t="s">
        <v>8</v>
      </c>
      <c r="W45" s="1559">
        <f t="shared" si="12"/>
        <v>100</v>
      </c>
      <c r="X45" s="1552"/>
      <c r="Y45" s="3461"/>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61"/>
      <c r="Q46" s="1557">
        <f t="shared" si="14"/>
        <v>111</v>
      </c>
      <c r="R46" s="1558" t="s">
        <v>8</v>
      </c>
      <c r="S46" s="1559">
        <f t="shared" si="10"/>
        <v>100</v>
      </c>
      <c r="T46" s="1558" t="s">
        <v>8</v>
      </c>
      <c r="U46" s="1559">
        <f t="shared" si="11"/>
        <v>100</v>
      </c>
      <c r="V46" s="1558" t="s">
        <v>8</v>
      </c>
      <c r="W46" s="1559">
        <f t="shared" si="12"/>
        <v>100</v>
      </c>
      <c r="X46" s="1552"/>
      <c r="Y46" s="3461"/>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61"/>
      <c r="Q47" s="1557">
        <f t="shared" si="14"/>
        <v>111</v>
      </c>
      <c r="R47" s="1562" t="s">
        <v>8</v>
      </c>
      <c r="S47" s="1563">
        <f t="shared" si="10"/>
        <v>100</v>
      </c>
      <c r="T47" s="1562" t="s">
        <v>8</v>
      </c>
      <c r="U47" s="1563">
        <f t="shared" si="11"/>
        <v>100</v>
      </c>
      <c r="V47" s="1562" t="s">
        <v>8</v>
      </c>
      <c r="W47" s="1563">
        <f t="shared" si="12"/>
        <v>100</v>
      </c>
      <c r="X47" s="1564"/>
      <c r="Y47" s="3461"/>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56" t="str">
        <f>A48</f>
        <v>成交单价</v>
      </c>
      <c r="Q48" s="3456"/>
      <c r="R48" s="3470">
        <f>E48</f>
        <v>0</v>
      </c>
      <c r="S48" s="3470"/>
      <c r="T48" s="3470">
        <f>G48</f>
        <v>0</v>
      </c>
      <c r="U48" s="3470"/>
      <c r="V48" s="3470">
        <f>I48</f>
        <v>0</v>
      </c>
      <c r="W48" s="3470"/>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56" t="str">
        <f>A49</f>
        <v>比较价格（元/平方米）</v>
      </c>
      <c r="Q49" s="3456"/>
      <c r="R49" s="3480" t="e">
        <f>ROUND(PRODUCT(R48,AA9:AA47),0)</f>
        <v>#DIV/0!</v>
      </c>
      <c r="S49" s="3480"/>
      <c r="T49" s="3480" t="e">
        <f>ROUND(PRODUCT(T48,AB9:AB47),0)</f>
        <v>#DIV/0!</v>
      </c>
      <c r="U49" s="3480"/>
      <c r="V49" s="3480" t="e">
        <f>ROUND(PRODUCT(V48,AC9:AC47),0)</f>
        <v>#DIV/0!</v>
      </c>
      <c r="W49" s="3480"/>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77" t="str">
        <f>A50</f>
        <v>估价对象XX用房的比较价格（楼面单价，元/平方米）</v>
      </c>
      <c r="Q50" s="3478"/>
      <c r="R50" s="3479" t="e">
        <f>ROUND(AVERAGE(R49:V49),0)</f>
        <v>#DIV/0!</v>
      </c>
      <c r="S50" s="3479"/>
      <c r="T50" s="3479"/>
      <c r="U50" s="3479"/>
      <c r="V50" s="3479"/>
      <c r="W50" s="347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40" t="s">
        <v>2276</v>
      </c>
      <c r="H57" s="3441"/>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96343.56</v>
      </c>
      <c r="F58" s="636" t="e">
        <f t="shared" ref="F58:F67" si="15">ROUND(B58*E58/10000,0)</f>
        <v>#DIV/0!</v>
      </c>
      <c r="G58" s="3442"/>
      <c r="H58" s="344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44"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4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4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4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96343.56</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1" t="str">
        <f>YEAR(C9)&amp;"-"&amp;MONTH(C9)&amp;"-1"</f>
        <v>2020-10-1</v>
      </c>
      <c r="D70" s="2751">
        <f>EDATE(C70,-3)</f>
        <v>44013</v>
      </c>
      <c r="E70" s="2751">
        <f t="shared" ref="E70:N70" si="18">EDATE(D70,-3)</f>
        <v>43922</v>
      </c>
      <c r="F70" s="2751">
        <f t="shared" si="18"/>
        <v>43831</v>
      </c>
      <c r="G70" s="2751">
        <f t="shared" si="18"/>
        <v>43739</v>
      </c>
      <c r="H70" s="2751">
        <f t="shared" si="18"/>
        <v>43647</v>
      </c>
      <c r="I70" s="2751">
        <f t="shared" si="18"/>
        <v>43556</v>
      </c>
      <c r="J70" s="2751">
        <f t="shared" si="18"/>
        <v>43466</v>
      </c>
      <c r="K70" s="2751">
        <f t="shared" si="18"/>
        <v>43374</v>
      </c>
      <c r="L70" s="2751">
        <f t="shared" si="18"/>
        <v>43282</v>
      </c>
      <c r="M70" s="2751">
        <f t="shared" si="18"/>
        <v>43191</v>
      </c>
      <c r="N70" s="2751">
        <f t="shared" si="18"/>
        <v>43101</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8" t="str">
        <f>YEAR(C70)&amp;"-"&amp;ROUNDUP(MONTH(C70)/3,0)</f>
        <v>2020-4</v>
      </c>
      <c r="D72" s="2753" t="str">
        <f>YEAR(D70)&amp;"-"&amp;ROUNDUP(MONTH(D70)/3,0)</f>
        <v>2020-3</v>
      </c>
      <c r="E72" s="2753" t="str">
        <f t="shared" ref="E72:N72" si="19">YEAR(E70)&amp;"-"&amp;ROUNDUP(MONTH(E70)/3,0)</f>
        <v>2020-2</v>
      </c>
      <c r="F72" s="2753" t="str">
        <f t="shared" si="19"/>
        <v>2020-1</v>
      </c>
      <c r="G72" s="2753" t="str">
        <f t="shared" si="19"/>
        <v>2019-4</v>
      </c>
      <c r="H72" s="2753" t="str">
        <f t="shared" si="19"/>
        <v>2019-3</v>
      </c>
      <c r="I72" s="2753" t="str">
        <f t="shared" si="19"/>
        <v>2019-2</v>
      </c>
      <c r="J72" s="2753" t="str">
        <f t="shared" si="19"/>
        <v>2019-1</v>
      </c>
      <c r="K72" s="2753" t="str">
        <f t="shared" si="19"/>
        <v>2018-4</v>
      </c>
      <c r="L72" s="2753" t="str">
        <f t="shared" si="19"/>
        <v>2018-3</v>
      </c>
      <c r="M72" s="2753" t="str">
        <f t="shared" si="19"/>
        <v>2018-2</v>
      </c>
      <c r="N72" s="2753" t="str">
        <f t="shared" si="19"/>
        <v>2018-1</v>
      </c>
      <c r="O72" s="2143"/>
      <c r="P72" s="2144"/>
      <c r="Q72" s="2145"/>
      <c r="R72" s="2145"/>
      <c r="S72" s="2145"/>
      <c r="T72" s="2145"/>
      <c r="U72" s="2145"/>
      <c r="V72" s="2145"/>
      <c r="W72" s="2145"/>
      <c r="X72" s="2145"/>
      <c r="Y72" s="2145"/>
      <c r="Z72" s="2145"/>
      <c r="AA72" s="2145"/>
      <c r="AB72" s="2145"/>
      <c r="AC72" s="2145"/>
    </row>
    <row r="73" spans="1:29" s="1214" customFormat="1" ht="27" customHeight="1">
      <c r="A73" s="2758" t="s">
        <v>2641</v>
      </c>
      <c r="B73" s="479" t="str">
        <f>"北京市平均增长率"&amp;TEXT(SUMIF(基准地价!N21:N25,A73,基准地价!P21:P25),"0.00%")</f>
        <v>北京市平均增长率1.68%</v>
      </c>
      <c r="C73" s="893">
        <v>100</v>
      </c>
      <c r="D73" s="730"/>
      <c r="E73" s="730"/>
      <c r="F73" s="730"/>
      <c r="G73" s="730"/>
      <c r="H73" s="730"/>
      <c r="I73" s="730"/>
      <c r="J73" s="730"/>
      <c r="K73" s="730"/>
      <c r="L73" s="730"/>
      <c r="M73" s="2746"/>
      <c r="N73" s="2747"/>
      <c r="O73" s="2146"/>
      <c r="P73" s="2142"/>
      <c r="Q73" s="1977"/>
      <c r="R73" s="1977"/>
      <c r="S73" s="1977"/>
      <c r="T73" s="1977"/>
      <c r="U73" s="1977"/>
      <c r="V73" s="1977"/>
      <c r="W73" s="1977"/>
      <c r="X73" s="1977"/>
      <c r="Y73" s="1977"/>
      <c r="Z73" s="1977"/>
      <c r="AA73" s="1977"/>
      <c r="AB73" s="1977"/>
      <c r="AC73" s="1977"/>
    </row>
    <row r="74" spans="1:29" s="1214" customFormat="1" ht="15" customHeight="1" thickBot="1">
      <c r="A74" s="2749" t="s">
        <v>2640</v>
      </c>
      <c r="B74" s="2757"/>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62" t="s">
        <v>522</v>
      </c>
      <c r="D6" s="3463"/>
      <c r="E6" s="3486" t="s">
        <v>523</v>
      </c>
      <c r="F6" s="3487"/>
      <c r="G6" s="3462" t="s">
        <v>524</v>
      </c>
      <c r="H6" s="3463"/>
      <c r="I6" s="3462" t="s">
        <v>525</v>
      </c>
      <c r="J6" s="3463"/>
      <c r="K6" s="514" t="s">
        <v>526</v>
      </c>
      <c r="L6" s="2117"/>
      <c r="M6" s="2118"/>
      <c r="N6" s="2118"/>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29" ht="15">
      <c r="A7" s="515"/>
      <c r="B7" s="516"/>
      <c r="C7" s="3473" t="s">
        <v>2923</v>
      </c>
      <c r="D7" s="3474"/>
      <c r="E7" s="3488" t="s">
        <v>2924</v>
      </c>
      <c r="F7" s="3489"/>
      <c r="G7" s="3473" t="s">
        <v>2925</v>
      </c>
      <c r="H7" s="3474"/>
      <c r="I7" s="3473" t="s">
        <v>2926</v>
      </c>
      <c r="J7" s="3474"/>
      <c r="K7" s="514"/>
      <c r="L7" s="2117"/>
      <c r="M7" s="2118"/>
      <c r="N7" s="2118"/>
      <c r="O7" s="2118"/>
      <c r="P7" s="3466"/>
      <c r="Q7" s="3467"/>
      <c r="R7" s="3452"/>
      <c r="S7" s="3453"/>
      <c r="T7" s="3452"/>
      <c r="U7" s="3453"/>
      <c r="V7" s="3470"/>
      <c r="W7" s="3470"/>
      <c r="X7" s="1552"/>
      <c r="Y7" s="3452"/>
      <c r="Z7" s="3453"/>
      <c r="AA7" s="3446"/>
      <c r="AB7" s="3446"/>
      <c r="AC7" s="3446"/>
    </row>
    <row r="8" spans="1:29" ht="15.75" thickBot="1">
      <c r="A8" s="517"/>
      <c r="B8" s="518"/>
      <c r="C8" s="3471" t="s">
        <v>2927</v>
      </c>
      <c r="D8" s="3472"/>
      <c r="E8" s="3490" t="s">
        <v>2927</v>
      </c>
      <c r="F8" s="3491"/>
      <c r="G8" s="3471" t="s">
        <v>2927</v>
      </c>
      <c r="H8" s="3472"/>
      <c r="I8" s="3471" t="s">
        <v>2927</v>
      </c>
      <c r="J8" s="3472"/>
      <c r="K8" s="514" t="s">
        <v>528</v>
      </c>
      <c r="L8" s="2117"/>
      <c r="M8" s="2118"/>
      <c r="N8" s="2118"/>
      <c r="O8" s="2118"/>
      <c r="P8" s="3468"/>
      <c r="Q8" s="3469"/>
      <c r="R8" s="3452"/>
      <c r="S8" s="3453"/>
      <c r="T8" s="3454"/>
      <c r="U8" s="3455"/>
      <c r="V8" s="3470"/>
      <c r="W8" s="3470"/>
      <c r="X8" s="1552"/>
      <c r="Y8" s="3454"/>
      <c r="Z8" s="3455"/>
      <c r="AA8" s="3447"/>
      <c r="AB8" s="3447"/>
      <c r="AC8" s="3447"/>
    </row>
    <row r="9" spans="1:29" s="1214" customFormat="1" ht="15.75" thickBot="1">
      <c r="A9" s="2864"/>
      <c r="B9" s="2871" t="s">
        <v>529</v>
      </c>
      <c r="C9" s="519">
        <f>'数据-取费表'!B2</f>
        <v>44134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29" s="1214"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2" si="3">D10/F10</f>
        <v>#DIV/0!</v>
      </c>
      <c r="AB10" s="1556" t="e">
        <f t="shared" ref="AB10:AB42" si="4">D10/H10</f>
        <v>#DIV/0!</v>
      </c>
      <c r="AC10" s="1556" t="e">
        <f t="shared" ref="AC10:AC42" si="5">D10/J10</f>
        <v>#DIV/0!</v>
      </c>
    </row>
    <row r="11" spans="1:29" s="1214" customFormat="1" ht="15">
      <c r="A11" s="2866"/>
      <c r="B11" s="2873"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29" s="1332" customFormat="1" ht="27">
      <c r="A12" s="2867"/>
      <c r="B12" s="2872"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56"/>
      <c r="Q12" s="1145" t="str">
        <f t="shared" si="6"/>
        <v>土地使用年限（年）</v>
      </c>
      <c r="R12" s="1553" t="s">
        <v>8</v>
      </c>
      <c r="S12" s="1554">
        <f t="shared" si="0"/>
        <v>100</v>
      </c>
      <c r="T12" s="1553" t="s">
        <v>8</v>
      </c>
      <c r="U12" s="1554">
        <f t="shared" si="1"/>
        <v>100</v>
      </c>
      <c r="V12" s="1553" t="s">
        <v>8</v>
      </c>
      <c r="W12" s="1554">
        <f t="shared" si="2"/>
        <v>100</v>
      </c>
      <c r="X12" s="1555"/>
      <c r="Y12" s="3381"/>
      <c r="Z12" s="1144" t="str">
        <f t="shared" si="7"/>
        <v>土地使用年限（年）</v>
      </c>
      <c r="AA12" s="1556">
        <f t="shared" si="3"/>
        <v>1</v>
      </c>
      <c r="AB12" s="1556">
        <f t="shared" si="4"/>
        <v>1</v>
      </c>
      <c r="AC12" s="1556">
        <f t="shared" si="5"/>
        <v>1</v>
      </c>
    </row>
    <row r="13" spans="1:29" ht="15">
      <c r="A13" s="2868"/>
      <c r="B13" s="2872"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29" s="1214"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D14/F14</f>
        <v>1</v>
      </c>
      <c r="AB14" s="1556">
        <f>D14/H14</f>
        <v>1</v>
      </c>
      <c r="AC14" s="1556">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 t="shared" si="3"/>
        <v>1</v>
      </c>
      <c r="AB15" s="1556">
        <f t="shared" si="4"/>
        <v>1</v>
      </c>
      <c r="AC15" s="1556">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 t="shared" si="3"/>
        <v>1</v>
      </c>
      <c r="AB16" s="1556">
        <f t="shared" si="4"/>
        <v>1</v>
      </c>
      <c r="AC16" s="1556">
        <f t="shared" si="5"/>
        <v>1</v>
      </c>
    </row>
    <row r="17" spans="1:29" ht="57">
      <c r="A17" s="2862"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8" t="s">
        <v>540</v>
      </c>
      <c r="Q17" s="1557" t="str">
        <f t="shared" si="6"/>
        <v>产业集聚程度</v>
      </c>
      <c r="R17" s="1558" t="s">
        <v>8</v>
      </c>
      <c r="S17" s="1559">
        <f t="shared" si="0"/>
        <v>100</v>
      </c>
      <c r="T17" s="1558" t="s">
        <v>8</v>
      </c>
      <c r="U17" s="1559">
        <f t="shared" si="1"/>
        <v>100</v>
      </c>
      <c r="V17" s="1558" t="s">
        <v>8</v>
      </c>
      <c r="W17" s="1559">
        <f t="shared" si="2"/>
        <v>100</v>
      </c>
      <c r="X17" s="1552"/>
      <c r="Y17" s="3458"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59"/>
      <c r="Q18" s="1557"/>
      <c r="R18" s="1558"/>
      <c r="S18" s="1559"/>
      <c r="T18" s="1558"/>
      <c r="U18" s="1559"/>
      <c r="V18" s="1558"/>
      <c r="W18" s="1559"/>
      <c r="X18" s="1552"/>
      <c r="Y18" s="3459"/>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9"/>
      <c r="Q19" s="1557" t="str">
        <f>B19</f>
        <v>交通便捷度</v>
      </c>
      <c r="R19" s="1558" t="s">
        <v>8</v>
      </c>
      <c r="S19" s="1559">
        <f>F19</f>
        <v>100</v>
      </c>
      <c r="T19" s="1558" t="s">
        <v>8</v>
      </c>
      <c r="U19" s="1559">
        <f>H19</f>
        <v>100</v>
      </c>
      <c r="V19" s="1558" t="s">
        <v>8</v>
      </c>
      <c r="W19" s="1559">
        <f>J19</f>
        <v>100</v>
      </c>
      <c r="X19" s="1552"/>
      <c r="Y19" s="345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59"/>
      <c r="Q21" s="1557" t="str">
        <f t="shared" ref="Q21:Q35" si="8">B21</f>
        <v>区域土地利用方向</v>
      </c>
      <c r="R21" s="1558" t="s">
        <v>8</v>
      </c>
      <c r="S21" s="1559">
        <f>F21</f>
        <v>100</v>
      </c>
      <c r="T21" s="1558" t="s">
        <v>8</v>
      </c>
      <c r="U21" s="1559">
        <f>H21</f>
        <v>100</v>
      </c>
      <c r="V21" s="1558" t="s">
        <v>8</v>
      </c>
      <c r="W21" s="1559">
        <f>J21</f>
        <v>100</v>
      </c>
      <c r="X21" s="1552"/>
      <c r="Y21" s="345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59"/>
      <c r="Q22" s="1557"/>
      <c r="R22" s="1558"/>
      <c r="S22" s="1559"/>
      <c r="T22" s="1558"/>
      <c r="U22" s="1559"/>
      <c r="V22" s="1558"/>
      <c r="W22" s="1559"/>
      <c r="X22" s="1552"/>
      <c r="Y22" s="3459"/>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9"/>
      <c r="Q23" s="1557" t="str">
        <f t="shared" si="8"/>
        <v>环境状况</v>
      </c>
      <c r="R23" s="1558" t="s">
        <v>8</v>
      </c>
      <c r="S23" s="1559">
        <f>F23</f>
        <v>100</v>
      </c>
      <c r="T23" s="1558" t="s">
        <v>8</v>
      </c>
      <c r="U23" s="1559">
        <f>H23</f>
        <v>100</v>
      </c>
      <c r="V23" s="1558" t="s">
        <v>8</v>
      </c>
      <c r="W23" s="1559">
        <f>J23</f>
        <v>100</v>
      </c>
      <c r="X23" s="1552"/>
      <c r="Y23" s="345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59"/>
      <c r="Q24" s="1557"/>
      <c r="R24" s="1558"/>
      <c r="S24" s="1559"/>
      <c r="T24" s="1558"/>
      <c r="U24" s="1559"/>
      <c r="V24" s="1558"/>
      <c r="W24" s="1559"/>
      <c r="X24" s="1552"/>
      <c r="Y24" s="3459"/>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9"/>
      <c r="Q25" s="1145" t="str">
        <f t="shared" si="8"/>
        <v>公共配套设施</v>
      </c>
      <c r="R25" s="1553" t="s">
        <v>8</v>
      </c>
      <c r="S25" s="1554">
        <f>F25</f>
        <v>100</v>
      </c>
      <c r="T25" s="1553" t="s">
        <v>8</v>
      </c>
      <c r="U25" s="1554">
        <f>H25</f>
        <v>100</v>
      </c>
      <c r="V25" s="1553" t="s">
        <v>8</v>
      </c>
      <c r="W25" s="1554">
        <f>J25</f>
        <v>100</v>
      </c>
      <c r="X25" s="1555"/>
      <c r="Y25" s="3459"/>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59"/>
      <c r="Q26" s="1145"/>
      <c r="R26" s="1553"/>
      <c r="S26" s="1554"/>
      <c r="T26" s="1553"/>
      <c r="U26" s="1554"/>
      <c r="V26" s="1553"/>
      <c r="W26" s="1554"/>
      <c r="X26" s="1555"/>
      <c r="Y26" s="3459"/>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9"/>
      <c r="Q27" s="2541" t="str">
        <f t="shared" ref="Q27" si="9">B27</f>
        <v>基础设施水平</v>
      </c>
      <c r="R27" s="1553" t="s">
        <v>8</v>
      </c>
      <c r="S27" s="1554">
        <f>F27</f>
        <v>100</v>
      </c>
      <c r="T27" s="1553" t="s">
        <v>8</v>
      </c>
      <c r="U27" s="1554">
        <f>H27</f>
        <v>100</v>
      </c>
      <c r="V27" s="1553" t="s">
        <v>8</v>
      </c>
      <c r="W27" s="1554">
        <f>J27</f>
        <v>100</v>
      </c>
      <c r="X27" s="1555"/>
      <c r="Y27" s="3459"/>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59"/>
      <c r="Q28" s="2541"/>
      <c r="R28" s="1553"/>
      <c r="S28" s="1554"/>
      <c r="T28" s="1553"/>
      <c r="U28" s="1554"/>
      <c r="V28" s="1553"/>
      <c r="W28" s="1554"/>
      <c r="X28" s="1555"/>
      <c r="Y28" s="345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59"/>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9"/>
      <c r="Q30" s="1557" t="str">
        <f t="shared" si="8"/>
        <v>毗邻道路的类型与等级</v>
      </c>
      <c r="R30" s="1558" t="s">
        <v>8</v>
      </c>
      <c r="S30" s="1559">
        <f t="shared" si="10"/>
        <v>100</v>
      </c>
      <c r="T30" s="1558" t="s">
        <v>8</v>
      </c>
      <c r="U30" s="1559">
        <f t="shared" si="11"/>
        <v>100</v>
      </c>
      <c r="V30" s="1558" t="s">
        <v>8</v>
      </c>
      <c r="W30" s="1559">
        <f t="shared" si="12"/>
        <v>100</v>
      </c>
      <c r="X30" s="1552"/>
      <c r="Y30" s="345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59"/>
      <c r="Q31" s="1557"/>
      <c r="R31" s="1558"/>
      <c r="S31" s="1559"/>
      <c r="T31" s="1558"/>
      <c r="U31" s="1559"/>
      <c r="V31" s="1558"/>
      <c r="W31" s="1559"/>
      <c r="X31" s="1552"/>
      <c r="Y31" s="345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9"/>
      <c r="Q32" s="1557" t="str">
        <f t="shared" si="8"/>
        <v>土地级别</v>
      </c>
      <c r="R32" s="1558" t="s">
        <v>8</v>
      </c>
      <c r="S32" s="1559">
        <f t="shared" si="10"/>
        <v>100</v>
      </c>
      <c r="T32" s="1558" t="s">
        <v>8</v>
      </c>
      <c r="U32" s="1559">
        <f t="shared" si="11"/>
        <v>100</v>
      </c>
      <c r="V32" s="1558" t="s">
        <v>8</v>
      </c>
      <c r="W32" s="1559">
        <f t="shared" si="12"/>
        <v>100</v>
      </c>
      <c r="X32" s="1552"/>
      <c r="Y32" s="3459"/>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9"/>
      <c r="Q33" s="1557">
        <f t="shared" si="8"/>
        <v>111</v>
      </c>
      <c r="R33" s="1558" t="s">
        <v>8</v>
      </c>
      <c r="S33" s="1559">
        <f t="shared" si="10"/>
        <v>100</v>
      </c>
      <c r="T33" s="1558" t="s">
        <v>8</v>
      </c>
      <c r="U33" s="1559">
        <f t="shared" si="11"/>
        <v>100</v>
      </c>
      <c r="V33" s="1558" t="s">
        <v>8</v>
      </c>
      <c r="W33" s="1559">
        <f t="shared" si="12"/>
        <v>100</v>
      </c>
      <c r="X33" s="1552"/>
      <c r="Y33" s="345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0" t="s">
        <v>550</v>
      </c>
      <c r="Q34" s="1557">
        <f t="shared" si="8"/>
        <v>111</v>
      </c>
      <c r="R34" s="1558" t="s">
        <v>8</v>
      </c>
      <c r="S34" s="1559">
        <f t="shared" si="10"/>
        <v>100</v>
      </c>
      <c r="T34" s="1558" t="s">
        <v>8</v>
      </c>
      <c r="U34" s="1559">
        <f t="shared" si="11"/>
        <v>100</v>
      </c>
      <c r="V34" s="1558" t="s">
        <v>8</v>
      </c>
      <c r="W34" s="1559">
        <f t="shared" si="12"/>
        <v>100</v>
      </c>
      <c r="X34" s="1552"/>
      <c r="Y34" s="3461"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61"/>
      <c r="Q35" s="1557">
        <f t="shared" si="8"/>
        <v>111</v>
      </c>
      <c r="R35" s="1562" t="s">
        <v>8</v>
      </c>
      <c r="S35" s="1563">
        <f t="shared" si="10"/>
        <v>100</v>
      </c>
      <c r="T35" s="1562" t="s">
        <v>8</v>
      </c>
      <c r="U35" s="1563">
        <f t="shared" si="11"/>
        <v>100</v>
      </c>
      <c r="V35" s="1562" t="s">
        <v>8</v>
      </c>
      <c r="W35" s="1563">
        <f t="shared" si="12"/>
        <v>100</v>
      </c>
      <c r="X35" s="1564"/>
      <c r="Y35" s="3461"/>
      <c r="Z35" s="1565">
        <f t="shared" si="13"/>
        <v>111</v>
      </c>
      <c r="AA35" s="1561">
        <f t="shared" si="3"/>
        <v>1</v>
      </c>
      <c r="AB35" s="1561">
        <f t="shared" si="4"/>
        <v>1</v>
      </c>
      <c r="AC35" s="1561">
        <f t="shared" si="5"/>
        <v>1</v>
      </c>
    </row>
    <row r="36" spans="1:29" ht="15">
      <c r="A36" s="2859"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61"/>
      <c r="Q36" s="1557" t="str">
        <f>B36</f>
        <v>宗地面积</v>
      </c>
      <c r="R36" s="1558" t="s">
        <v>8</v>
      </c>
      <c r="S36" s="1559" t="e">
        <f t="shared" si="10"/>
        <v>#N/A</v>
      </c>
      <c r="T36" s="1558" t="s">
        <v>8</v>
      </c>
      <c r="U36" s="1559" t="e">
        <f t="shared" si="11"/>
        <v>#N/A</v>
      </c>
      <c r="V36" s="1558" t="s">
        <v>8</v>
      </c>
      <c r="W36" s="1559" t="e">
        <f t="shared" si="12"/>
        <v>#N/A</v>
      </c>
      <c r="X36" s="1552"/>
      <c r="Y36" s="346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61"/>
      <c r="Q37" s="1557" t="str">
        <f t="shared" ref="Q37:Q42" si="14">B37</f>
        <v>宗地形状</v>
      </c>
      <c r="R37" s="1558" t="s">
        <v>8</v>
      </c>
      <c r="S37" s="1559">
        <f t="shared" si="10"/>
        <v>100</v>
      </c>
      <c r="T37" s="1558" t="s">
        <v>8</v>
      </c>
      <c r="U37" s="1559">
        <f t="shared" si="11"/>
        <v>100</v>
      </c>
      <c r="V37" s="1558" t="s">
        <v>8</v>
      </c>
      <c r="W37" s="1559">
        <f t="shared" si="12"/>
        <v>100</v>
      </c>
      <c r="X37" s="1552"/>
      <c r="Y37" s="3461"/>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61"/>
      <c r="Q38" s="1557" t="str">
        <f t="shared" si="14"/>
        <v>宗地开发程度</v>
      </c>
      <c r="R38" s="1553" t="s">
        <v>8</v>
      </c>
      <c r="S38" s="1554">
        <f t="shared" si="10"/>
        <v>100</v>
      </c>
      <c r="T38" s="1553" t="s">
        <v>8</v>
      </c>
      <c r="U38" s="1554">
        <f t="shared" si="11"/>
        <v>100</v>
      </c>
      <c r="V38" s="1553" t="s">
        <v>8</v>
      </c>
      <c r="W38" s="1554">
        <f t="shared" si="12"/>
        <v>100</v>
      </c>
      <c r="X38" s="1555"/>
      <c r="Y38" s="3461"/>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t="s">
        <v>601</v>
      </c>
      <c r="Q39" s="1557" t="str">
        <f t="shared" si="14"/>
        <v>工程地质条件</v>
      </c>
      <c r="R39" s="1558" t="s">
        <v>8</v>
      </c>
      <c r="S39" s="1559">
        <f t="shared" si="10"/>
        <v>100</v>
      </c>
      <c r="T39" s="1558" t="s">
        <v>8</v>
      </c>
      <c r="U39" s="1559">
        <f t="shared" si="11"/>
        <v>100</v>
      </c>
      <c r="V39" s="1558" t="s">
        <v>8</v>
      </c>
      <c r="W39" s="1559">
        <f t="shared" si="12"/>
        <v>100</v>
      </c>
      <c r="X39" s="1552"/>
      <c r="Y39" s="346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61"/>
      <c r="Q40" s="1557">
        <f t="shared" si="14"/>
        <v>111</v>
      </c>
      <c r="R40" s="1558" t="s">
        <v>8</v>
      </c>
      <c r="S40" s="1559">
        <f t="shared" si="10"/>
        <v>100</v>
      </c>
      <c r="T40" s="1558" t="s">
        <v>8</v>
      </c>
      <c r="U40" s="1559">
        <f t="shared" si="11"/>
        <v>100</v>
      </c>
      <c r="V40" s="1558" t="s">
        <v>8</v>
      </c>
      <c r="W40" s="1559">
        <f t="shared" si="12"/>
        <v>100</v>
      </c>
      <c r="X40" s="1552"/>
      <c r="Y40" s="346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61"/>
      <c r="Q41" s="1557">
        <f t="shared" si="14"/>
        <v>111</v>
      </c>
      <c r="R41" s="1558" t="s">
        <v>8</v>
      </c>
      <c r="S41" s="1559">
        <f t="shared" si="10"/>
        <v>100</v>
      </c>
      <c r="T41" s="1558" t="s">
        <v>8</v>
      </c>
      <c r="U41" s="1559">
        <f t="shared" si="11"/>
        <v>100</v>
      </c>
      <c r="V41" s="1558" t="s">
        <v>8</v>
      </c>
      <c r="W41" s="1559">
        <f t="shared" si="12"/>
        <v>100</v>
      </c>
      <c r="X41" s="1552"/>
      <c r="Y41" s="3461"/>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61"/>
      <c r="Q42" s="1557">
        <f t="shared" si="14"/>
        <v>111</v>
      </c>
      <c r="R42" s="1562" t="s">
        <v>8</v>
      </c>
      <c r="S42" s="1563">
        <f t="shared" si="10"/>
        <v>100</v>
      </c>
      <c r="T42" s="1562" t="s">
        <v>8</v>
      </c>
      <c r="U42" s="1563">
        <f t="shared" si="11"/>
        <v>100</v>
      </c>
      <c r="V42" s="1562" t="s">
        <v>8</v>
      </c>
      <c r="W42" s="1563">
        <f t="shared" si="12"/>
        <v>100</v>
      </c>
      <c r="X42" s="1564"/>
      <c r="Y42" s="3461"/>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56" t="str">
        <f>A43</f>
        <v>成交单价</v>
      </c>
      <c r="Q43" s="3456"/>
      <c r="R43" s="3470">
        <f>E43</f>
        <v>0</v>
      </c>
      <c r="S43" s="3470"/>
      <c r="T43" s="3470">
        <f>G43</f>
        <v>0</v>
      </c>
      <c r="U43" s="3470"/>
      <c r="V43" s="3470">
        <f>I43</f>
        <v>0</v>
      </c>
      <c r="W43" s="3470"/>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56" t="str">
        <f>A44</f>
        <v>比较价格（元/平方米）</v>
      </c>
      <c r="Q44" s="3456"/>
      <c r="R44" s="3480" t="e">
        <f>ROUND(PRODUCT(R43,AA9:AA42),0)</f>
        <v>#DIV/0!</v>
      </c>
      <c r="S44" s="3480"/>
      <c r="T44" s="3480" t="e">
        <f>ROUND(PRODUCT(T43,AB9:AB42),0)</f>
        <v>#DIV/0!</v>
      </c>
      <c r="U44" s="3480"/>
      <c r="V44" s="3480" t="e">
        <f>ROUND(PRODUCT(V43,AC9:AC42),0)</f>
        <v>#DIV/0!</v>
      </c>
      <c r="W44" s="3480"/>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77" t="str">
        <f>A45</f>
        <v>估价对象XX用房的比较价格（楼面单价，元/平方米）</v>
      </c>
      <c r="Q45" s="3478"/>
      <c r="R45" s="3479" t="e">
        <f>ROUND(AVERAGE(R44:V44),0)</f>
        <v>#DIV/0!</v>
      </c>
      <c r="S45" s="3479"/>
      <c r="T45" s="3479"/>
      <c r="U45" s="3479"/>
      <c r="V45" s="3479"/>
      <c r="W45" s="347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1" t="s">
        <v>2279</v>
      </c>
      <c r="H52" s="3482"/>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96343.56</v>
      </c>
      <c r="F53" s="1934" t="e">
        <f t="shared" ref="F53:F62" si="15">ROUND(B53*E53/10000,0)</f>
        <v>#DIV/0!</v>
      </c>
      <c r="G53" s="3483"/>
      <c r="H53" s="348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5"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5"/>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5"/>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5"/>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96343.56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2" t="str">
        <f>YEAR(C9)&amp;"-"&amp;MONTH(C9)&amp;"-1"</f>
        <v>2020-10-1</v>
      </c>
      <c r="D65" s="2751">
        <f>EDATE(C65,-3)</f>
        <v>44013</v>
      </c>
      <c r="E65" s="2751">
        <f t="shared" ref="E65:N65" si="18">EDATE(D65,-3)</f>
        <v>43922</v>
      </c>
      <c r="F65" s="2751">
        <f t="shared" si="18"/>
        <v>43831</v>
      </c>
      <c r="G65" s="2751">
        <f t="shared" si="18"/>
        <v>43739</v>
      </c>
      <c r="H65" s="2751">
        <f t="shared" si="18"/>
        <v>43647</v>
      </c>
      <c r="I65" s="2751">
        <f t="shared" si="18"/>
        <v>43556</v>
      </c>
      <c r="J65" s="2751">
        <f t="shared" si="18"/>
        <v>43466</v>
      </c>
      <c r="K65" s="2751">
        <f t="shared" si="18"/>
        <v>43374</v>
      </c>
      <c r="L65" s="2751">
        <f t="shared" si="18"/>
        <v>43282</v>
      </c>
      <c r="M65" s="2751">
        <f t="shared" si="18"/>
        <v>43191</v>
      </c>
      <c r="N65" s="2751">
        <f t="shared" si="18"/>
        <v>43101</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8" t="str">
        <f>YEAR(C65)&amp;"-"&amp;ROUNDUP(MONTH(C65)/3,0)</f>
        <v>2020-4</v>
      </c>
      <c r="D67" s="2753" t="str">
        <f t="shared" ref="D67:N67" si="19">YEAR(D65)&amp;"-"&amp;ROUNDUP(MONTH(D65)/3,0)</f>
        <v>2020-3</v>
      </c>
      <c r="E67" s="2753" t="str">
        <f t="shared" si="19"/>
        <v>2020-2</v>
      </c>
      <c r="F67" s="2753" t="str">
        <f t="shared" si="19"/>
        <v>2020-1</v>
      </c>
      <c r="G67" s="2753" t="str">
        <f t="shared" si="19"/>
        <v>2019-4</v>
      </c>
      <c r="H67" s="2753" t="str">
        <f t="shared" si="19"/>
        <v>2019-3</v>
      </c>
      <c r="I67" s="2753" t="str">
        <f t="shared" si="19"/>
        <v>2019-2</v>
      </c>
      <c r="J67" s="2753" t="str">
        <f t="shared" si="19"/>
        <v>2019-1</v>
      </c>
      <c r="K67" s="2753" t="str">
        <f t="shared" si="19"/>
        <v>2018-4</v>
      </c>
      <c r="L67" s="2753" t="str">
        <f t="shared" si="19"/>
        <v>2018-3</v>
      </c>
      <c r="M67" s="2753" t="str">
        <f t="shared" si="19"/>
        <v>2018-2</v>
      </c>
      <c r="N67" s="2753" t="str">
        <f t="shared" si="19"/>
        <v>2018-1</v>
      </c>
      <c r="O67" s="2143"/>
      <c r="P67" s="2144"/>
      <c r="Q67" s="2145"/>
      <c r="R67" s="2145"/>
      <c r="S67" s="2145"/>
      <c r="T67" s="2145"/>
      <c r="U67" s="2145"/>
      <c r="V67" s="2145"/>
      <c r="W67" s="2145"/>
      <c r="X67" s="2145"/>
      <c r="Y67" s="2145"/>
      <c r="Z67" s="2145"/>
      <c r="AA67" s="2145"/>
      <c r="AB67" s="2145"/>
      <c r="AC67" s="2145"/>
    </row>
    <row r="68" spans="1:29" s="1214" customFormat="1" ht="27.75" customHeight="1">
      <c r="A68" s="2750" t="s">
        <v>2643</v>
      </c>
      <c r="B68" s="479" t="str">
        <f>"北京市平均增长率"&amp;TEXT(基准地价!P24,"0.00%")</f>
        <v>北京市平均增长率1.22%</v>
      </c>
      <c r="C68" s="893">
        <v>100</v>
      </c>
      <c r="D68" s="730"/>
      <c r="E68" s="730"/>
      <c r="F68" s="730"/>
      <c r="G68" s="730"/>
      <c r="H68" s="730"/>
      <c r="I68" s="730"/>
      <c r="J68" s="730"/>
      <c r="K68" s="730"/>
      <c r="L68" s="730"/>
      <c r="M68" s="2746"/>
      <c r="N68" s="2747"/>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9" t="s">
        <v>2979</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26" t="s">
        <v>1005</v>
      </c>
      <c r="B18" s="1148" t="s">
        <v>1444</v>
      </c>
      <c r="C18" s="1125" t="s">
        <v>1445</v>
      </c>
      <c r="D18" s="1126"/>
      <c r="E18" s="1148">
        <v>1</v>
      </c>
      <c r="F18" s="1127" t="s">
        <v>1446</v>
      </c>
      <c r="G18" s="1128"/>
      <c r="H18" s="1099"/>
      <c r="I18" s="1099"/>
    </row>
    <row r="19" spans="1:9" s="1583" customFormat="1" ht="19.5" customHeight="1">
      <c r="A19" s="3426"/>
      <c r="B19" s="3426" t="s">
        <v>1447</v>
      </c>
      <c r="C19" s="1125" t="s">
        <v>1448</v>
      </c>
      <c r="D19" s="1126"/>
      <c r="E19" s="1148">
        <v>0.9</v>
      </c>
      <c r="F19" s="1127" t="s">
        <v>1449</v>
      </c>
      <c r="G19" s="1128"/>
      <c r="H19" s="1099"/>
      <c r="I19" s="1099"/>
    </row>
    <row r="20" spans="1:9" s="1583" customFormat="1" ht="19.5" customHeight="1">
      <c r="A20" s="3426"/>
      <c r="B20" s="3426"/>
      <c r="C20" s="1125" t="s">
        <v>1450</v>
      </c>
      <c r="D20" s="1126"/>
      <c r="E20" s="1148">
        <v>1.1000000000000001</v>
      </c>
      <c r="F20" s="1127" t="s">
        <v>1451</v>
      </c>
      <c r="G20" s="1128"/>
      <c r="H20" s="1099"/>
      <c r="I20" s="1099"/>
    </row>
    <row r="21" spans="1:9" s="1583" customFormat="1" ht="19.5" customHeight="1">
      <c r="A21" s="3426"/>
      <c r="B21" s="3426"/>
      <c r="C21" s="1125" t="s">
        <v>1452</v>
      </c>
      <c r="D21" s="1126"/>
      <c r="E21" s="1148">
        <v>0.8</v>
      </c>
      <c r="F21" s="1127" t="s">
        <v>1453</v>
      </c>
      <c r="G21" s="1128"/>
      <c r="H21" s="1099"/>
      <c r="I21" s="1099"/>
    </row>
    <row r="22" spans="1:9" s="1583" customFormat="1" ht="19.5" customHeight="1">
      <c r="A22" s="3426"/>
      <c r="B22" s="3426"/>
      <c r="C22" s="1125" t="s">
        <v>1454</v>
      </c>
      <c r="D22" s="1126"/>
      <c r="E22" s="1148">
        <v>0.5</v>
      </c>
      <c r="F22" s="1127"/>
      <c r="G22" s="1128"/>
      <c r="H22" s="1099"/>
      <c r="I22" s="1099"/>
    </row>
    <row r="23" spans="1:9" s="1583" customFormat="1" ht="19.5" customHeight="1">
      <c r="A23" s="3426" t="s">
        <v>1027</v>
      </c>
      <c r="B23" s="1148" t="s">
        <v>1444</v>
      </c>
      <c r="C23" s="1125" t="s">
        <v>1455</v>
      </c>
      <c r="D23" s="1126"/>
      <c r="E23" s="1148">
        <v>1</v>
      </c>
      <c r="F23" s="1127" t="s">
        <v>1456</v>
      </c>
      <c r="G23" s="1128"/>
      <c r="H23" s="1099"/>
      <c r="I23" s="1099"/>
    </row>
    <row r="24" spans="1:9" s="1583" customFormat="1" ht="19.5" customHeight="1">
      <c r="A24" s="3426"/>
      <c r="B24" s="3426" t="s">
        <v>1447</v>
      </c>
      <c r="C24" s="1125" t="s">
        <v>1457</v>
      </c>
      <c r="D24" s="1126"/>
      <c r="E24" s="1148">
        <v>0.5</v>
      </c>
      <c r="F24" s="1127"/>
      <c r="G24" s="1128"/>
      <c r="H24" s="1099"/>
      <c r="I24" s="1099"/>
    </row>
    <row r="25" spans="1:9" s="1583" customFormat="1" ht="19.5" customHeight="1">
      <c r="A25" s="3426"/>
      <c r="B25" s="3426"/>
      <c r="C25" s="1125" t="s">
        <v>1458</v>
      </c>
      <c r="D25" s="1126"/>
      <c r="E25" s="1148">
        <v>1.1000000000000001</v>
      </c>
      <c r="F25" s="1127"/>
      <c r="G25" s="1128"/>
      <c r="H25" s="1099"/>
      <c r="I25" s="1099"/>
    </row>
    <row r="26" spans="1:9" s="1583" customFormat="1" ht="19.5" customHeight="1">
      <c r="A26" s="3426"/>
      <c r="B26" s="3426"/>
      <c r="C26" s="1125" t="s">
        <v>1459</v>
      </c>
      <c r="D26" s="1126"/>
      <c r="E26" s="1148">
        <v>1.1000000000000001</v>
      </c>
      <c r="F26" s="1127"/>
      <c r="G26" s="1128"/>
      <c r="H26" s="1099"/>
      <c r="I26" s="1099"/>
    </row>
    <row r="27" spans="1:9" s="1583" customFormat="1" ht="19.5" customHeight="1">
      <c r="A27" s="3426"/>
      <c r="B27" s="3426"/>
      <c r="C27" s="1125" t="s">
        <v>1460</v>
      </c>
      <c r="D27" s="1126"/>
      <c r="E27" s="1148">
        <v>0.9</v>
      </c>
      <c r="F27" s="1127" t="s">
        <v>1461</v>
      </c>
      <c r="G27" s="1128"/>
      <c r="H27" s="1099"/>
      <c r="I27" s="1099"/>
    </row>
    <row r="28" spans="1:9" s="1583" customFormat="1" ht="19.5" customHeight="1">
      <c r="A28" s="3426"/>
      <c r="B28" s="3426"/>
      <c r="C28" s="1125" t="s">
        <v>1462</v>
      </c>
      <c r="D28" s="1126"/>
      <c r="E28" s="1148">
        <v>0.9</v>
      </c>
      <c r="F28" s="1127" t="s">
        <v>1463</v>
      </c>
      <c r="G28" s="1128"/>
      <c r="H28" s="1099"/>
      <c r="I28" s="1099"/>
    </row>
    <row r="29" spans="1:9" s="1583" customFormat="1" ht="19.5" customHeight="1">
      <c r="A29" s="3426"/>
      <c r="B29" s="3426"/>
      <c r="C29" s="1125" t="s">
        <v>1464</v>
      </c>
      <c r="D29" s="1126"/>
      <c r="E29" s="1148">
        <v>0.9</v>
      </c>
      <c r="F29" s="1127" t="s">
        <v>1465</v>
      </c>
      <c r="G29" s="1128"/>
      <c r="H29" s="1099"/>
      <c r="I29" s="1099"/>
    </row>
    <row r="30" spans="1:9" s="1583" customFormat="1" ht="19.5" customHeight="1">
      <c r="A30" s="3426"/>
      <c r="B30" s="3426"/>
      <c r="C30" s="1125" t="s">
        <v>1466</v>
      </c>
      <c r="D30" s="1126"/>
      <c r="E30" s="1148">
        <v>0.9</v>
      </c>
      <c r="F30" s="1127" t="s">
        <v>1467</v>
      </c>
      <c r="G30" s="1128"/>
      <c r="H30" s="1099"/>
      <c r="I30" s="1099"/>
    </row>
    <row r="31" spans="1:9" s="1583" customFormat="1" ht="19.5" customHeight="1">
      <c r="A31" s="3426"/>
      <c r="B31" s="3426"/>
      <c r="C31" s="1125" t="s">
        <v>1468</v>
      </c>
      <c r="D31" s="1126"/>
      <c r="E31" s="1148">
        <v>0.8</v>
      </c>
      <c r="F31" s="1127" t="s">
        <v>1469</v>
      </c>
      <c r="G31" s="1128"/>
      <c r="H31" s="1099"/>
      <c r="I31" s="1099"/>
    </row>
    <row r="32" spans="1:9" s="1583" customFormat="1" ht="19.5" customHeight="1">
      <c r="A32" s="3426"/>
      <c r="B32" s="3426"/>
      <c r="C32" s="1125" t="s">
        <v>1470</v>
      </c>
      <c r="D32" s="1126"/>
      <c r="E32" s="1148">
        <v>0.8</v>
      </c>
      <c r="F32" s="1127" t="s">
        <v>1471</v>
      </c>
      <c r="G32" s="1128"/>
      <c r="H32" s="1099"/>
      <c r="I32" s="1099"/>
    </row>
    <row r="33" spans="1:9" s="1583" customFormat="1" ht="19.5" customHeight="1">
      <c r="A33" s="3426" t="s">
        <v>1472</v>
      </c>
      <c r="B33" s="1148" t="s">
        <v>1444</v>
      </c>
      <c r="C33" s="1125" t="s">
        <v>1473</v>
      </c>
      <c r="D33" s="1126"/>
      <c r="E33" s="1148">
        <v>1</v>
      </c>
      <c r="F33" s="1127" t="s">
        <v>1474</v>
      </c>
      <c r="G33" s="1128"/>
      <c r="H33" s="1099"/>
      <c r="I33" s="1099"/>
    </row>
    <row r="34" spans="1:9" s="1583" customFormat="1" ht="19.5" customHeight="1">
      <c r="A34" s="3426"/>
      <c r="B34" s="1148" t="s">
        <v>1447</v>
      </c>
      <c r="C34" s="1125" t="s">
        <v>1475</v>
      </c>
      <c r="D34" s="1126"/>
      <c r="E34" s="1148">
        <v>1.5</v>
      </c>
      <c r="F34" s="1127" t="s">
        <v>1476</v>
      </c>
      <c r="G34" s="1128"/>
      <c r="H34" s="1099"/>
      <c r="I34" s="1099"/>
    </row>
    <row r="35" spans="1:9" s="1583" customFormat="1" ht="19.5" customHeight="1">
      <c r="A35" s="3426" t="s">
        <v>1430</v>
      </c>
      <c r="B35" s="1148" t="s">
        <v>1444</v>
      </c>
      <c r="C35" s="1125" t="s">
        <v>1477</v>
      </c>
      <c r="D35" s="1126"/>
      <c r="E35" s="1148">
        <v>1</v>
      </c>
      <c r="F35" s="1127" t="s">
        <v>1478</v>
      </c>
      <c r="G35" s="1128"/>
      <c r="H35" s="1099"/>
      <c r="I35" s="1099"/>
    </row>
    <row r="36" spans="1:9" s="1583" customFormat="1" ht="19.5" customHeight="1">
      <c r="A36" s="3426"/>
      <c r="B36" s="3426" t="s">
        <v>1447</v>
      </c>
      <c r="C36" s="1125" t="s">
        <v>1479</v>
      </c>
      <c r="D36" s="1126"/>
      <c r="E36" s="1148">
        <v>1</v>
      </c>
      <c r="F36" s="1127" t="s">
        <v>1480</v>
      </c>
      <c r="G36" s="1128"/>
      <c r="H36" s="1099"/>
      <c r="I36" s="1099"/>
    </row>
    <row r="37" spans="1:9" s="1583" customFormat="1" ht="19.5" customHeight="1">
      <c r="A37" s="3426"/>
      <c r="B37" s="3426"/>
      <c r="C37" s="1125" t="s">
        <v>1481</v>
      </c>
      <c r="D37" s="1126"/>
      <c r="E37" s="1148">
        <v>1.5</v>
      </c>
      <c r="F37" s="1127" t="s">
        <v>1482</v>
      </c>
      <c r="G37" s="1128"/>
      <c r="H37" s="1099"/>
      <c r="I37" s="1099"/>
    </row>
    <row r="38" spans="1:9" s="1583" customFormat="1" ht="19.5" customHeight="1">
      <c r="A38" s="3426"/>
      <c r="B38" s="3426"/>
      <c r="C38" s="1125" t="s">
        <v>1483</v>
      </c>
      <c r="D38" s="1126"/>
      <c r="E38" s="1148">
        <v>1</v>
      </c>
      <c r="F38" s="1127" t="s">
        <v>1484</v>
      </c>
      <c r="G38" s="1128"/>
      <c r="H38" s="1099"/>
      <c r="I38" s="1099"/>
    </row>
    <row r="39" spans="1:9" s="1583" customFormat="1" ht="19.5" customHeight="1">
      <c r="A39" s="3426"/>
      <c r="B39" s="3426"/>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26" t="s">
        <v>1499</v>
      </c>
      <c r="C61" s="1062" t="s">
        <v>1500</v>
      </c>
      <c r="D61" s="1062" t="s">
        <v>1501</v>
      </c>
      <c r="E61" s="1133">
        <v>0.5</v>
      </c>
      <c r="F61" s="1148">
        <v>80</v>
      </c>
      <c r="H61" s="1099">
        <f>SUMIF(C59:C119,基准地价!C8,E59:E119)</f>
        <v>0</v>
      </c>
    </row>
    <row r="62" spans="1:8" s="1099" customFormat="1" ht="24">
      <c r="A62" s="1148">
        <v>2</v>
      </c>
      <c r="B62" s="3426"/>
      <c r="C62" s="1062" t="s">
        <v>1502</v>
      </c>
      <c r="D62" s="1062" t="s">
        <v>1503</v>
      </c>
      <c r="E62" s="1133">
        <v>0.5</v>
      </c>
      <c r="F62" s="1148">
        <v>80</v>
      </c>
    </row>
    <row r="63" spans="1:8" s="1099" customFormat="1" ht="36">
      <c r="A63" s="1148">
        <v>3</v>
      </c>
      <c r="B63" s="3426"/>
      <c r="C63" s="1062" t="s">
        <v>1504</v>
      </c>
      <c r="D63" s="1062" t="s">
        <v>1505</v>
      </c>
      <c r="E63" s="1133">
        <v>0.5</v>
      </c>
      <c r="F63" s="1148">
        <v>80</v>
      </c>
    </row>
    <row r="64" spans="1:8" s="1099" customFormat="1" ht="36">
      <c r="A64" s="1148">
        <v>4</v>
      </c>
      <c r="B64" s="3426"/>
      <c r="C64" s="1062" t="s">
        <v>1506</v>
      </c>
      <c r="D64" s="1062" t="s">
        <v>1507</v>
      </c>
      <c r="E64" s="1133">
        <v>0.4</v>
      </c>
      <c r="F64" s="1148">
        <v>60</v>
      </c>
    </row>
    <row r="65" spans="1:6" s="1099" customFormat="1" ht="36">
      <c r="A65" s="1148">
        <v>5</v>
      </c>
      <c r="B65" s="3426"/>
      <c r="C65" s="1062" t="s">
        <v>1508</v>
      </c>
      <c r="D65" s="1062" t="s">
        <v>1509</v>
      </c>
      <c r="E65" s="1133">
        <v>0.2</v>
      </c>
      <c r="F65" s="1148">
        <v>30</v>
      </c>
    </row>
    <row r="66" spans="1:6" s="1099" customFormat="1" ht="36">
      <c r="A66" s="1148">
        <v>6</v>
      </c>
      <c r="B66" s="3426"/>
      <c r="C66" s="1062" t="s">
        <v>1510</v>
      </c>
      <c r="D66" s="1062" t="s">
        <v>1511</v>
      </c>
      <c r="E66" s="1133">
        <v>0.3</v>
      </c>
      <c r="F66" s="1148">
        <v>50</v>
      </c>
    </row>
    <row r="67" spans="1:6" s="1099" customFormat="1" ht="36">
      <c r="A67" s="1148">
        <v>7</v>
      </c>
      <c r="B67" s="3426"/>
      <c r="C67" s="1062" t="s">
        <v>1512</v>
      </c>
      <c r="D67" s="1062" t="s">
        <v>1513</v>
      </c>
      <c r="E67" s="1133">
        <v>0.2</v>
      </c>
      <c r="F67" s="1148">
        <v>30</v>
      </c>
    </row>
    <row r="68" spans="1:6" s="1099" customFormat="1" ht="36">
      <c r="A68" s="1148">
        <v>8</v>
      </c>
      <c r="B68" s="3426"/>
      <c r="C68" s="1062" t="s">
        <v>1514</v>
      </c>
      <c r="D68" s="1062" t="s">
        <v>1515</v>
      </c>
      <c r="E68" s="1133">
        <v>0.2</v>
      </c>
      <c r="F68" s="1148">
        <v>30</v>
      </c>
    </row>
    <row r="69" spans="1:6" s="1099" customFormat="1" ht="36">
      <c r="A69" s="1148">
        <v>9</v>
      </c>
      <c r="B69" s="3426"/>
      <c r="C69" s="1062" t="s">
        <v>1516</v>
      </c>
      <c r="D69" s="1062" t="s">
        <v>1517</v>
      </c>
      <c r="E69" s="1133">
        <v>0.2</v>
      </c>
      <c r="F69" s="1148">
        <v>30</v>
      </c>
    </row>
    <row r="70" spans="1:6" s="1099" customFormat="1" ht="48">
      <c r="A70" s="1148">
        <v>10</v>
      </c>
      <c r="B70" s="3426"/>
      <c r="C70" s="1062" t="s">
        <v>1518</v>
      </c>
      <c r="D70" s="1062" t="s">
        <v>1519</v>
      </c>
      <c r="E70" s="1133">
        <v>0.2</v>
      </c>
      <c r="F70" s="1148">
        <v>30</v>
      </c>
    </row>
    <row r="71" spans="1:6" s="1099" customFormat="1" ht="48">
      <c r="A71" s="1148">
        <v>11</v>
      </c>
      <c r="B71" s="3426"/>
      <c r="C71" s="1062" t="s">
        <v>1520</v>
      </c>
      <c r="D71" s="1062" t="s">
        <v>1521</v>
      </c>
      <c r="E71" s="1133">
        <v>0.2</v>
      </c>
      <c r="F71" s="1148">
        <v>30</v>
      </c>
    </row>
    <row r="72" spans="1:6" s="1099" customFormat="1" ht="36">
      <c r="A72" s="1148">
        <v>12</v>
      </c>
      <c r="B72" s="3426"/>
      <c r="C72" s="1062" t="s">
        <v>1522</v>
      </c>
      <c r="D72" s="1062" t="s">
        <v>1523</v>
      </c>
      <c r="E72" s="1133">
        <v>0.5</v>
      </c>
      <c r="F72" s="1148">
        <v>80</v>
      </c>
    </row>
    <row r="73" spans="1:6" s="1099" customFormat="1" ht="24">
      <c r="A73" s="1148">
        <v>13</v>
      </c>
      <c r="B73" s="3426"/>
      <c r="C73" s="1062" t="s">
        <v>1524</v>
      </c>
      <c r="D73" s="1062" t="s">
        <v>1525</v>
      </c>
      <c r="E73" s="1133">
        <v>0.4</v>
      </c>
      <c r="F73" s="1148">
        <v>60</v>
      </c>
    </row>
    <row r="74" spans="1:6" s="1099" customFormat="1" ht="24">
      <c r="A74" s="1148">
        <v>14</v>
      </c>
      <c r="B74" s="3426"/>
      <c r="C74" s="1062" t="s">
        <v>1526</v>
      </c>
      <c r="D74" s="1062" t="s">
        <v>1527</v>
      </c>
      <c r="E74" s="1133">
        <v>0.2</v>
      </c>
      <c r="F74" s="1148">
        <v>30</v>
      </c>
    </row>
    <row r="75" spans="1:6" s="1099" customFormat="1" ht="24">
      <c r="A75" s="1148">
        <v>15</v>
      </c>
      <c r="B75" s="3426"/>
      <c r="C75" s="1062" t="s">
        <v>1528</v>
      </c>
      <c r="D75" s="1062" t="s">
        <v>1529</v>
      </c>
      <c r="E75" s="1133">
        <v>0.2</v>
      </c>
      <c r="F75" s="1148">
        <v>30</v>
      </c>
    </row>
    <row r="76" spans="1:6" s="1099" customFormat="1" ht="24">
      <c r="A76" s="1148">
        <v>16</v>
      </c>
      <c r="B76" s="3426" t="s">
        <v>1530</v>
      </c>
      <c r="C76" s="1062" t="s">
        <v>1531</v>
      </c>
      <c r="D76" s="1062" t="s">
        <v>1532</v>
      </c>
      <c r="E76" s="1133">
        <v>0.5</v>
      </c>
      <c r="F76" s="1148">
        <v>80</v>
      </c>
    </row>
    <row r="77" spans="1:6" s="1099" customFormat="1" ht="24">
      <c r="A77" s="1148">
        <v>17</v>
      </c>
      <c r="B77" s="3426"/>
      <c r="C77" s="1062" t="s">
        <v>1533</v>
      </c>
      <c r="D77" s="1062" t="s">
        <v>1534</v>
      </c>
      <c r="E77" s="1133">
        <v>0.5</v>
      </c>
      <c r="F77" s="1148">
        <v>80</v>
      </c>
    </row>
    <row r="78" spans="1:6" s="1099" customFormat="1" ht="24">
      <c r="A78" s="1148">
        <v>18</v>
      </c>
      <c r="B78" s="3426"/>
      <c r="C78" s="1062" t="s">
        <v>1535</v>
      </c>
      <c r="D78" s="1062" t="s">
        <v>1536</v>
      </c>
      <c r="E78" s="1133">
        <v>0.2</v>
      </c>
      <c r="F78" s="1148">
        <v>30</v>
      </c>
    </row>
    <row r="79" spans="1:6" s="1099" customFormat="1" ht="24">
      <c r="A79" s="1148">
        <v>19</v>
      </c>
      <c r="B79" s="3426"/>
      <c r="C79" s="1062" t="s">
        <v>1537</v>
      </c>
      <c r="D79" s="1062" t="s">
        <v>1538</v>
      </c>
      <c r="E79" s="1133">
        <v>0.5</v>
      </c>
      <c r="F79" s="1148">
        <v>80</v>
      </c>
    </row>
    <row r="80" spans="1:6" s="1099" customFormat="1" ht="36">
      <c r="A80" s="1148">
        <v>20</v>
      </c>
      <c r="B80" s="3426"/>
      <c r="C80" s="1062" t="s">
        <v>1539</v>
      </c>
      <c r="D80" s="1062" t="s">
        <v>1540</v>
      </c>
      <c r="E80" s="1133">
        <v>0.2</v>
      </c>
      <c r="F80" s="1148">
        <v>30</v>
      </c>
    </row>
    <row r="81" spans="1:6" s="1099" customFormat="1" ht="36">
      <c r="A81" s="1148">
        <v>21</v>
      </c>
      <c r="B81" s="3426"/>
      <c r="C81" s="1062" t="s">
        <v>1541</v>
      </c>
      <c r="D81" s="1062" t="s">
        <v>1542</v>
      </c>
      <c r="E81" s="1133">
        <v>0.2</v>
      </c>
      <c r="F81" s="1148">
        <v>30</v>
      </c>
    </row>
    <row r="82" spans="1:6" s="1099" customFormat="1" ht="48">
      <c r="A82" s="1148">
        <v>22</v>
      </c>
      <c r="B82" s="3426"/>
      <c r="C82" s="1062" t="s">
        <v>1543</v>
      </c>
      <c r="D82" s="1062" t="s">
        <v>1544</v>
      </c>
      <c r="E82" s="1133">
        <v>0.2</v>
      </c>
      <c r="F82" s="1148">
        <v>30</v>
      </c>
    </row>
    <row r="83" spans="1:6" s="1099" customFormat="1" ht="48">
      <c r="A83" s="1148">
        <v>23</v>
      </c>
      <c r="B83" s="3426"/>
      <c r="C83" s="1062" t="s">
        <v>1545</v>
      </c>
      <c r="D83" s="1062" t="s">
        <v>1546</v>
      </c>
      <c r="E83" s="1133">
        <v>0.2</v>
      </c>
      <c r="F83" s="1148">
        <v>30</v>
      </c>
    </row>
    <row r="84" spans="1:6" s="1099" customFormat="1" ht="36">
      <c r="A84" s="1148">
        <v>24</v>
      </c>
      <c r="B84" s="3426"/>
      <c r="C84" s="1062" t="s">
        <v>1547</v>
      </c>
      <c r="D84" s="1062" t="s">
        <v>1548</v>
      </c>
      <c r="E84" s="1133">
        <v>0.2</v>
      </c>
      <c r="F84" s="1148">
        <v>30</v>
      </c>
    </row>
    <row r="85" spans="1:6" s="1099" customFormat="1" ht="36">
      <c r="A85" s="1148">
        <v>25</v>
      </c>
      <c r="B85" s="3426"/>
      <c r="C85" s="1062" t="s">
        <v>1549</v>
      </c>
      <c r="D85" s="1062" t="s">
        <v>1550</v>
      </c>
      <c r="E85" s="1133">
        <v>0.5</v>
      </c>
      <c r="F85" s="1148">
        <v>80</v>
      </c>
    </row>
    <row r="86" spans="1:6" s="1099" customFormat="1" ht="36">
      <c r="A86" s="1148">
        <v>26</v>
      </c>
      <c r="B86" s="3426"/>
      <c r="C86" s="1062" t="s">
        <v>1551</v>
      </c>
      <c r="D86" s="1062" t="s">
        <v>1552</v>
      </c>
      <c r="E86" s="1133">
        <v>0.2</v>
      </c>
      <c r="F86" s="1148">
        <v>30</v>
      </c>
    </row>
    <row r="87" spans="1:6" s="1099" customFormat="1" ht="36">
      <c r="A87" s="1148">
        <v>27</v>
      </c>
      <c r="B87" s="3426"/>
      <c r="C87" s="1062" t="s">
        <v>1553</v>
      </c>
      <c r="D87" s="1062" t="s">
        <v>1554</v>
      </c>
      <c r="E87" s="1133">
        <v>0.2</v>
      </c>
      <c r="F87" s="1148">
        <v>30</v>
      </c>
    </row>
    <row r="88" spans="1:6" s="1099" customFormat="1" ht="36">
      <c r="A88" s="1148">
        <v>28</v>
      </c>
      <c r="B88" s="3426"/>
      <c r="C88" s="1062" t="s">
        <v>1555</v>
      </c>
      <c r="D88" s="1062" t="s">
        <v>1556</v>
      </c>
      <c r="E88" s="1133">
        <v>0.2</v>
      </c>
      <c r="F88" s="1148">
        <v>30</v>
      </c>
    </row>
    <row r="89" spans="1:6" s="1099" customFormat="1" ht="24">
      <c r="A89" s="1148">
        <v>29</v>
      </c>
      <c r="B89" s="3426"/>
      <c r="C89" s="1062" t="s">
        <v>1557</v>
      </c>
      <c r="D89" s="1062" t="s">
        <v>1558</v>
      </c>
      <c r="E89" s="1133">
        <v>0.2</v>
      </c>
      <c r="F89" s="1148">
        <v>30</v>
      </c>
    </row>
    <row r="90" spans="1:6" s="1099" customFormat="1" ht="24">
      <c r="A90" s="1148">
        <v>30</v>
      </c>
      <c r="B90" s="3426"/>
      <c r="C90" s="1062" t="s">
        <v>1559</v>
      </c>
      <c r="D90" s="1062" t="s">
        <v>1560</v>
      </c>
      <c r="E90" s="1133">
        <v>0.2</v>
      </c>
      <c r="F90" s="1148">
        <v>30</v>
      </c>
    </row>
    <row r="91" spans="1:6" s="1099" customFormat="1" ht="36">
      <c r="A91" s="1148">
        <v>31</v>
      </c>
      <c r="B91" s="3426"/>
      <c r="C91" s="1062" t="s">
        <v>1561</v>
      </c>
      <c r="D91" s="1062" t="s">
        <v>1562</v>
      </c>
      <c r="E91" s="1133">
        <v>0.2</v>
      </c>
      <c r="F91" s="1148">
        <v>30</v>
      </c>
    </row>
    <row r="92" spans="1:6" s="1099" customFormat="1" ht="24">
      <c r="A92" s="1148">
        <v>32</v>
      </c>
      <c r="B92" s="3426" t="s">
        <v>1563</v>
      </c>
      <c r="C92" s="1148" t="s">
        <v>1564</v>
      </c>
      <c r="D92" s="1062" t="s">
        <v>1565</v>
      </c>
      <c r="E92" s="1133">
        <v>0.2</v>
      </c>
      <c r="F92" s="1148">
        <v>30</v>
      </c>
    </row>
    <row r="93" spans="1:6" s="1099" customFormat="1" ht="36">
      <c r="A93" s="1148">
        <v>33</v>
      </c>
      <c r="B93" s="3426"/>
      <c r="C93" s="1148" t="s">
        <v>1566</v>
      </c>
      <c r="D93" s="1062" t="s">
        <v>1567</v>
      </c>
      <c r="E93" s="1133">
        <v>0.2</v>
      </c>
      <c r="F93" s="1148">
        <v>30</v>
      </c>
    </row>
    <row r="94" spans="1:6" s="1099" customFormat="1" ht="48">
      <c r="A94" s="1148">
        <v>34</v>
      </c>
      <c r="B94" s="3426"/>
      <c r="C94" s="1148" t="s">
        <v>1568</v>
      </c>
      <c r="D94" s="1062" t="s">
        <v>1569</v>
      </c>
      <c r="E94" s="1133">
        <v>0.2</v>
      </c>
      <c r="F94" s="1148">
        <v>30</v>
      </c>
    </row>
    <row r="95" spans="1:6" s="1099" customFormat="1" ht="36">
      <c r="A95" s="1148">
        <v>35</v>
      </c>
      <c r="B95" s="3426"/>
      <c r="C95" s="1148" t="s">
        <v>1570</v>
      </c>
      <c r="D95" s="1062" t="s">
        <v>1571</v>
      </c>
      <c r="E95" s="1133">
        <v>0.2</v>
      </c>
      <c r="F95" s="1148">
        <v>30</v>
      </c>
    </row>
    <row r="96" spans="1:6" s="1099" customFormat="1" ht="48">
      <c r="A96" s="1148">
        <v>36</v>
      </c>
      <c r="B96" s="3426"/>
      <c r="C96" s="1062" t="s">
        <v>1572</v>
      </c>
      <c r="D96" s="1062" t="s">
        <v>1573</v>
      </c>
      <c r="E96" s="1133">
        <v>0.2</v>
      </c>
      <c r="F96" s="1148">
        <v>30</v>
      </c>
    </row>
    <row r="97" spans="1:6" s="1099" customFormat="1" ht="36">
      <c r="A97" s="1148">
        <v>37</v>
      </c>
      <c r="B97" s="3426"/>
      <c r="C97" s="1148" t="s">
        <v>1574</v>
      </c>
      <c r="D97" s="1062" t="s">
        <v>1575</v>
      </c>
      <c r="E97" s="1133">
        <v>0.2</v>
      </c>
      <c r="F97" s="1148">
        <v>30</v>
      </c>
    </row>
    <row r="98" spans="1:6" s="1099" customFormat="1" ht="36">
      <c r="A98" s="1148">
        <v>38</v>
      </c>
      <c r="B98" s="3426"/>
      <c r="C98" s="1148" t="s">
        <v>1576</v>
      </c>
      <c r="D98" s="1062" t="s">
        <v>1577</v>
      </c>
      <c r="E98" s="1133">
        <v>0.2</v>
      </c>
      <c r="F98" s="1148">
        <v>30</v>
      </c>
    </row>
    <row r="99" spans="1:6" s="1099" customFormat="1" ht="36">
      <c r="A99" s="1148">
        <v>39</v>
      </c>
      <c r="B99" s="3426" t="s">
        <v>1578</v>
      </c>
      <c r="C99" s="1148" t="s">
        <v>1579</v>
      </c>
      <c r="D99" s="1062" t="s">
        <v>1580</v>
      </c>
      <c r="E99" s="1133">
        <v>0.3</v>
      </c>
      <c r="F99" s="1148">
        <v>50</v>
      </c>
    </row>
    <row r="100" spans="1:6" s="1099" customFormat="1" ht="24">
      <c r="A100" s="1148">
        <v>40</v>
      </c>
      <c r="B100" s="3426"/>
      <c r="C100" s="1148" t="s">
        <v>1581</v>
      </c>
      <c r="D100" s="1062" t="s">
        <v>1582</v>
      </c>
      <c r="E100" s="1133">
        <v>0.2</v>
      </c>
      <c r="F100" s="1148">
        <v>30</v>
      </c>
    </row>
    <row r="101" spans="1:6" s="1099" customFormat="1" ht="36">
      <c r="A101" s="1148">
        <v>41</v>
      </c>
      <c r="B101" s="3426"/>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26" t="s">
        <v>1593</v>
      </c>
      <c r="C105" s="1148" t="s">
        <v>1594</v>
      </c>
      <c r="D105" s="1062" t="s">
        <v>1595</v>
      </c>
      <c r="E105" s="1133">
        <v>0.2</v>
      </c>
      <c r="F105" s="1148">
        <v>30</v>
      </c>
    </row>
    <row r="106" spans="1:6" s="1099" customFormat="1" ht="36">
      <c r="A106" s="1148">
        <v>46</v>
      </c>
      <c r="B106" s="3426"/>
      <c r="C106" s="1148" t="s">
        <v>1596</v>
      </c>
      <c r="D106" s="1062" t="s">
        <v>1597</v>
      </c>
      <c r="E106" s="1133">
        <v>0.2</v>
      </c>
      <c r="F106" s="1148">
        <v>30</v>
      </c>
    </row>
    <row r="107" spans="1:6" s="1099" customFormat="1" ht="36">
      <c r="A107" s="1148">
        <v>47</v>
      </c>
      <c r="B107" s="3426" t="s">
        <v>1598</v>
      </c>
      <c r="C107" s="1148" t="s">
        <v>1599</v>
      </c>
      <c r="D107" s="1062" t="s">
        <v>1600</v>
      </c>
      <c r="E107" s="1133">
        <v>0.3</v>
      </c>
      <c r="F107" s="1148">
        <v>50</v>
      </c>
    </row>
    <row r="108" spans="1:6" s="1099" customFormat="1" ht="36">
      <c r="A108" s="1148">
        <v>48</v>
      </c>
      <c r="B108" s="3426"/>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26" t="s">
        <v>1609</v>
      </c>
      <c r="C111" s="1148" t="s">
        <v>1610</v>
      </c>
      <c r="D111" s="1062" t="s">
        <v>1611</v>
      </c>
      <c r="E111" s="1133">
        <v>0.2</v>
      </c>
      <c r="F111" s="1148">
        <v>30</v>
      </c>
    </row>
    <row r="112" spans="1:6" s="1099" customFormat="1" ht="24">
      <c r="A112" s="1148">
        <v>52</v>
      </c>
      <c r="B112" s="3426"/>
      <c r="C112" s="1148" t="s">
        <v>1612</v>
      </c>
      <c r="D112" s="1062" t="s">
        <v>1613</v>
      </c>
      <c r="E112" s="1133">
        <v>0.2</v>
      </c>
      <c r="F112" s="1148">
        <v>30</v>
      </c>
    </row>
    <row r="113" spans="1:14" s="1099" customFormat="1" ht="24">
      <c r="A113" s="1148">
        <v>53</v>
      </c>
      <c r="B113" s="3426"/>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26" t="s">
        <v>1622</v>
      </c>
      <c r="C116" s="1148" t="s">
        <v>1623</v>
      </c>
      <c r="D116" s="1062" t="s">
        <v>1624</v>
      </c>
      <c r="E116" s="1133">
        <v>0.2</v>
      </c>
      <c r="F116" s="1148">
        <v>30</v>
      </c>
    </row>
    <row r="117" spans="1:14" ht="36">
      <c r="A117" s="1148">
        <v>57</v>
      </c>
      <c r="B117" s="3426"/>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5" t="s">
        <v>1631</v>
      </c>
      <c r="B121" s="3425"/>
      <c r="C121" s="3425"/>
      <c r="D121" s="3425"/>
      <c r="E121" s="3425"/>
      <c r="F121" s="3425"/>
      <c r="G121" s="3425"/>
      <c r="H121" s="3425"/>
      <c r="I121" s="3425"/>
      <c r="J121" s="342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2" t="s">
        <v>1037</v>
      </c>
      <c r="B1" s="3492"/>
      <c r="C1" s="3492"/>
      <c r="D1" s="3492"/>
      <c r="E1" s="3492"/>
      <c r="F1" s="349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3" t="s">
        <v>1050</v>
      </c>
      <c r="B2" s="3493"/>
      <c r="C2" s="3493"/>
      <c r="D2" s="3493"/>
      <c r="E2" s="3493"/>
      <c r="F2" s="349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1540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1.2786999999999999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6" t="s">
        <v>2075</v>
      </c>
      <c r="B1" s="3496"/>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775" t="s">
        <v>2070</v>
      </c>
    </row>
    <row r="22" spans="1:1" ht="18.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5" t="str">
        <f>IF(项目基本情况!B16="出让","本次评估设定估价对象剩余土地使用年限为"&amp;项目基本情况!D20&amp;"。","")</f>
        <v/>
      </c>
    </row>
    <row r="24" spans="1:1" ht="18.75">
      <c r="A24" s="1775" t="s">
        <v>2071</v>
      </c>
    </row>
    <row r="25" spans="1:1" ht="75">
      <c r="A25" s="1775" t="str">
        <f>定义!C53</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f ca="1">SUMIF(B7:B14,"&lt;&gt;#ref!",B7:B14)</f>
        <v>21456</v>
      </c>
      <c r="C2" s="3049" t="s">
        <v>2938</v>
      </c>
      <c r="D2" s="3048"/>
      <c r="E2" s="3048"/>
      <c r="F2" s="3048"/>
    </row>
    <row r="3" spans="1:6" ht="14.25">
      <c r="A3" s="3049" t="s">
        <v>2969</v>
      </c>
      <c r="B3" s="3050">
        <f ca="1">ROUND(B2*10000/E3,0)</f>
        <v>2227</v>
      </c>
      <c r="C3" s="3049" t="s">
        <v>2074</v>
      </c>
      <c r="D3" s="3049" t="s">
        <v>2939</v>
      </c>
      <c r="E3" s="3050">
        <f ca="1">SUMIF(E7:E14,"&lt;&gt;#ref!",E7:E14)</f>
        <v>96343.56</v>
      </c>
      <c r="F3" s="3048"/>
    </row>
    <row r="4" spans="1:6" ht="14.25">
      <c r="A4" s="3049" t="s">
        <v>2946</v>
      </c>
      <c r="B4" s="3050">
        <f ca="1">ROUND(B2*10000/E4,0)</f>
        <v>2227</v>
      </c>
      <c r="C4" s="3049" t="s">
        <v>2074</v>
      </c>
      <c r="D4" s="3049" t="s">
        <v>2947</v>
      </c>
      <c r="E4" s="3050">
        <f ca="1">SUMIF(F7:F14,"&lt;&gt;#ref!",F7:F14)</f>
        <v>96343.56</v>
      </c>
      <c r="F4" s="3048"/>
    </row>
    <row r="5" spans="1:6" ht="14.25">
      <c r="A5" s="3051"/>
      <c r="B5" s="1865"/>
      <c r="C5" s="1865"/>
      <c r="D5" s="1865"/>
      <c r="E5" s="1865"/>
      <c r="F5" s="3048"/>
    </row>
    <row r="6" spans="1:6" ht="28.5">
      <c r="A6" s="3052" t="s">
        <v>2943</v>
      </c>
      <c r="B6" s="3049" t="s">
        <v>2940</v>
      </c>
      <c r="C6" s="3050"/>
      <c r="D6" s="1865"/>
      <c r="E6" s="3049" t="s">
        <v>2941</v>
      </c>
      <c r="F6" s="3049" t="s">
        <v>2945</v>
      </c>
    </row>
    <row r="7" spans="1:6" ht="14.25">
      <c r="A7" s="260" t="s">
        <v>2944</v>
      </c>
      <c r="B7" s="3053">
        <f ca="1">SUMIF(INDIRECT("'"&amp;A7&amp;"'"&amp;"!A:A"),"总价",INDIRECT("'"&amp;A7&amp;"'"&amp;"!B:B"))</f>
        <v>21456</v>
      </c>
      <c r="C7" s="3049" t="s">
        <v>2938</v>
      </c>
      <c r="D7" s="1865"/>
      <c r="E7" s="3054">
        <f ca="1">SUMIF(INDIRECT("'"&amp;A7&amp;"'"&amp;"!C:C"),"建筑面积",INDIRECT("'"&amp;A7&amp;"'"&amp;"!D:D"))</f>
        <v>96343.56</v>
      </c>
      <c r="F7" s="3054">
        <f ca="1">SUMIF(INDIRECT("'"&amp;A7&amp;"'"&amp;"!E:E"),"土地面积",INDIRECT("'"&amp;A7&amp;"'"&amp;"!F:F"))</f>
        <v>96343.56</v>
      </c>
    </row>
    <row r="8" spans="1:6" ht="14.25">
      <c r="A8" s="260"/>
      <c r="B8" s="3053" t="e">
        <f t="shared" ref="B8:B14" ca="1" si="0">SUMIF(INDIRECT("'"&amp;A8&amp;"'"&amp;"!A:A"),"总价",INDIRECT("'"&amp;A8&amp;"'"&amp;"!B:B"))</f>
        <v>#REF!</v>
      </c>
      <c r="C8" s="3049" t="s">
        <v>2938</v>
      </c>
      <c r="D8" s="1865"/>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2938</v>
      </c>
      <c r="D9" s="1865"/>
      <c r="E9" s="3054" t="e">
        <f t="shared" ca="1" si="1"/>
        <v>#REF!</v>
      </c>
      <c r="F9" s="3054" t="e">
        <f t="shared" ca="1" si="2"/>
        <v>#REF!</v>
      </c>
    </row>
    <row r="10" spans="1:6" ht="14.25">
      <c r="A10" s="260"/>
      <c r="B10" s="3053" t="e">
        <f t="shared" ca="1" si="0"/>
        <v>#REF!</v>
      </c>
      <c r="C10" s="3049" t="s">
        <v>2938</v>
      </c>
      <c r="D10" s="1865"/>
      <c r="E10" s="3054" t="e">
        <f t="shared" ca="1" si="1"/>
        <v>#REF!</v>
      </c>
      <c r="F10" s="3054" t="e">
        <f t="shared" ca="1" si="2"/>
        <v>#REF!</v>
      </c>
    </row>
    <row r="11" spans="1:6" ht="14.25">
      <c r="A11" s="260"/>
      <c r="B11" s="3053" t="e">
        <f t="shared" ca="1" si="0"/>
        <v>#REF!</v>
      </c>
      <c r="C11" s="3049" t="s">
        <v>2938</v>
      </c>
      <c r="D11" s="1865"/>
      <c r="E11" s="3054" t="e">
        <f t="shared" ca="1" si="1"/>
        <v>#REF!</v>
      </c>
      <c r="F11" s="3054" t="e">
        <f t="shared" ca="1" si="2"/>
        <v>#REF!</v>
      </c>
    </row>
    <row r="12" spans="1:6" ht="14.25">
      <c r="A12" s="260"/>
      <c r="B12" s="3053" t="e">
        <f t="shared" ca="1" si="0"/>
        <v>#REF!</v>
      </c>
      <c r="C12" s="3049" t="s">
        <v>2938</v>
      </c>
      <c r="D12" s="1865"/>
      <c r="E12" s="3054" t="e">
        <f t="shared" ca="1" si="1"/>
        <v>#REF!</v>
      </c>
      <c r="F12" s="3054" t="e">
        <f t="shared" ca="1" si="2"/>
        <v>#REF!</v>
      </c>
    </row>
    <row r="13" spans="1:6" ht="14.25">
      <c r="A13" s="260"/>
      <c r="B13" s="3053" t="e">
        <f t="shared" ca="1" si="0"/>
        <v>#REF!</v>
      </c>
      <c r="C13" s="3049" t="s">
        <v>2938</v>
      </c>
      <c r="D13" s="1865"/>
      <c r="E13" s="3054" t="e">
        <f t="shared" ca="1" si="1"/>
        <v>#REF!</v>
      </c>
      <c r="F13" s="3054" t="e">
        <f t="shared" ca="1" si="2"/>
        <v>#REF!</v>
      </c>
    </row>
    <row r="14" spans="1:6" ht="14.25">
      <c r="A14" s="3047"/>
      <c r="B14" s="3053" t="e">
        <f t="shared" ca="1" si="0"/>
        <v>#REF!</v>
      </c>
      <c r="C14" s="3049" t="s">
        <v>2938</v>
      </c>
      <c r="D14" s="1865"/>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E17" sqref="E1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61" t="s">
        <v>950</v>
      </c>
      <c r="E1" s="2350" t="s">
        <v>2369</v>
      </c>
      <c r="F1" s="2351">
        <f ca="1">J53</f>
        <v>50</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91235</v>
      </c>
      <c r="C2" s="2041"/>
      <c r="D2" s="2039"/>
      <c r="E2" s="2040"/>
      <c r="F2" s="2040"/>
      <c r="G2" s="1575"/>
      <c r="H2" s="2041"/>
      <c r="I2" s="2041"/>
      <c r="J2" s="2041"/>
      <c r="K2" s="2042"/>
      <c r="L2" s="2041"/>
      <c r="M2" s="2041"/>
    </row>
    <row r="3" spans="1:33" ht="18" customHeight="1" thickBot="1">
      <c r="A3" s="832" t="s">
        <v>1725</v>
      </c>
      <c r="B3" s="833">
        <f ca="1">IF(ISERROR(B2*10000/F43),0,ROUND(B2*10000/F43,0))</f>
        <v>9470</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4859</v>
      </c>
      <c r="D5" s="2459" t="s">
        <v>2456</v>
      </c>
      <c r="E5" s="2453"/>
      <c r="F5" s="2454"/>
      <c r="G5" s="1577"/>
      <c r="H5" s="780">
        <v>1</v>
      </c>
      <c r="I5" s="781" t="s">
        <v>2453</v>
      </c>
      <c r="J5" s="55">
        <f ca="1">J6+J10+J12</f>
        <v>0</v>
      </c>
      <c r="K5" s="2459" t="s">
        <v>2456</v>
      </c>
      <c r="L5" s="2453"/>
      <c r="M5" s="2454"/>
    </row>
    <row r="6" spans="1:33" ht="18" customHeight="1">
      <c r="A6" s="1814" t="s">
        <v>1822</v>
      </c>
      <c r="B6" s="3499" t="s">
        <v>2458</v>
      </c>
      <c r="C6" s="782">
        <f ca="1">ROUND(F6*F8*F7*(1-F9)/10000,0)</f>
        <v>4853</v>
      </c>
      <c r="D6" s="2460" t="s">
        <v>2457</v>
      </c>
      <c r="E6" s="783" t="s">
        <v>1736</v>
      </c>
      <c r="F6" s="784">
        <f ca="1">INDIRECT("'数据-取费表'!u"&amp;$G$1)</f>
        <v>1.5</v>
      </c>
      <c r="G6" s="1577"/>
      <c r="H6" s="2467" t="s">
        <v>2463</v>
      </c>
      <c r="I6" s="3499" t="s">
        <v>2458</v>
      </c>
      <c r="J6" s="782">
        <f ca="1">ROUND(M6*M8*M7*(1-M9)/10000,0)</f>
        <v>0</v>
      </c>
      <c r="K6" s="341" t="s">
        <v>1735</v>
      </c>
      <c r="L6" s="783" t="s">
        <v>1736</v>
      </c>
      <c r="M6" s="784">
        <f ca="1">INDIRECT("'数据-取费表'!z"&amp;$G$1)</f>
        <v>0</v>
      </c>
    </row>
    <row r="7" spans="1:33" ht="18" customHeight="1">
      <c r="A7" s="2463"/>
      <c r="B7" s="3500"/>
      <c r="C7" s="787"/>
      <c r="D7" s="788"/>
      <c r="E7" s="783" t="s">
        <v>1737</v>
      </c>
      <c r="F7" s="784">
        <f ca="1">IF(INDIRECT("'数据-取费表'!ah"&amp;$G$1)="",INDIRECT("'数据-取费表'!k"&amp;$G$1),INDIRECT("'数据-取费表'!ah"&amp;$G$1))</f>
        <v>96343.56</v>
      </c>
      <c r="G7" s="1577"/>
      <c r="H7" s="2452"/>
      <c r="I7" s="3500"/>
      <c r="J7" s="787"/>
      <c r="K7" s="788"/>
      <c r="L7" s="783" t="s">
        <v>1737</v>
      </c>
      <c r="M7" s="784">
        <f ca="1">F7</f>
        <v>96343.56</v>
      </c>
    </row>
    <row r="8" spans="1:33" ht="18" customHeight="1">
      <c r="A8" s="2456"/>
      <c r="B8" s="3501"/>
      <c r="C8" s="787"/>
      <c r="D8" s="788"/>
      <c r="E8" s="783" t="s">
        <v>1738</v>
      </c>
      <c r="F8" s="784">
        <f ca="1">INDIRECT("'数据-取费表'!ai"&amp;$G$1)</f>
        <v>365</v>
      </c>
      <c r="G8" s="1577"/>
      <c r="H8" s="2452"/>
      <c r="I8" s="3501"/>
      <c r="J8" s="787"/>
      <c r="K8" s="788"/>
      <c r="L8" s="783" t="s">
        <v>1738</v>
      </c>
      <c r="M8" s="784">
        <f ca="1">INDIRECT("'数据-取费表'!ai"&amp;$G$1)</f>
        <v>365</v>
      </c>
    </row>
    <row r="9" spans="1:33" ht="18" customHeight="1">
      <c r="A9" s="785"/>
      <c r="B9" s="3502"/>
      <c r="C9" s="787"/>
      <c r="D9" s="788"/>
      <c r="E9" s="783" t="s">
        <v>1739</v>
      </c>
      <c r="F9" s="793">
        <f ca="1">INDIRECT("'数据-取费表'!w"&amp;$G$1)</f>
        <v>0.08</v>
      </c>
      <c r="G9" s="1577"/>
      <c r="H9" s="2468"/>
      <c r="I9" s="3501"/>
      <c r="J9" s="787"/>
      <c r="K9" s="788"/>
      <c r="L9" s="794" t="s">
        <v>1739</v>
      </c>
      <c r="M9" s="795">
        <f ca="1">INDIRECT("'数据-取费表'!ab"&amp;$G$1)</f>
        <v>0</v>
      </c>
    </row>
    <row r="10" spans="1:33" ht="18" customHeight="1">
      <c r="A10" s="1814" t="s">
        <v>2461</v>
      </c>
      <c r="B10" s="2457" t="s">
        <v>2454</v>
      </c>
      <c r="C10" s="798">
        <f ca="1">ROUND(IF(F10="押一",C6/12*F11,IF(F10="押二",C6/12*2*F11,IF(F10="押三",C6/12*3*F11,C11*F11))),0)</f>
        <v>6</v>
      </c>
      <c r="D10" s="2464" t="s">
        <v>2966</v>
      </c>
      <c r="E10" s="2461" t="s">
        <v>2459</v>
      </c>
      <c r="F10" s="2584" t="s">
        <v>3169</v>
      </c>
      <c r="G10" s="1577"/>
      <c r="H10" s="2524" t="s">
        <v>2464</v>
      </c>
      <c r="I10" s="2529" t="s">
        <v>2454</v>
      </c>
      <c r="J10" s="782">
        <f ca="1">ROUND(IF(M10="押一",J6/12*M11,IF(M10="押二",J6/12*2*M11,IF(M10="押三",J6/12*3*M11,J11*M11))),0)</f>
        <v>0</v>
      </c>
      <c r="K10" s="2464" t="s">
        <v>2966</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20677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14452</v>
      </c>
      <c r="D14" s="1963" t="s">
        <v>1743</v>
      </c>
      <c r="E14" s="1964"/>
      <c r="F14" s="804"/>
      <c r="G14" s="1577"/>
      <c r="H14" s="1633" t="s">
        <v>1828</v>
      </c>
      <c r="I14" s="2215" t="s">
        <v>2819</v>
      </c>
      <c r="J14" s="53">
        <f ca="1">C29</f>
        <v>20677</v>
      </c>
      <c r="K14" s="26"/>
      <c r="L14" s="800"/>
      <c r="M14" s="801"/>
    </row>
    <row r="15" spans="1:33" s="2048" customFormat="1" ht="18" customHeight="1" thickBot="1">
      <c r="A15" s="1632" t="s">
        <v>1883</v>
      </c>
      <c r="B15" s="783" t="s">
        <v>647</v>
      </c>
      <c r="C15" s="53">
        <f ca="1">ROUND(C14*F15,0)</f>
        <v>434</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312</v>
      </c>
      <c r="K16" s="1805" t="s">
        <v>1748</v>
      </c>
      <c r="L16" s="2449"/>
      <c r="M16" s="2454"/>
    </row>
    <row r="17" spans="1:33" s="2048" customFormat="1" ht="18" customHeight="1">
      <c r="A17" s="1632" t="s">
        <v>1885</v>
      </c>
      <c r="B17" s="783" t="s">
        <v>653</v>
      </c>
      <c r="C17" s="53">
        <f ca="1">ROUND(F17*(F43+INDIRECT("'数据-取费表'!S"&amp;$G$1))/10000,0)</f>
        <v>1927</v>
      </c>
      <c r="D17" s="783" t="s">
        <v>1749</v>
      </c>
      <c r="E17" s="783" t="s">
        <v>1750</v>
      </c>
      <c r="F17" s="56">
        <f>'数据-取费表'!B35</f>
        <v>200</v>
      </c>
      <c r="G17" s="1578"/>
      <c r="H17" s="1633" t="s">
        <v>1828</v>
      </c>
      <c r="I17" s="783" t="s">
        <v>656</v>
      </c>
      <c r="J17" s="53">
        <f ca="1">ROUND(IF(项目基本情况!B11="自然人",J6*M17/(1+'数据-取费表'!C42),J18+J19+J20),0)</f>
        <v>188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217</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17030</v>
      </c>
      <c r="D19" s="261" t="s">
        <v>1755</v>
      </c>
      <c r="E19" s="1966"/>
      <c r="F19" s="56"/>
      <c r="G19" s="1577"/>
      <c r="H19" s="1632" t="s">
        <v>1883</v>
      </c>
      <c r="I19" s="783" t="s">
        <v>1756</v>
      </c>
      <c r="J19" s="53">
        <f ca="1">IF(K19="按租金收入计税",ROUND(J6*M19/(1+'数据-取费表'!C42),1),ROUND(C29*F33*0.7,1))</f>
        <v>173.7</v>
      </c>
      <c r="K19" s="810" t="s">
        <v>665</v>
      </c>
      <c r="L19" s="783" t="s">
        <v>1745</v>
      </c>
      <c r="M19" s="808">
        <f>IF(K19="按租金收入计税",'数据-取费表'!B51,'数据-取费表'!B50)</f>
        <v>1.2E-2</v>
      </c>
    </row>
    <row r="20" spans="1:33" s="2048" customFormat="1" ht="18" customHeight="1">
      <c r="A20" s="1633" t="s">
        <v>1887</v>
      </c>
      <c r="B20" s="783" t="s">
        <v>666</v>
      </c>
      <c r="C20" s="53">
        <f ca="1">ROUND(C19*F20,0)</f>
        <v>341</v>
      </c>
      <c r="D20" s="811" t="s">
        <v>1757</v>
      </c>
      <c r="E20" s="783" t="s">
        <v>1745</v>
      </c>
      <c r="F20" s="808">
        <f>'数据-取费表'!B37</f>
        <v>0.02</v>
      </c>
      <c r="G20" s="1578"/>
      <c r="H20" s="1635" t="s">
        <v>1878</v>
      </c>
      <c r="I20" s="341" t="s">
        <v>1758</v>
      </c>
      <c r="J20" s="54">
        <f ca="1">ROUND(M20*M21/10000,0)</f>
        <v>14</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96343.56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124</v>
      </c>
      <c r="K22" s="2447" t="s">
        <v>1767</v>
      </c>
      <c r="L22" s="783" t="s">
        <v>1745</v>
      </c>
      <c r="M22" s="816">
        <f ca="1">INDIRECT("'数据-取费表'!Ak"&amp;$G$1)</f>
        <v>6.0000000000000001E-3</v>
      </c>
    </row>
    <row r="23" spans="1:33" s="2048" customFormat="1" ht="18" customHeight="1">
      <c r="A23" s="1632" t="s">
        <v>1829</v>
      </c>
      <c r="B23" s="783" t="s">
        <v>2530</v>
      </c>
      <c r="C23" s="53">
        <f ca="1">ROUND(IF('数据-取费表'!B22&lt;=1,(C19+C20)*F24*F23/2,(C19+C20)*(POWER((1+F24),F23/2)-1)),0)</f>
        <v>378</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4.0000000000000002E-4</v>
      </c>
      <c r="D24" s="2534" t="str">
        <f>IF(F23&lt;=1,"销售费用×利率×(建设周期÷2)","销售费用×((1+利率)^(建设周期÷2)-1)")</f>
        <v>销售费用×利率×(建设周期÷2)</v>
      </c>
      <c r="E24" s="783" t="s">
        <v>1771</v>
      </c>
      <c r="F24" s="818">
        <f ca="1">'数据-取费表'!B40</f>
        <v>4.3499999999999997E-2</v>
      </c>
      <c r="G24" s="1578"/>
      <c r="H24" s="2514" t="s">
        <v>1889</v>
      </c>
      <c r="I24" s="2509" t="s">
        <v>666</v>
      </c>
      <c r="J24" s="2507">
        <f ca="1">ROUND(J5*M24,0)</f>
        <v>0</v>
      </c>
      <c r="K24" s="2508" t="s">
        <v>1772</v>
      </c>
      <c r="L24" s="2509" t="s">
        <v>1745</v>
      </c>
      <c r="M24" s="2505">
        <f ca="1">INDIRECT("'数据-取费表'!Am"&amp;$G$1)</f>
        <v>5.0000000000000001E-3</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59" t="s">
        <v>2815</v>
      </c>
      <c r="J25" s="791">
        <f ca="1">J5-J16</f>
        <v>-312</v>
      </c>
      <c r="K25" s="2511" t="s">
        <v>1775</v>
      </c>
      <c r="L25" s="2512"/>
      <c r="M25" s="2513"/>
    </row>
    <row r="26" spans="1:33" ht="18" customHeight="1">
      <c r="A26" s="1632" t="s">
        <v>1829</v>
      </c>
      <c r="B26" s="783" t="s">
        <v>2433</v>
      </c>
      <c r="C26" s="53">
        <f ca="1">ROUND((C19+C20)*F26,0)</f>
        <v>1390</v>
      </c>
      <c r="D26" s="811" t="s">
        <v>1776</v>
      </c>
      <c r="E26" s="794" t="s">
        <v>1777</v>
      </c>
      <c r="F26" s="793">
        <f ca="1">INDIRECT("'数据-取费表'!q"&amp;$G$1)</f>
        <v>0.08</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1.6000000000000001E-3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20677</v>
      </c>
      <c r="D29" s="2508"/>
      <c r="E29" s="2509"/>
      <c r="F29" s="2510"/>
      <c r="G29" s="1578"/>
      <c r="H29" s="822" t="s">
        <v>1785</v>
      </c>
      <c r="I29" s="823" t="s">
        <v>1786</v>
      </c>
      <c r="J29" s="824">
        <f ca="1">ROUND(J26/(1+F40)^F41,0)</f>
        <v>0</v>
      </c>
      <c r="K29" s="825" t="s">
        <v>1787</v>
      </c>
      <c r="L29" s="826"/>
      <c r="M29" s="827">
        <f ca="1">INDIRECT("'数据-取费表'!k"&amp;$G$1)</f>
        <v>96343.56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612</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442.4</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254.2</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173.7</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14.5</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96343.56</v>
      </c>
      <c r="G35" s="2046"/>
      <c r="H35" s="2049"/>
      <c r="I35" s="836" t="s">
        <v>1812</v>
      </c>
      <c r="J35" s="837">
        <f ca="1">ROUND(C13*J36,0)</f>
        <v>1241</v>
      </c>
      <c r="K35" s="2062"/>
      <c r="L35" s="2061"/>
      <c r="M35" s="2061"/>
    </row>
    <row r="36" spans="1:18" ht="18" customHeight="1">
      <c r="A36" s="1633" t="s">
        <v>1887</v>
      </c>
      <c r="B36" s="783" t="s">
        <v>1800</v>
      </c>
      <c r="C36" s="53">
        <f ca="1">ROUND(C29*F36,1)</f>
        <v>124.1</v>
      </c>
      <c r="D36" s="1961" t="s">
        <v>1801</v>
      </c>
      <c r="E36" s="783" t="s">
        <v>1794</v>
      </c>
      <c r="F36" s="816">
        <f ca="1">INDIRECT("'数据-取费表'!Ak"&amp;$G$1)</f>
        <v>6.0000000000000001E-3</v>
      </c>
      <c r="G36" s="2046"/>
      <c r="H36" s="2061"/>
      <c r="I36" s="838" t="s">
        <v>1813</v>
      </c>
      <c r="J36" s="839">
        <f ca="1">INDIRECT("'数据-取费表'!j"&amp;$G$1)</f>
        <v>0.06</v>
      </c>
      <c r="K36" s="2066"/>
      <c r="L36" s="2061"/>
      <c r="M36" s="2061"/>
    </row>
    <row r="37" spans="1:18" ht="18" customHeight="1">
      <c r="A37" s="1633" t="s">
        <v>1888</v>
      </c>
      <c r="B37" s="783" t="s">
        <v>679</v>
      </c>
      <c r="C37" s="53">
        <f ca="1">ROUND(C13*F37,1)</f>
        <v>20.7</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666</v>
      </c>
      <c r="C38" s="2507">
        <f ca="1">ROUND(C5*F38,1)</f>
        <v>24.3</v>
      </c>
      <c r="D38" s="2508" t="s">
        <v>1803</v>
      </c>
      <c r="E38" s="2509" t="s">
        <v>1794</v>
      </c>
      <c r="F38" s="2505">
        <f ca="1">INDIRECT("'数据-取费表'!Am"&amp;$G$1)</f>
        <v>5.0000000000000001E-3</v>
      </c>
      <c r="G38" s="2046"/>
      <c r="H38" s="2061"/>
      <c r="I38" s="842" t="s">
        <v>1815</v>
      </c>
      <c r="J38" s="843"/>
      <c r="K38" s="2067"/>
      <c r="L38" s="2061"/>
      <c r="M38" s="2061"/>
    </row>
    <row r="39" spans="1:18" ht="24.6" customHeight="1" thickTop="1">
      <c r="A39" s="1813" t="s">
        <v>1892</v>
      </c>
      <c r="B39" s="2959" t="s">
        <v>2815</v>
      </c>
      <c r="C39" s="791">
        <f ca="1">C5-C30</f>
        <v>4247</v>
      </c>
      <c r="D39" s="2511" t="s">
        <v>1804</v>
      </c>
      <c r="E39" s="2512"/>
      <c r="F39" s="2513"/>
      <c r="G39" s="2046"/>
      <c r="H39" s="2061"/>
      <c r="I39" s="836" t="s">
        <v>1816</v>
      </c>
      <c r="J39" s="844">
        <f ca="1">ROUND(J35/C39,3)</f>
        <v>0.29199999999999998</v>
      </c>
      <c r="K39" s="2067"/>
      <c r="L39" s="2061"/>
      <c r="M39" s="2061"/>
    </row>
    <row r="40" spans="1:18" ht="18" customHeight="1">
      <c r="A40" s="780" t="s">
        <v>1893</v>
      </c>
      <c r="B40" s="2216" t="s">
        <v>2296</v>
      </c>
      <c r="C40" s="782">
        <f ca="1">ROUND(C39*(1-((1+F42)/(1+F40))^F41)/(F40-F42),0)</f>
        <v>91235</v>
      </c>
      <c r="D40" s="813" t="s">
        <v>1805</v>
      </c>
      <c r="E40" s="783" t="s">
        <v>2414</v>
      </c>
      <c r="F40" s="793">
        <f ca="1">INDIRECT("'数据-取费表'!I"&amp;$G$1)</f>
        <v>0.04</v>
      </c>
      <c r="G40" s="2046"/>
      <c r="H40" s="2046"/>
      <c r="I40" s="836" t="s">
        <v>1817</v>
      </c>
      <c r="J40" s="844">
        <f ca="1">1-J39</f>
        <v>0.70799999999999996</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v>
      </c>
      <c r="G42" s="2046"/>
      <c r="H42" s="1972"/>
      <c r="I42" s="846" t="s">
        <v>1819</v>
      </c>
      <c r="J42" s="844">
        <f ca="1">ROUND(C13/C40,3)</f>
        <v>0.22700000000000001</v>
      </c>
      <c r="K42" s="2066"/>
      <c r="L42" s="1972"/>
      <c r="M42" s="1972"/>
    </row>
    <row r="43" spans="1:18" ht="18" customHeight="1" thickBot="1">
      <c r="A43" s="822" t="s">
        <v>1785</v>
      </c>
      <c r="B43" s="823" t="s">
        <v>1808</v>
      </c>
      <c r="C43" s="824">
        <f ca="1">ROUND(C40*10000/F43,0)</f>
        <v>9470</v>
      </c>
      <c r="D43" s="825" t="s">
        <v>1809</v>
      </c>
      <c r="E43" s="826" t="s">
        <v>1810</v>
      </c>
      <c r="F43" s="827">
        <f ca="1">INDIRECT("'数据-取费表'!k"&amp;$G$1)</f>
        <v>96343.56</v>
      </c>
      <c r="G43" s="2046"/>
      <c r="H43" s="1972"/>
      <c r="I43" s="846" t="s">
        <v>1820</v>
      </c>
      <c r="J43" s="847">
        <f ca="1">1-J42</f>
        <v>0.77300000000000002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-98389</v>
      </c>
      <c r="D46" s="2069"/>
      <c r="E46" s="2069"/>
      <c r="F46" s="2069"/>
      <c r="I46" s="2341" t="s">
        <v>2338</v>
      </c>
      <c r="J46" s="2342"/>
      <c r="K46" s="2343"/>
      <c r="L46" s="309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82" t="s">
        <v>2339</v>
      </c>
      <c r="J47" s="2344" t="s">
        <v>3170</v>
      </c>
      <c r="K47" s="3088" t="s">
        <v>2344</v>
      </c>
      <c r="L47" s="309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62" t="s">
        <v>2340</v>
      </c>
      <c r="J48" s="2345" t="s">
        <v>2363</v>
      </c>
      <c r="K48" s="3089" t="s">
        <v>2346</v>
      </c>
      <c r="L48" s="1892">
        <f ca="1">INDIRECT("'数据-取费表'!f"&amp;$G$1)</f>
        <v>50</v>
      </c>
      <c r="O48" s="2361" t="s">
        <v>2374</v>
      </c>
      <c r="P48" s="2362" t="s">
        <v>2400</v>
      </c>
      <c r="Q48" s="2363">
        <f ca="1">C40+J29</f>
        <v>91235</v>
      </c>
      <c r="R48" s="2362" t="s">
        <v>2375</v>
      </c>
    </row>
    <row r="49" spans="1:18" s="2043" customFormat="1" ht="18" customHeight="1" thickBot="1">
      <c r="A49" s="785"/>
      <c r="B49" s="786"/>
      <c r="C49" s="787"/>
      <c r="D49" s="788"/>
      <c r="E49" s="783" t="s">
        <v>1737</v>
      </c>
      <c r="F49" s="784">
        <f ca="1">F7</f>
        <v>96343.56</v>
      </c>
      <c r="G49" s="2074"/>
      <c r="H49" s="2077"/>
      <c r="I49" s="3062" t="s">
        <v>2341</v>
      </c>
      <c r="J49" s="2346"/>
      <c r="K49" s="309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62" t="s">
        <v>2342</v>
      </c>
      <c r="J50" s="3086">
        <f>SUMPRODUCT((I63:I65=J47)*(J62:L62=J48)*(J63:L65))</f>
        <v>50</v>
      </c>
      <c r="K50" s="3090" t="s">
        <v>2348</v>
      </c>
      <c r="L50" s="2347"/>
      <c r="O50" s="2364" t="s">
        <v>2378</v>
      </c>
      <c r="P50" s="2362" t="s">
        <v>2402</v>
      </c>
      <c r="Q50" s="2363">
        <f ca="1">C29</f>
        <v>20677</v>
      </c>
      <c r="R50" s="2362" t="s">
        <v>2375</v>
      </c>
    </row>
    <row r="51" spans="1:18" s="2043" customFormat="1" ht="18" customHeight="1" thickBot="1">
      <c r="A51" s="785"/>
      <c r="B51" s="786"/>
      <c r="C51" s="787"/>
      <c r="D51" s="788"/>
      <c r="E51" s="783" t="s">
        <v>640</v>
      </c>
      <c r="F51" s="2334"/>
      <c r="H51" s="2077"/>
      <c r="I51" s="3083" t="s">
        <v>2343</v>
      </c>
      <c r="J51" s="3087">
        <f>IF(J49="",J50,J49+J50-YEAR('数据-取费表'!B2))</f>
        <v>50</v>
      </c>
      <c r="K51" s="3062" t="s">
        <v>2349</v>
      </c>
      <c r="L51" s="3093">
        <f ca="1">ROUND(-PV(INDIRECT("'数据-取费表'!h"&amp;$G$1),J51,(C39-C13*J36),0),0)</f>
        <v>70517</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2967</v>
      </c>
      <c r="E52" s="2461" t="s">
        <v>2459</v>
      </c>
      <c r="F52" s="2584"/>
      <c r="I52" s="3084" t="s">
        <v>2416</v>
      </c>
      <c r="J52" s="2348"/>
      <c r="K52" s="308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85" t="s">
        <v>2970</v>
      </c>
      <c r="J53" s="3164">
        <f ca="1">IF(M47="住宅",IF(D1="——",MAX(J51,L48),MAX(J51,L48-'数据-取费表'!B20)),IF(D1="——",MIN(J51,L48),MIN(J51,L48-'数据-取费表'!B20)))</f>
        <v>50</v>
      </c>
      <c r="K53" s="3497" t="s">
        <v>2959</v>
      </c>
      <c r="L53" s="3498"/>
      <c r="O53" s="2364" t="s">
        <v>2383</v>
      </c>
      <c r="P53" s="2362" t="s">
        <v>2384</v>
      </c>
      <c r="Q53" s="2363">
        <f ca="1">J53</f>
        <v>50</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2386</v>
      </c>
      <c r="P54" s="2362" t="s">
        <v>2403</v>
      </c>
      <c r="Q54" s="2363">
        <f ca="1">Q48+Q49</f>
        <v>91235</v>
      </c>
      <c r="R54" s="2366" t="s">
        <v>2387</v>
      </c>
    </row>
    <row r="55" spans="1:18" s="2043" customFormat="1" ht="18" customHeight="1" thickTop="1" thickBot="1">
      <c r="A55" s="796">
        <v>2</v>
      </c>
      <c r="B55" s="797" t="s">
        <v>644</v>
      </c>
      <c r="C55" s="798">
        <f ca="1">C13</f>
        <v>20677</v>
      </c>
      <c r="D55" s="794"/>
      <c r="E55" s="794"/>
      <c r="F55" s="799"/>
      <c r="I55" s="3096" t="s">
        <v>2350</v>
      </c>
      <c r="J55" s="3044" t="e">
        <f ca="1">ROUND(IF(J47="钢混",J57/J50,1-(1-2%)*(J50-J57)/J50),3)</f>
        <v>#VALUE!</v>
      </c>
      <c r="K55" s="3097" t="s">
        <v>2351</v>
      </c>
      <c r="L55" s="2349"/>
      <c r="O55" s="2367" t="s">
        <v>2406</v>
      </c>
      <c r="P55" s="1577"/>
      <c r="Q55" s="1588"/>
      <c r="R55" s="1577"/>
    </row>
    <row r="56" spans="1:18" s="2043" customFormat="1" ht="42.75" customHeight="1" thickBot="1">
      <c r="A56" s="1634"/>
      <c r="B56" s="2215" t="s">
        <v>2297</v>
      </c>
      <c r="C56" s="53">
        <f ca="1">C29</f>
        <v>20677</v>
      </c>
      <c r="D56" s="2602"/>
      <c r="E56" s="783"/>
      <c r="F56" s="808"/>
      <c r="I56" s="3098" t="s">
        <v>2352</v>
      </c>
      <c r="J56" s="3108" t="s">
        <v>1676</v>
      </c>
      <c r="K56" s="3062" t="s">
        <v>2357</v>
      </c>
      <c r="L56" s="1892">
        <f ca="1">IF(L48&lt;J51,"——",L48-J51)</f>
        <v>0</v>
      </c>
      <c r="O56" s="2358" t="s">
        <v>2370</v>
      </c>
      <c r="P56" s="2359" t="s">
        <v>2371</v>
      </c>
      <c r="Q56" s="2360" t="s">
        <v>2372</v>
      </c>
      <c r="R56" s="2359" t="s">
        <v>2373</v>
      </c>
    </row>
    <row r="57" spans="1:18" s="2043" customFormat="1" ht="28.5" customHeight="1" thickBot="1">
      <c r="A57" s="796" t="s">
        <v>1746</v>
      </c>
      <c r="B57" s="797" t="s">
        <v>651</v>
      </c>
      <c r="C57" s="798">
        <f ca="1">ROUND(C58+C63+C64+C65,0)</f>
        <v>333</v>
      </c>
      <c r="D57" s="26" t="s">
        <v>1748</v>
      </c>
      <c r="E57" s="2603"/>
      <c r="F57" s="56"/>
      <c r="I57" s="3099" t="s">
        <v>2353</v>
      </c>
      <c r="J57" s="3100" t="str">
        <f ca="1">IF(OR(M47="住宅",J51&lt;L48,J56="是"),"——",J51-L48)</f>
        <v>——</v>
      </c>
      <c r="K57" s="3062" t="s">
        <v>2358</v>
      </c>
      <c r="L57" s="1892">
        <f ca="1">IF(L48&lt;J51,"——",IF(L55="比较法",L49,IF(L55="基准地价",L50,L51)))</f>
        <v>70517</v>
      </c>
      <c r="O57" s="2361" t="s">
        <v>2374</v>
      </c>
      <c r="P57" s="2362" t="s">
        <v>2404</v>
      </c>
      <c r="Q57" s="2363">
        <f ca="1">C40+J29</f>
        <v>91235</v>
      </c>
      <c r="R57" s="2362" t="s">
        <v>2375</v>
      </c>
    </row>
    <row r="58" spans="1:18" s="2043" customFormat="1" ht="28.5" customHeight="1" thickBot="1">
      <c r="A58" s="1633" t="s">
        <v>1822</v>
      </c>
      <c r="B58" s="783" t="s">
        <v>656</v>
      </c>
      <c r="C58" s="53">
        <f ca="1">ROUND(IF(项目基本情况!B11="自然人",C47*F58,C59+C60+C61),1)</f>
        <v>188.2</v>
      </c>
      <c r="D58" s="2601" t="s">
        <v>657</v>
      </c>
      <c r="E58" s="2602" t="s">
        <v>690</v>
      </c>
      <c r="F58" s="809" t="str">
        <f ca="1">IF(项目基本情况!B11="企业","",IF(INDIRECT("'数据-取费表'!c"&amp;$G$1)="住宅",5%,IF(F48*F49*F50/12/(1+'数据-取费表'!C42)&gt;20000,12%,7%)))</f>
        <v/>
      </c>
      <c r="I58" s="3099" t="s">
        <v>2354</v>
      </c>
      <c r="J58" s="3045" t="e">
        <f ca="1">IF(J55&lt;0.4,0.4,J55)</f>
        <v>#VALUE!</v>
      </c>
      <c r="K58" s="3062" t="s">
        <v>2359</v>
      </c>
      <c r="L58" s="1892" t="e">
        <f ca="1">ROUND(POWER(1+L52,L47-L48)*(POWER(1+L52,L48)-1)/(POWER(1+L52,L47)-1),4)</f>
        <v>#DIV/0!</v>
      </c>
      <c r="O58" s="2361" t="s">
        <v>2376</v>
      </c>
      <c r="P58" s="2362" t="s">
        <v>2407</v>
      </c>
      <c r="Q58" s="2363" t="e">
        <f ca="1">L60</f>
        <v>#DIV/0!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099" t="s">
        <v>2355</v>
      </c>
      <c r="J59" s="3100" t="str">
        <f ca="1">IF(OR(M47="住宅",J51&lt;L48,J56="是"),"——",ROUND(C29*J58,0))</f>
        <v>——</v>
      </c>
      <c r="K59" s="306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173.7</v>
      </c>
      <c r="D60" s="2602" t="str">
        <f>D33</f>
        <v>按房产原值计税</v>
      </c>
      <c r="E60" s="783" t="s">
        <v>1745</v>
      </c>
      <c r="F60" s="808">
        <f t="shared" si="0"/>
        <v>1.2E-2</v>
      </c>
      <c r="I60" s="3101" t="s">
        <v>2356</v>
      </c>
      <c r="J60" s="3102" t="str">
        <f ca="1">IF(OR(M47="住宅",J51&lt;L48,J56="是"),"0",ROUND(J59/(1+J52)^J53,0))</f>
        <v>0</v>
      </c>
      <c r="K60" s="3103" t="s">
        <v>2361</v>
      </c>
      <c r="L60" s="3102" t="e">
        <f ca="1">IF(OR(M47="住宅",L48&lt;J51),0,ROUND(L57*(L58/L59-1),0))</f>
        <v>#DIV/0!</v>
      </c>
      <c r="O60" s="2364" t="s">
        <v>2379</v>
      </c>
      <c r="P60" s="2362" t="s">
        <v>2388</v>
      </c>
      <c r="Q60" s="2365">
        <f>L52</f>
        <v>0</v>
      </c>
      <c r="R60" s="2366"/>
    </row>
    <row r="61" spans="1:18" s="2043" customFormat="1" ht="18" customHeight="1" thickBot="1">
      <c r="A61" s="1635" t="s">
        <v>1831</v>
      </c>
      <c r="B61" s="341" t="s">
        <v>668</v>
      </c>
      <c r="C61" s="54">
        <f ca="1">ROUND(F61*F62/10000,1)</f>
        <v>14.5</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96343.56</v>
      </c>
      <c r="I62" s="3104" t="s">
        <v>2362</v>
      </c>
      <c r="J62" s="3105" t="s">
        <v>2363</v>
      </c>
      <c r="K62" s="3105" t="s">
        <v>2364</v>
      </c>
      <c r="L62" s="3105" t="s">
        <v>2345</v>
      </c>
      <c r="M62" s="310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124.1</v>
      </c>
      <c r="D63" s="2602" t="s">
        <v>1801</v>
      </c>
      <c r="E63" s="783" t="s">
        <v>1745</v>
      </c>
      <c r="F63" s="816">
        <f t="shared" ca="1" si="0"/>
        <v>6.0000000000000001E-3</v>
      </c>
      <c r="I63" s="3104" t="s">
        <v>2365</v>
      </c>
      <c r="J63" s="3105">
        <v>70</v>
      </c>
      <c r="K63" s="3105">
        <v>50</v>
      </c>
      <c r="L63" s="3105">
        <v>80</v>
      </c>
      <c r="M63" s="3107">
        <v>0.02</v>
      </c>
      <c r="O63" s="2361" t="s">
        <v>2386</v>
      </c>
      <c r="P63" s="2362" t="s">
        <v>2403</v>
      </c>
      <c r="Q63" s="2363" t="e">
        <f ca="1">Q57+Q58</f>
        <v>#DIV/0!</v>
      </c>
      <c r="R63" s="2366" t="s">
        <v>2387</v>
      </c>
    </row>
    <row r="64" spans="1:18" s="2043" customFormat="1" ht="16.5" thickBot="1">
      <c r="A64" s="1633" t="s">
        <v>1888</v>
      </c>
      <c r="B64" s="783" t="s">
        <v>679</v>
      </c>
      <c r="C64" s="53">
        <f ca="1">ROUND(C55*F64,1)</f>
        <v>20.7</v>
      </c>
      <c r="D64" s="2602" t="s">
        <v>680</v>
      </c>
      <c r="E64" s="783" t="s">
        <v>1745</v>
      </c>
      <c r="F64" s="817">
        <f t="shared" ca="1" si="0"/>
        <v>1E-3</v>
      </c>
      <c r="I64" s="3104" t="s">
        <v>2366</v>
      </c>
      <c r="J64" s="3105">
        <v>50</v>
      </c>
      <c r="K64" s="3105">
        <v>35</v>
      </c>
      <c r="L64" s="310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5.0000000000000001E-3</v>
      </c>
      <c r="I65" s="3104" t="s">
        <v>2367</v>
      </c>
      <c r="J65" s="3105">
        <v>40</v>
      </c>
      <c r="K65" s="3105">
        <v>30</v>
      </c>
      <c r="L65" s="3105">
        <v>50</v>
      </c>
      <c r="M65" s="3107">
        <v>0.02</v>
      </c>
      <c r="O65" s="2358" t="s">
        <v>2370</v>
      </c>
      <c r="P65" s="2359" t="s">
        <v>2371</v>
      </c>
      <c r="Q65" s="2360" t="s">
        <v>2372</v>
      </c>
      <c r="R65" s="2359" t="s">
        <v>2373</v>
      </c>
    </row>
    <row r="66" spans="1:18" s="2043" customFormat="1" ht="24.75" thickBot="1">
      <c r="A66" s="796" t="s">
        <v>1774</v>
      </c>
      <c r="B66" s="2960" t="s">
        <v>2815</v>
      </c>
      <c r="C66" s="798">
        <f ca="1">C47-C57</f>
        <v>-333</v>
      </c>
      <c r="D66" s="2601" t="s">
        <v>700</v>
      </c>
      <c r="E66" s="2600"/>
      <c r="F66" s="819"/>
      <c r="K66" s="2070"/>
      <c r="O66" s="2361" t="s">
        <v>2374</v>
      </c>
      <c r="P66" s="2362" t="s">
        <v>2404</v>
      </c>
      <c r="Q66" s="2363">
        <f ca="1">C40+J29</f>
        <v>91235</v>
      </c>
      <c r="R66" s="2362" t="s">
        <v>2375</v>
      </c>
    </row>
    <row r="67" spans="1:18" s="2043" customFormat="1" ht="20.25" thickBot="1">
      <c r="A67" s="780" t="s">
        <v>1778</v>
      </c>
      <c r="B67" s="2216" t="s">
        <v>2296</v>
      </c>
      <c r="C67" s="782">
        <f ca="1">ROUND(C66*(1-((1+F69)/(1+F67))^F68)/(F67-F69),0)</f>
        <v>-7154</v>
      </c>
      <c r="D67" s="813" t="s">
        <v>704</v>
      </c>
      <c r="E67" s="783" t="s">
        <v>705</v>
      </c>
      <c r="F67" s="793">
        <f ca="1">F40</f>
        <v>0.04</v>
      </c>
      <c r="K67" s="2070"/>
      <c r="O67" s="2361" t="s">
        <v>2376</v>
      </c>
      <c r="P67" s="2362" t="s">
        <v>2407</v>
      </c>
      <c r="Q67" s="2363" t="e">
        <f ca="1">L60</f>
        <v>#DIV/0!</v>
      </c>
      <c r="R67" s="2366" t="s">
        <v>2409</v>
      </c>
    </row>
    <row r="68" spans="1:18" ht="21.75" thickBot="1">
      <c r="A68" s="785"/>
      <c r="B68" s="786"/>
      <c r="C68" s="787"/>
      <c r="D68" s="820" t="s">
        <v>1806</v>
      </c>
      <c r="E68" s="783" t="s">
        <v>1782</v>
      </c>
      <c r="F68" s="821">
        <f ca="1">F41</f>
        <v>50</v>
      </c>
      <c r="O68" s="2364" t="s">
        <v>2378</v>
      </c>
      <c r="P68" s="2362" t="s">
        <v>2408</v>
      </c>
      <c r="Q68" s="2368">
        <f ca="1">L51</f>
        <v>70517</v>
      </c>
      <c r="R68" s="2369" t="s">
        <v>2411</v>
      </c>
    </row>
    <row r="69" spans="1:18" ht="20.25" thickBot="1">
      <c r="A69" s="789"/>
      <c r="B69" s="790"/>
      <c r="C69" s="791"/>
      <c r="D69" s="815"/>
      <c r="E69" s="783" t="s">
        <v>710</v>
      </c>
      <c r="F69" s="2334"/>
      <c r="O69" s="2364" t="s">
        <v>2379</v>
      </c>
      <c r="P69" s="2370" t="s">
        <v>2393</v>
      </c>
      <c r="Q69" s="2363">
        <f ca="1">ROUND(Q70-Q71*Q72,0)</f>
        <v>3006</v>
      </c>
      <c r="R69" s="2366"/>
    </row>
    <row r="70" spans="1:18" ht="15.75" thickBot="1">
      <c r="A70" s="822" t="s">
        <v>1785</v>
      </c>
      <c r="B70" s="823" t="s">
        <v>1808</v>
      </c>
      <c r="C70" s="824">
        <f ca="1">ROUND(C67*10000/F70,0)</f>
        <v>-743</v>
      </c>
      <c r="D70" s="825" t="s">
        <v>1809</v>
      </c>
      <c r="E70" s="826" t="s">
        <v>1810</v>
      </c>
      <c r="F70" s="827">
        <f ca="1">F43</f>
        <v>96343.56</v>
      </c>
      <c r="O70" s="2364" t="s">
        <v>2394</v>
      </c>
      <c r="P70" s="2370" t="s">
        <v>2395</v>
      </c>
      <c r="Q70" s="2363">
        <f ca="1">C39</f>
        <v>4247</v>
      </c>
      <c r="R70" s="2362" t="s">
        <v>2375</v>
      </c>
    </row>
    <row r="71" spans="1:18" ht="15.75" thickBot="1">
      <c r="O71" s="2364" t="s">
        <v>2396</v>
      </c>
      <c r="P71" s="2370" t="s">
        <v>2397</v>
      </c>
      <c r="Q71" s="2363">
        <f ca="1">C13</f>
        <v>20677</v>
      </c>
      <c r="R71" s="2362" t="s">
        <v>2375</v>
      </c>
    </row>
    <row r="72" spans="1:18" ht="15.75" thickBot="1">
      <c r="O72" s="2364" t="s">
        <v>2398</v>
      </c>
      <c r="P72" s="2370" t="s">
        <v>2399</v>
      </c>
      <c r="Q72" s="2365">
        <f ca="1">J36</f>
        <v>0.06</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t="e">
        <f ca="1">Q66+Q67</f>
        <v>#DIV/0!</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9" t="s">
        <v>2466</v>
      </c>
      <c r="B1" s="3520"/>
      <c r="C1" s="3521"/>
      <c r="D1" s="3522">
        <f>SUM(I10,I15,I20,I21,I23)</f>
        <v>0</v>
      </c>
      <c r="E1" s="3522"/>
      <c r="F1" s="3522"/>
      <c r="G1" s="3522"/>
      <c r="H1" s="3522"/>
      <c r="I1" s="3523"/>
    </row>
    <row r="2" spans="1:9">
      <c r="A2" s="3509" t="s">
        <v>2467</v>
      </c>
      <c r="B2" s="3510" t="s">
        <v>2468</v>
      </c>
      <c r="C2" s="3510"/>
      <c r="D2" s="2470" t="s">
        <v>2469</v>
      </c>
      <c r="E2" s="2470" t="s">
        <v>2470</v>
      </c>
      <c r="F2" s="2470" t="s">
        <v>2471</v>
      </c>
      <c r="G2" s="2470" t="s">
        <v>2472</v>
      </c>
      <c r="H2" s="2470" t="s">
        <v>2473</v>
      </c>
      <c r="I2" s="2471" t="s">
        <v>2474</v>
      </c>
    </row>
    <row r="3" spans="1:9">
      <c r="A3" s="3509"/>
      <c r="B3" s="3510" t="s">
        <v>2475</v>
      </c>
      <c r="C3" s="3510"/>
      <c r="D3" s="2472"/>
      <c r="E3" s="2470"/>
      <c r="F3" s="2473"/>
      <c r="G3" s="2473"/>
      <c r="H3" s="2474"/>
      <c r="I3" s="2475">
        <f>ROUND(D3*E3*F3*G3*H3/10000,0)</f>
        <v>0</v>
      </c>
    </row>
    <row r="4" spans="1:9">
      <c r="A4" s="3509"/>
      <c r="B4" s="3510" t="s">
        <v>2476</v>
      </c>
      <c r="C4" s="3510"/>
      <c r="D4" s="2472"/>
      <c r="E4" s="2470"/>
      <c r="F4" s="2473"/>
      <c r="G4" s="2473"/>
      <c r="H4" s="2474"/>
      <c r="I4" s="2475">
        <f t="shared" ref="I4:I9" si="0">ROUND(D4*E4*F4*G4*H4/10000,0)</f>
        <v>0</v>
      </c>
    </row>
    <row r="5" spans="1:9">
      <c r="A5" s="3509"/>
      <c r="B5" s="3510" t="s">
        <v>2477</v>
      </c>
      <c r="C5" s="3510"/>
      <c r="D5" s="2472"/>
      <c r="E5" s="2470"/>
      <c r="F5" s="2473"/>
      <c r="G5" s="2473"/>
      <c r="H5" s="2474"/>
      <c r="I5" s="2475">
        <f t="shared" si="0"/>
        <v>0</v>
      </c>
    </row>
    <row r="6" spans="1:9">
      <c r="A6" s="3509"/>
      <c r="B6" s="3510" t="s">
        <v>2478</v>
      </c>
      <c r="C6" s="3510"/>
      <c r="D6" s="2472"/>
      <c r="E6" s="2470"/>
      <c r="F6" s="2473"/>
      <c r="G6" s="2473"/>
      <c r="H6" s="2474"/>
      <c r="I6" s="2475">
        <f t="shared" si="0"/>
        <v>0</v>
      </c>
    </row>
    <row r="7" spans="1:9">
      <c r="A7" s="3509"/>
      <c r="B7" s="3510" t="s">
        <v>2479</v>
      </c>
      <c r="C7" s="3510"/>
      <c r="D7" s="2472"/>
      <c r="E7" s="2470"/>
      <c r="F7" s="2473"/>
      <c r="G7" s="2473"/>
      <c r="H7" s="2474"/>
      <c r="I7" s="2475">
        <f t="shared" si="0"/>
        <v>0</v>
      </c>
    </row>
    <row r="8" spans="1:9">
      <c r="A8" s="3509"/>
      <c r="B8" s="3510" t="s">
        <v>2480</v>
      </c>
      <c r="C8" s="3510"/>
      <c r="D8" s="2472"/>
      <c r="E8" s="2470"/>
      <c r="F8" s="2473"/>
      <c r="G8" s="2473"/>
      <c r="H8" s="2474"/>
      <c r="I8" s="2475">
        <f t="shared" si="0"/>
        <v>0</v>
      </c>
    </row>
    <row r="9" spans="1:9">
      <c r="A9" s="3509"/>
      <c r="B9" s="3510" t="s">
        <v>2481</v>
      </c>
      <c r="C9" s="3510"/>
      <c r="D9" s="2472"/>
      <c r="E9" s="2470"/>
      <c r="F9" s="2473"/>
      <c r="G9" s="2473"/>
      <c r="H9" s="2474"/>
      <c r="I9" s="2475">
        <f t="shared" si="0"/>
        <v>0</v>
      </c>
    </row>
    <row r="10" spans="1:9">
      <c r="A10" s="3509"/>
      <c r="B10" s="3511" t="s">
        <v>2482</v>
      </c>
      <c r="C10" s="3511"/>
      <c r="D10" s="2476">
        <v>527</v>
      </c>
      <c r="E10" s="2476" t="e">
        <f>ROUND(D1*10000/D10/H9,0)</f>
        <v>#DIV/0!</v>
      </c>
      <c r="F10" s="2477"/>
      <c r="G10" s="2477"/>
      <c r="H10" s="2478"/>
      <c r="I10" s="2479">
        <f>SUM(I3:I9)</f>
        <v>0</v>
      </c>
    </row>
    <row r="11" spans="1:9" ht="14.25">
      <c r="A11" s="3509" t="s">
        <v>2483</v>
      </c>
      <c r="B11" s="3510" t="s">
        <v>2484</v>
      </c>
      <c r="C11" s="3510"/>
      <c r="D11" s="2472" t="s">
        <v>2485</v>
      </c>
      <c r="E11" s="2472" t="s">
        <v>2486</v>
      </c>
      <c r="F11" s="2473" t="s">
        <v>2487</v>
      </c>
      <c r="G11" s="2473" t="s">
        <v>2488</v>
      </c>
      <c r="H11" s="2480" t="s">
        <v>2489</v>
      </c>
      <c r="I11" s="2471" t="s">
        <v>2490</v>
      </c>
    </row>
    <row r="12" spans="1:9">
      <c r="A12" s="3509"/>
      <c r="B12" s="3510" t="s">
        <v>2491</v>
      </c>
      <c r="C12" s="3510"/>
      <c r="D12" s="2472"/>
      <c r="E12" s="2472"/>
      <c r="F12" s="2473"/>
      <c r="G12" s="2474"/>
      <c r="H12" s="2481"/>
      <c r="I12" s="2471">
        <f>ROUND(D12*E12*F12*G12/10000,0)</f>
        <v>0</v>
      </c>
    </row>
    <row r="13" spans="1:9">
      <c r="A13" s="3509"/>
      <c r="B13" s="3510" t="s">
        <v>2492</v>
      </c>
      <c r="C13" s="3510"/>
      <c r="D13" s="2472"/>
      <c r="E13" s="2472"/>
      <c r="F13" s="2473"/>
      <c r="G13" s="2474"/>
      <c r="H13" s="2481"/>
      <c r="I13" s="2471">
        <f>ROUND(D13*E13*F13*G13/10000,0)</f>
        <v>0</v>
      </c>
    </row>
    <row r="14" spans="1:9">
      <c r="A14" s="3509"/>
      <c r="B14" s="3510" t="s">
        <v>2493</v>
      </c>
      <c r="C14" s="3510"/>
      <c r="D14" s="2472"/>
      <c r="E14" s="2472"/>
      <c r="F14" s="2473"/>
      <c r="G14" s="2474"/>
      <c r="H14" s="2481"/>
      <c r="I14" s="2471">
        <f>ROUND(D14*E14*F14*G14/10000,0)</f>
        <v>0</v>
      </c>
    </row>
    <row r="15" spans="1:9">
      <c r="A15" s="3509"/>
      <c r="B15" s="3511" t="s">
        <v>2482</v>
      </c>
      <c r="C15" s="3511"/>
      <c r="D15" s="2476"/>
      <c r="E15" s="2476">
        <f>SUM(E12:E14)</f>
        <v>0</v>
      </c>
      <c r="F15" s="2477"/>
      <c r="G15" s="2474"/>
      <c r="H15" s="2481"/>
      <c r="I15" s="2482">
        <f>SUM(I12:I14)</f>
        <v>0</v>
      </c>
    </row>
    <row r="16" spans="1:9" ht="24">
      <c r="A16" s="3509" t="s">
        <v>2494</v>
      </c>
      <c r="B16" s="3510" t="s">
        <v>2495</v>
      </c>
      <c r="C16" s="3510"/>
      <c r="D16" s="2472" t="s">
        <v>2496</v>
      </c>
      <c r="E16" s="2483" t="s">
        <v>2497</v>
      </c>
      <c r="F16" s="2473" t="s">
        <v>2498</v>
      </c>
      <c r="G16" s="2474" t="s">
        <v>2488</v>
      </c>
      <c r="H16" s="2480" t="s">
        <v>2489</v>
      </c>
      <c r="I16" s="2471" t="s">
        <v>2490</v>
      </c>
    </row>
    <row r="17" spans="1:9" ht="14.25">
      <c r="A17" s="3509"/>
      <c r="B17" s="3510" t="s">
        <v>2499</v>
      </c>
      <c r="C17" s="3510"/>
      <c r="D17" s="2472"/>
      <c r="E17" s="2472"/>
      <c r="F17" s="2473"/>
      <c r="G17" s="2474"/>
      <c r="H17" s="2484"/>
      <c r="I17" s="2485">
        <f>ROUND(D17*E17*F17*G17/10000,0)</f>
        <v>0</v>
      </c>
    </row>
    <row r="18" spans="1:9" ht="14.25">
      <c r="A18" s="3509"/>
      <c r="B18" s="3510" t="s">
        <v>2500</v>
      </c>
      <c r="C18" s="3510"/>
      <c r="D18" s="2472"/>
      <c r="E18" s="2472"/>
      <c r="F18" s="2473"/>
      <c r="G18" s="2474"/>
      <c r="H18" s="2484"/>
      <c r="I18" s="2485">
        <f>ROUND(D18*E18*F18*G18/10000,0)</f>
        <v>0</v>
      </c>
    </row>
    <row r="19" spans="1:9" ht="14.25">
      <c r="A19" s="3509"/>
      <c r="B19" s="3510" t="s">
        <v>2501</v>
      </c>
      <c r="C19" s="3510"/>
      <c r="D19" s="2472"/>
      <c r="E19" s="2472"/>
      <c r="F19" s="2473"/>
      <c r="G19" s="2474"/>
      <c r="H19" s="2484"/>
      <c r="I19" s="2485">
        <f>ROUND(D19*E19*F19*G19/10000,0)</f>
        <v>0</v>
      </c>
    </row>
    <row r="20" spans="1:9">
      <c r="A20" s="3509"/>
      <c r="B20" s="3511" t="s">
        <v>2482</v>
      </c>
      <c r="C20" s="3511"/>
      <c r="D20" s="2476">
        <f>SUM(D17:D19)</f>
        <v>0</v>
      </c>
      <c r="E20" s="2476"/>
      <c r="F20" s="2477"/>
      <c r="G20" s="2474"/>
      <c r="H20" s="2481"/>
      <c r="I20" s="2482">
        <f>SUM(I17:I19)</f>
        <v>0</v>
      </c>
    </row>
    <row r="21" spans="1:9">
      <c r="A21" s="3509" t="s">
        <v>2502</v>
      </c>
      <c r="B21" s="3512"/>
      <c r="C21" s="3512"/>
      <c r="D21" s="3512"/>
      <c r="E21" s="3512"/>
      <c r="F21" s="3512"/>
      <c r="G21" s="3512"/>
      <c r="H21" s="2486">
        <v>0.1</v>
      </c>
      <c r="I21" s="2479">
        <f>ROUND(I10*H21,0)</f>
        <v>0</v>
      </c>
    </row>
    <row r="22" spans="1:9" ht="14.25">
      <c r="A22" s="3513" t="s">
        <v>2503</v>
      </c>
      <c r="B22" s="3514"/>
      <c r="C22" s="3515"/>
      <c r="D22" s="2487" t="s">
        <v>2504</v>
      </c>
      <c r="E22" s="2487" t="s">
        <v>2505</v>
      </c>
      <c r="F22" s="2488" t="s">
        <v>2506</v>
      </c>
      <c r="G22" s="2488" t="s">
        <v>2507</v>
      </c>
      <c r="H22" s="2480" t="s">
        <v>2508</v>
      </c>
      <c r="I22" s="2471" t="s">
        <v>2509</v>
      </c>
    </row>
    <row r="23" spans="1:9" ht="14.25" thickBot="1">
      <c r="A23" s="3516"/>
      <c r="B23" s="3517"/>
      <c r="C23" s="3518"/>
      <c r="D23" s="2489"/>
      <c r="E23" s="2489"/>
      <c r="F23" s="2489"/>
      <c r="G23" s="2490"/>
      <c r="H23" s="2491"/>
      <c r="I23" s="2492">
        <f>ROUND(E23*D23*F23*(1-G23)/10000,0)</f>
        <v>0</v>
      </c>
    </row>
    <row r="26" spans="1:9">
      <c r="A26" s="2493" t="s">
        <v>2510</v>
      </c>
      <c r="B26" s="2493"/>
      <c r="C26" s="2493"/>
      <c r="D26" s="2493"/>
      <c r="E26" s="3506">
        <f>C27-C30-C31-C32</f>
        <v>0</v>
      </c>
      <c r="F26" s="3506"/>
      <c r="G26" s="3506"/>
      <c r="H26" s="2992" t="s">
        <v>2835</v>
      </c>
    </row>
    <row r="27" spans="1:9">
      <c r="A27" s="2494">
        <v>1</v>
      </c>
      <c r="B27" s="2495" t="s">
        <v>2511</v>
      </c>
      <c r="C27" s="2495"/>
      <c r="D27" s="2495"/>
      <c r="E27" s="3507"/>
      <c r="F27" s="3507"/>
      <c r="G27" s="3507"/>
    </row>
    <row r="28" spans="1:9">
      <c r="A28" s="2496" t="s">
        <v>2512</v>
      </c>
      <c r="B28" s="2495" t="s">
        <v>2513</v>
      </c>
      <c r="C28" s="2495"/>
      <c r="D28" s="2495"/>
      <c r="E28" s="3507"/>
      <c r="F28" s="3507"/>
      <c r="G28" s="3507"/>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8"/>
      <c r="F32" s="3508"/>
      <c r="G32" s="3508"/>
    </row>
    <row r="33" spans="1:7" hidden="1">
      <c r="A33" s="3503" t="s">
        <v>2521</v>
      </c>
      <c r="B33" s="3504"/>
      <c r="C33" s="3504"/>
      <c r="D33" s="3505"/>
      <c r="E33" s="3506"/>
      <c r="F33" s="3506"/>
      <c r="G33" s="3506"/>
    </row>
    <row r="34" spans="1:7" hidden="1">
      <c r="A34" s="2498">
        <v>1</v>
      </c>
      <c r="B34" s="2495" t="s">
        <v>2522</v>
      </c>
      <c r="C34" s="2495"/>
      <c r="D34" s="2495"/>
      <c r="E34" s="3507"/>
      <c r="F34" s="3507"/>
      <c r="G34" s="3507"/>
    </row>
    <row r="35" spans="1:7" hidden="1">
      <c r="A35" s="2498">
        <v>2</v>
      </c>
      <c r="B35" s="2495" t="s">
        <v>2523</v>
      </c>
      <c r="C35" s="2495"/>
      <c r="D35" s="2495"/>
      <c r="E35" s="3507"/>
      <c r="F35" s="3507"/>
      <c r="G35" s="3507"/>
    </row>
    <row r="36" spans="1:7" hidden="1">
      <c r="A36" s="2498">
        <v>3</v>
      </c>
      <c r="B36" s="2495" t="s">
        <v>2524</v>
      </c>
      <c r="C36" s="2495"/>
      <c r="D36" s="2495"/>
      <c r="E36" s="3507"/>
      <c r="F36" s="3507"/>
      <c r="G36" s="3507"/>
    </row>
    <row r="37" spans="1:7" hidden="1">
      <c r="A37" s="2498">
        <v>4</v>
      </c>
      <c r="B37" s="2495" t="s">
        <v>2525</v>
      </c>
      <c r="C37" s="2495"/>
      <c r="D37" s="2495"/>
      <c r="E37" s="3507"/>
      <c r="F37" s="3507"/>
      <c r="G37" s="3507"/>
    </row>
    <row r="38" spans="1:7" hidden="1">
      <c r="A38" s="3503" t="s">
        <v>2526</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62" t="s">
        <v>522</v>
      </c>
      <c r="D4" s="3463"/>
      <c r="E4" s="3486" t="s">
        <v>523</v>
      </c>
      <c r="F4" s="3487"/>
      <c r="G4" s="3462" t="s">
        <v>524</v>
      </c>
      <c r="H4" s="3463"/>
      <c r="I4" s="3462" t="s">
        <v>525</v>
      </c>
      <c r="J4" s="3463"/>
      <c r="K4" s="852"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853"/>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853"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4"/>
      <c r="B7" s="2871" t="s">
        <v>529</v>
      </c>
      <c r="C7" s="519">
        <f>'数据-取费表'!B2</f>
        <v>44134</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48" t="s">
        <v>530</v>
      </c>
      <c r="Q7" s="3457"/>
      <c r="R7" s="1553" t="s">
        <v>13</v>
      </c>
      <c r="S7" s="1554">
        <f t="shared" ref="S7:S15" si="0">F7</f>
        <v>0</v>
      </c>
      <c r="T7" s="1553" t="s">
        <v>13</v>
      </c>
      <c r="U7" s="1554">
        <f t="shared" ref="U7:U15" si="1">H7</f>
        <v>0</v>
      </c>
      <c r="V7" s="1553" t="s">
        <v>13</v>
      </c>
      <c r="W7" s="1554">
        <f t="shared" ref="W7:W15"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48" t="s">
        <v>533</v>
      </c>
      <c r="Q8" s="3449"/>
      <c r="R8" s="1553" t="s">
        <v>13</v>
      </c>
      <c r="S8" s="1554">
        <f t="shared" si="0"/>
        <v>0</v>
      </c>
      <c r="T8" s="1553" t="s">
        <v>13</v>
      </c>
      <c r="U8" s="1554">
        <f t="shared" si="1"/>
        <v>0</v>
      </c>
      <c r="V8" s="1553" t="s">
        <v>13</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6"/>
      <c r="B9" s="2873"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8"/>
      <c r="B11" s="2872"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56"/>
      <c r="Q11" s="1145" t="str">
        <f t="shared" si="6"/>
        <v>容积率</v>
      </c>
      <c r="R11" s="1553" t="s">
        <v>11</v>
      </c>
      <c r="S11" s="1554" t="e">
        <f t="shared" si="0"/>
        <v>#N/A</v>
      </c>
      <c r="T11" s="1553" t="s">
        <v>11</v>
      </c>
      <c r="U11" s="1554" t="e">
        <f t="shared" si="1"/>
        <v>#N/A</v>
      </c>
      <c r="V11" s="1553" t="s">
        <v>11</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56"/>
      <c r="Q12" s="1145">
        <f t="shared" si="6"/>
        <v>111</v>
      </c>
      <c r="R12" s="1553" t="s">
        <v>11</v>
      </c>
      <c r="S12" s="1554">
        <f t="shared" si="0"/>
        <v>100</v>
      </c>
      <c r="T12" s="1553" t="s">
        <v>11</v>
      </c>
      <c r="U12" s="1554">
        <f t="shared" si="1"/>
        <v>100</v>
      </c>
      <c r="V12" s="1553" t="s">
        <v>11</v>
      </c>
      <c r="W12" s="1554">
        <f t="shared" si="2"/>
        <v>100</v>
      </c>
      <c r="X12" s="1555"/>
      <c r="Y12" s="3381"/>
      <c r="Z12" s="1144">
        <f t="shared" si="7"/>
        <v>111</v>
      </c>
      <c r="AA12" s="1556">
        <f>D12/F12</f>
        <v>1</v>
      </c>
      <c r="AB12" s="1556">
        <f>D12/H12</f>
        <v>1</v>
      </c>
      <c r="AC12" s="1556">
        <f>D12/J12</f>
        <v>1</v>
      </c>
    </row>
    <row r="13" spans="1:29" ht="15">
      <c r="A13" s="2869"/>
      <c r="B13" s="2875">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56"/>
      <c r="Q13" s="1145">
        <f t="shared" si="6"/>
        <v>111</v>
      </c>
      <c r="R13" s="1553" t="s">
        <v>11</v>
      </c>
      <c r="S13" s="1554">
        <f t="shared" si="0"/>
        <v>100</v>
      </c>
      <c r="T13" s="1553" t="s">
        <v>11</v>
      </c>
      <c r="U13" s="1554">
        <f t="shared" si="1"/>
        <v>100</v>
      </c>
      <c r="V13" s="1553" t="s">
        <v>11</v>
      </c>
      <c r="W13" s="1554">
        <f t="shared" si="2"/>
        <v>100</v>
      </c>
      <c r="X13" s="1555"/>
      <c r="Y13" s="3381"/>
      <c r="Z13" s="1144">
        <f t="shared" si="7"/>
        <v>111</v>
      </c>
      <c r="AA13" s="1556">
        <f t="shared" si="3"/>
        <v>1</v>
      </c>
      <c r="AB13" s="1556">
        <f t="shared" si="4"/>
        <v>1</v>
      </c>
      <c r="AC13" s="1556">
        <f t="shared" si="5"/>
        <v>1</v>
      </c>
    </row>
    <row r="14" spans="1:29" ht="15.75" thickBot="1">
      <c r="A14" s="2870"/>
      <c r="B14" s="2876">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56"/>
      <c r="Q14" s="1145">
        <f t="shared" si="6"/>
        <v>111</v>
      </c>
      <c r="R14" s="1553" t="s">
        <v>11</v>
      </c>
      <c r="S14" s="1554">
        <f t="shared" si="0"/>
        <v>100</v>
      </c>
      <c r="T14" s="1553" t="s">
        <v>11</v>
      </c>
      <c r="U14" s="1554">
        <f t="shared" si="1"/>
        <v>100</v>
      </c>
      <c r="V14" s="1553" t="s">
        <v>11</v>
      </c>
      <c r="W14" s="1554">
        <f t="shared" si="2"/>
        <v>100</v>
      </c>
      <c r="X14" s="1555"/>
      <c r="Y14" s="3381"/>
      <c r="Z14" s="1144">
        <f t="shared" si="7"/>
        <v>111</v>
      </c>
      <c r="AA14" s="1556">
        <f t="shared" si="3"/>
        <v>1</v>
      </c>
      <c r="AB14" s="1556">
        <f t="shared" si="4"/>
        <v>1</v>
      </c>
      <c r="AC14" s="1556">
        <f t="shared" si="5"/>
        <v>1</v>
      </c>
    </row>
    <row r="15" spans="1:29" ht="99.75">
      <c r="A15" s="2862"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58" t="s">
        <v>540</v>
      </c>
      <c r="Q15" s="1557" t="str">
        <f t="shared" si="6"/>
        <v>居住社区成熟度</v>
      </c>
      <c r="R15" s="1558" t="s">
        <v>11</v>
      </c>
      <c r="S15" s="1559">
        <f t="shared" si="0"/>
        <v>100</v>
      </c>
      <c r="T15" s="1558" t="s">
        <v>11</v>
      </c>
      <c r="U15" s="1559">
        <f t="shared" si="1"/>
        <v>100</v>
      </c>
      <c r="V15" s="1558" t="s">
        <v>11</v>
      </c>
      <c r="W15" s="1559">
        <f t="shared" si="2"/>
        <v>100</v>
      </c>
      <c r="X15" s="1552"/>
      <c r="Y15" s="3458"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59"/>
      <c r="Q17" s="1557" t="str">
        <f>B17</f>
        <v>交通便捷度</v>
      </c>
      <c r="R17" s="1558" t="s">
        <v>11</v>
      </c>
      <c r="S17" s="1559">
        <f>F17</f>
        <v>100</v>
      </c>
      <c r="T17" s="1558" t="s">
        <v>11</v>
      </c>
      <c r="U17" s="1559">
        <f>H17</f>
        <v>100</v>
      </c>
      <c r="V17" s="1558" t="s">
        <v>11</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59"/>
      <c r="Q19" s="1557" t="str">
        <f>B19</f>
        <v>公共配套设施</v>
      </c>
      <c r="R19" s="1558" t="s">
        <v>11</v>
      </c>
      <c r="S19" s="1559">
        <f>F19</f>
        <v>100</v>
      </c>
      <c r="T19" s="1558" t="s">
        <v>11</v>
      </c>
      <c r="U19" s="1559">
        <f>H19</f>
        <v>100</v>
      </c>
      <c r="V19" s="1558" t="s">
        <v>11</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59"/>
      <c r="Q21" s="2542" t="str">
        <f>B21</f>
        <v>基础设施水平</v>
      </c>
      <c r="R21" s="1558" t="s">
        <v>11</v>
      </c>
      <c r="S21" s="1559">
        <f>F21</f>
        <v>100</v>
      </c>
      <c r="T21" s="1558" t="s">
        <v>11</v>
      </c>
      <c r="U21" s="1559">
        <f>H21</f>
        <v>100</v>
      </c>
      <c r="V21" s="1558" t="s">
        <v>11</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59"/>
      <c r="Q23" s="1557" t="str">
        <f>B23</f>
        <v>自然及人文环境</v>
      </c>
      <c r="R23" s="1558" t="s">
        <v>11</v>
      </c>
      <c r="S23" s="1559">
        <f>F23</f>
        <v>100</v>
      </c>
      <c r="T23" s="1558" t="s">
        <v>11</v>
      </c>
      <c r="U23" s="1559">
        <f>H23</f>
        <v>100</v>
      </c>
      <c r="V23" s="1558" t="s">
        <v>11</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59"/>
      <c r="Q25" s="1557" t="str">
        <f t="shared" ref="Q25:Q46" si="11">B25</f>
        <v>楼层-1</v>
      </c>
      <c r="R25" s="1558" t="s">
        <v>11</v>
      </c>
      <c r="S25" s="1559">
        <f>F25</f>
        <v>100</v>
      </c>
      <c r="T25" s="1558" t="s">
        <v>11</v>
      </c>
      <c r="U25" s="1559">
        <f>H25</f>
        <v>100</v>
      </c>
      <c r="V25" s="1558" t="s">
        <v>11</v>
      </c>
      <c r="W25" s="1559">
        <f>J25</f>
        <v>100</v>
      </c>
      <c r="X25" s="1552"/>
      <c r="Y25" s="3459"/>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59"/>
      <c r="Q26" s="1557" t="str">
        <f t="shared" si="11"/>
        <v>朝向</v>
      </c>
      <c r="R26" s="1558" t="s">
        <v>11</v>
      </c>
      <c r="S26" s="1559">
        <f>F26</f>
        <v>100</v>
      </c>
      <c r="T26" s="1558" t="s">
        <v>11</v>
      </c>
      <c r="U26" s="1559">
        <f>H26</f>
        <v>100</v>
      </c>
      <c r="V26" s="1558" t="s">
        <v>11</v>
      </c>
      <c r="W26" s="1559">
        <f>J26</f>
        <v>100</v>
      </c>
      <c r="X26" s="1552"/>
      <c r="Y26" s="3459"/>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59"/>
      <c r="Q27" s="1145" t="str">
        <f t="shared" si="11"/>
        <v>道路级别</v>
      </c>
      <c r="R27" s="1553" t="s">
        <v>11</v>
      </c>
      <c r="S27" s="1554">
        <f>F27</f>
        <v>100</v>
      </c>
      <c r="T27" s="1553" t="s">
        <v>11</v>
      </c>
      <c r="U27" s="1554">
        <f>H27</f>
        <v>100</v>
      </c>
      <c r="V27" s="1553" t="s">
        <v>11</v>
      </c>
      <c r="W27" s="1554">
        <f>J27</f>
        <v>100</v>
      </c>
      <c r="X27" s="1555"/>
      <c r="Y27" s="3459"/>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5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59"/>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59"/>
      <c r="Q29" s="1557">
        <f t="shared" si="11"/>
        <v>111</v>
      </c>
      <c r="R29" s="1558" t="s">
        <v>11</v>
      </c>
      <c r="S29" s="1559">
        <f t="shared" si="12"/>
        <v>100</v>
      </c>
      <c r="T29" s="1558" t="s">
        <v>11</v>
      </c>
      <c r="U29" s="1559">
        <f t="shared" si="13"/>
        <v>100</v>
      </c>
      <c r="V29" s="1558" t="s">
        <v>11</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59"/>
      <c r="Q30" s="1557">
        <f t="shared" si="11"/>
        <v>111</v>
      </c>
      <c r="R30" s="1558" t="s">
        <v>11</v>
      </c>
      <c r="S30" s="1559">
        <f t="shared" si="12"/>
        <v>100</v>
      </c>
      <c r="T30" s="1558" t="s">
        <v>11</v>
      </c>
      <c r="U30" s="1559">
        <f t="shared" si="13"/>
        <v>100</v>
      </c>
      <c r="V30" s="1558" t="s">
        <v>11</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59"/>
      <c r="Q31" s="1557">
        <f t="shared" si="11"/>
        <v>111</v>
      </c>
      <c r="R31" s="1558" t="s">
        <v>11</v>
      </c>
      <c r="S31" s="1559">
        <f t="shared" si="12"/>
        <v>100</v>
      </c>
      <c r="T31" s="1558" t="s">
        <v>11</v>
      </c>
      <c r="U31" s="1559">
        <f t="shared" si="13"/>
        <v>100</v>
      </c>
      <c r="V31" s="1558" t="s">
        <v>11</v>
      </c>
      <c r="W31" s="1559">
        <f t="shared" si="14"/>
        <v>100</v>
      </c>
      <c r="X31" s="1552"/>
      <c r="Y31" s="3459"/>
      <c r="Z31" s="1560">
        <f t="shared" si="15"/>
        <v>111</v>
      </c>
      <c r="AA31" s="1561">
        <f t="shared" si="3"/>
        <v>1</v>
      </c>
      <c r="AB31" s="1561">
        <f t="shared" si="4"/>
        <v>1</v>
      </c>
      <c r="AC31" s="1561">
        <f t="shared" si="5"/>
        <v>1</v>
      </c>
    </row>
    <row r="32" spans="1:29" ht="15">
      <c r="A32" s="2859"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60" t="s">
        <v>550</v>
      </c>
      <c r="Q32" s="1557" t="str">
        <f t="shared" si="11"/>
        <v>建筑类型</v>
      </c>
      <c r="R32" s="1558" t="s">
        <v>11</v>
      </c>
      <c r="S32" s="1559">
        <f t="shared" si="12"/>
        <v>100</v>
      </c>
      <c r="T32" s="1558" t="s">
        <v>11</v>
      </c>
      <c r="U32" s="1559">
        <f t="shared" si="13"/>
        <v>100</v>
      </c>
      <c r="V32" s="1558" t="s">
        <v>11</v>
      </c>
      <c r="W32" s="1559">
        <f t="shared" si="14"/>
        <v>100</v>
      </c>
      <c r="X32" s="1552"/>
      <c r="Y32" s="3461"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61"/>
      <c r="Q33" s="1589" t="str">
        <f t="shared" si="11"/>
        <v>项目建筑规模</v>
      </c>
      <c r="R33" s="1562" t="s">
        <v>11</v>
      </c>
      <c r="S33" s="1563" t="e">
        <f t="shared" si="12"/>
        <v>#N/A</v>
      </c>
      <c r="T33" s="1562" t="s">
        <v>11</v>
      </c>
      <c r="U33" s="1563" t="e">
        <f t="shared" si="13"/>
        <v>#N/A</v>
      </c>
      <c r="V33" s="1562" t="s">
        <v>11</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61"/>
      <c r="Q34" s="1557" t="str">
        <f t="shared" si="11"/>
        <v>建筑结构</v>
      </c>
      <c r="R34" s="1558" t="s">
        <v>11</v>
      </c>
      <c r="S34" s="1559">
        <f t="shared" si="12"/>
        <v>100</v>
      </c>
      <c r="T34" s="1558" t="s">
        <v>11</v>
      </c>
      <c r="U34" s="1559">
        <f t="shared" si="13"/>
        <v>100</v>
      </c>
      <c r="V34" s="1558" t="s">
        <v>11</v>
      </c>
      <c r="W34" s="1559">
        <f t="shared" si="14"/>
        <v>100</v>
      </c>
      <c r="X34" s="1552"/>
      <c r="Y34" s="3461"/>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61"/>
      <c r="Q35" s="1557" t="str">
        <f t="shared" si="11"/>
        <v>建筑品质</v>
      </c>
      <c r="R35" s="1558" t="s">
        <v>11</v>
      </c>
      <c r="S35" s="1559">
        <f t="shared" si="12"/>
        <v>100</v>
      </c>
      <c r="T35" s="1558" t="s">
        <v>11</v>
      </c>
      <c r="U35" s="1559">
        <f t="shared" si="13"/>
        <v>100</v>
      </c>
      <c r="V35" s="1558" t="s">
        <v>11</v>
      </c>
      <c r="W35" s="1559">
        <f t="shared" si="14"/>
        <v>100</v>
      </c>
      <c r="X35" s="1552"/>
      <c r="Y35" s="3461"/>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61"/>
      <c r="Q36" s="1557" t="str">
        <f t="shared" si="11"/>
        <v>公共部分装修</v>
      </c>
      <c r="R36" s="1558" t="s">
        <v>11</v>
      </c>
      <c r="S36" s="1559">
        <f t="shared" si="12"/>
        <v>100</v>
      </c>
      <c r="T36" s="1558" t="s">
        <v>11</v>
      </c>
      <c r="U36" s="1559">
        <f t="shared" si="13"/>
        <v>100</v>
      </c>
      <c r="V36" s="1558" t="s">
        <v>11</v>
      </c>
      <c r="W36" s="1559">
        <f t="shared" si="14"/>
        <v>100</v>
      </c>
      <c r="X36" s="1552"/>
      <c r="Y36" s="3461"/>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61"/>
      <c r="Q37" s="1145" t="str">
        <f t="shared" si="11"/>
        <v>成新度</v>
      </c>
      <c r="R37" s="1553" t="s">
        <v>11</v>
      </c>
      <c r="S37" s="1554" t="e">
        <f t="shared" si="12"/>
        <v>#N/A</v>
      </c>
      <c r="T37" s="1553" t="s">
        <v>11</v>
      </c>
      <c r="U37" s="1554" t="e">
        <f t="shared" si="13"/>
        <v>#N/A</v>
      </c>
      <c r="V37" s="1553" t="s">
        <v>11</v>
      </c>
      <c r="W37" s="1554" t="e">
        <f t="shared" si="14"/>
        <v>#N/A</v>
      </c>
      <c r="X37" s="1555"/>
      <c r="Y37" s="3461"/>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61" t="s">
        <v>550</v>
      </c>
      <c r="Q38" s="1557" t="str">
        <f t="shared" si="11"/>
        <v>物业管理</v>
      </c>
      <c r="R38" s="1558" t="s">
        <v>11</v>
      </c>
      <c r="S38" s="1559">
        <f t="shared" si="12"/>
        <v>100</v>
      </c>
      <c r="T38" s="1558" t="s">
        <v>11</v>
      </c>
      <c r="U38" s="1559">
        <f t="shared" si="13"/>
        <v>100</v>
      </c>
      <c r="V38" s="1558" t="s">
        <v>11</v>
      </c>
      <c r="W38" s="1559">
        <f t="shared" si="14"/>
        <v>100</v>
      </c>
      <c r="X38" s="1552"/>
      <c r="Y38" s="3461"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61"/>
      <c r="Q39" s="1557" t="str">
        <f t="shared" si="11"/>
        <v>市政基础设施</v>
      </c>
      <c r="R39" s="1558" t="s">
        <v>11</v>
      </c>
      <c r="S39" s="1559">
        <f t="shared" si="12"/>
        <v>100</v>
      </c>
      <c r="T39" s="1558" t="s">
        <v>11</v>
      </c>
      <c r="U39" s="1559">
        <f t="shared" si="13"/>
        <v>100</v>
      </c>
      <c r="V39" s="1558" t="s">
        <v>11</v>
      </c>
      <c r="W39" s="1559">
        <f t="shared" si="14"/>
        <v>100</v>
      </c>
      <c r="X39" s="1552"/>
      <c r="Y39" s="3461"/>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61"/>
      <c r="Q40" s="1557" t="str">
        <f t="shared" si="11"/>
        <v>房型</v>
      </c>
      <c r="R40" s="1558" t="s">
        <v>11</v>
      </c>
      <c r="S40" s="1559">
        <f t="shared" si="12"/>
        <v>100</v>
      </c>
      <c r="T40" s="1558" t="s">
        <v>11</v>
      </c>
      <c r="U40" s="1559">
        <f t="shared" si="13"/>
        <v>100</v>
      </c>
      <c r="V40" s="1558" t="s">
        <v>11</v>
      </c>
      <c r="W40" s="1559">
        <f t="shared" si="14"/>
        <v>100</v>
      </c>
      <c r="X40" s="1552"/>
      <c r="Y40" s="3461"/>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61"/>
      <c r="Q41" s="1589" t="str">
        <f t="shared" si="11"/>
        <v>单套/主力户型建筑面积</v>
      </c>
      <c r="R41" s="1562" t="s">
        <v>11</v>
      </c>
      <c r="S41" s="1563">
        <f t="shared" si="12"/>
        <v>100</v>
      </c>
      <c r="T41" s="1562" t="s">
        <v>11</v>
      </c>
      <c r="U41" s="1563">
        <f t="shared" si="13"/>
        <v>100</v>
      </c>
      <c r="V41" s="1562" t="s">
        <v>11</v>
      </c>
      <c r="W41" s="1563">
        <f t="shared" si="14"/>
        <v>100</v>
      </c>
      <c r="X41" s="1564"/>
      <c r="Y41" s="3461"/>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61"/>
      <c r="Q42" s="1557" t="str">
        <f t="shared" si="11"/>
        <v>内部装修</v>
      </c>
      <c r="R42" s="1558" t="s">
        <v>11</v>
      </c>
      <c r="S42" s="1559">
        <f t="shared" si="12"/>
        <v>100</v>
      </c>
      <c r="T42" s="1558" t="s">
        <v>11</v>
      </c>
      <c r="U42" s="1559">
        <f t="shared" si="13"/>
        <v>100</v>
      </c>
      <c r="V42" s="1558" t="s">
        <v>11</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61"/>
      <c r="Q43" s="1557" t="str">
        <f t="shared" si="11"/>
        <v>内部装修维护情况</v>
      </c>
      <c r="R43" s="1558" t="s">
        <v>11</v>
      </c>
      <c r="S43" s="1559">
        <f t="shared" si="12"/>
        <v>100</v>
      </c>
      <c r="T43" s="1558" t="s">
        <v>11</v>
      </c>
      <c r="U43" s="1559">
        <f t="shared" si="13"/>
        <v>100</v>
      </c>
      <c r="V43" s="1558" t="s">
        <v>11</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61"/>
      <c r="Q44" s="1145">
        <f t="shared" si="11"/>
        <v>111</v>
      </c>
      <c r="R44" s="1553" t="s">
        <v>11</v>
      </c>
      <c r="S44" s="1554">
        <f t="shared" si="12"/>
        <v>100</v>
      </c>
      <c r="T44" s="1553" t="s">
        <v>11</v>
      </c>
      <c r="U44" s="1554">
        <f t="shared" si="13"/>
        <v>100</v>
      </c>
      <c r="V44" s="1553" t="s">
        <v>11</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61"/>
      <c r="Q45" s="1557">
        <f t="shared" si="11"/>
        <v>111</v>
      </c>
      <c r="R45" s="1558" t="s">
        <v>11</v>
      </c>
      <c r="S45" s="1559">
        <f t="shared" si="12"/>
        <v>100</v>
      </c>
      <c r="T45" s="1558" t="s">
        <v>11</v>
      </c>
      <c r="U45" s="1559">
        <f t="shared" si="13"/>
        <v>100</v>
      </c>
      <c r="V45" s="1558" t="s">
        <v>11</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6"/>
      <c r="Q46" s="1557">
        <f t="shared" si="11"/>
        <v>111</v>
      </c>
      <c r="R46" s="1558" t="s">
        <v>10</v>
      </c>
      <c r="S46" s="1559">
        <f t="shared" si="12"/>
        <v>100</v>
      </c>
      <c r="T46" s="1558" t="s">
        <v>10</v>
      </c>
      <c r="U46" s="1559">
        <f t="shared" si="13"/>
        <v>100</v>
      </c>
      <c r="V46" s="1558" t="s">
        <v>10</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2020-10</v>
      </c>
      <c r="D58" s="2756">
        <f>EDATE(C58,-1)</f>
        <v>44075</v>
      </c>
      <c r="E58" s="2756">
        <f t="shared" ref="E58:O58" si="16">EDATE(D58,-1)</f>
        <v>44044</v>
      </c>
      <c r="F58" s="2756">
        <f t="shared" si="16"/>
        <v>44013</v>
      </c>
      <c r="G58" s="2756">
        <f t="shared" si="16"/>
        <v>43983</v>
      </c>
      <c r="H58" s="2756">
        <f t="shared" si="16"/>
        <v>43952</v>
      </c>
      <c r="I58" s="2756">
        <f t="shared" si="16"/>
        <v>43922</v>
      </c>
      <c r="J58" s="2756">
        <f t="shared" si="16"/>
        <v>43891</v>
      </c>
      <c r="K58" s="2756">
        <f t="shared" si="16"/>
        <v>43862</v>
      </c>
      <c r="L58" s="2756">
        <f t="shared" si="16"/>
        <v>43831</v>
      </c>
      <c r="M58" s="2756">
        <f t="shared" si="16"/>
        <v>43800</v>
      </c>
      <c r="N58" s="2756">
        <f t="shared" si="16"/>
        <v>43770</v>
      </c>
      <c r="O58" s="2756">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70"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70"/>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70"/>
      <c r="AC6" s="3447"/>
    </row>
    <row r="7" spans="1:29" s="1214" customFormat="1" ht="15.75" thickBot="1">
      <c r="A7" s="2864"/>
      <c r="B7" s="2871" t="s">
        <v>529</v>
      </c>
      <c r="C7" s="519">
        <f>'数据-取费表'!B2</f>
        <v>44134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6"/>
      <c r="B9" s="2873"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2"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58" t="s">
        <v>540</v>
      </c>
      <c r="Q15" s="1557" t="str">
        <f t="shared" si="6"/>
        <v>商业繁华度</v>
      </c>
      <c r="R15" s="1558" t="s">
        <v>8</v>
      </c>
      <c r="S15" s="1559">
        <f t="shared" si="0"/>
        <v>100</v>
      </c>
      <c r="T15" s="1558" t="s">
        <v>8</v>
      </c>
      <c r="U15" s="1559">
        <f t="shared" si="1"/>
        <v>100</v>
      </c>
      <c r="V15" s="1558" t="s">
        <v>8</v>
      </c>
      <c r="W15" s="1559">
        <f t="shared" si="2"/>
        <v>100</v>
      </c>
      <c r="X15" s="1552"/>
      <c r="Y15" s="3458"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59"/>
      <c r="Q23" s="1557" t="str">
        <f>B23</f>
        <v>自然及人文环境</v>
      </c>
      <c r="R23" s="1558" t="s">
        <v>8</v>
      </c>
      <c r="S23" s="1559">
        <f>F23</f>
        <v>100</v>
      </c>
      <c r="T23" s="1558" t="s">
        <v>8</v>
      </c>
      <c r="U23" s="1559">
        <f>H23</f>
        <v>100</v>
      </c>
      <c r="V23" s="1558" t="s">
        <v>8</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9"/>
      <c r="Q25" s="1557" t="str">
        <f t="shared" ref="Q25:Q46" si="11">B25</f>
        <v>临街状况</v>
      </c>
      <c r="R25" s="1558" t="s">
        <v>8</v>
      </c>
      <c r="S25" s="1559">
        <f>F25</f>
        <v>100</v>
      </c>
      <c r="T25" s="1558" t="s">
        <v>8</v>
      </c>
      <c r="U25" s="1559">
        <f>H25</f>
        <v>100</v>
      </c>
      <c r="V25" s="1558" t="s">
        <v>8</v>
      </c>
      <c r="W25" s="1559">
        <f>J25</f>
        <v>100</v>
      </c>
      <c r="X25" s="1552"/>
      <c r="Y25" s="3459"/>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9"/>
      <c r="Q26" s="1557" t="str">
        <f t="shared" si="11"/>
        <v>平面位置/可视性</v>
      </c>
      <c r="R26" s="1558" t="s">
        <v>8</v>
      </c>
      <c r="S26" s="1559">
        <f>F26</f>
        <v>100</v>
      </c>
      <c r="T26" s="1558" t="s">
        <v>8</v>
      </c>
      <c r="U26" s="1559">
        <f>H26</f>
        <v>100</v>
      </c>
      <c r="V26" s="1558" t="s">
        <v>8</v>
      </c>
      <c r="W26" s="1559">
        <f>J26</f>
        <v>100</v>
      </c>
      <c r="X26" s="1552"/>
      <c r="Y26" s="3459"/>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59"/>
      <c r="Q27" s="1145" t="str">
        <f t="shared" si="11"/>
        <v>人流量</v>
      </c>
      <c r="R27" s="1553" t="s">
        <v>8</v>
      </c>
      <c r="S27" s="1554">
        <f>F27</f>
        <v>100</v>
      </c>
      <c r="T27" s="1553" t="s">
        <v>8</v>
      </c>
      <c r="U27" s="1554">
        <f>H27</f>
        <v>100</v>
      </c>
      <c r="V27" s="1553" t="s">
        <v>8</v>
      </c>
      <c r="W27" s="1554">
        <f>J27</f>
        <v>100</v>
      </c>
      <c r="X27" s="1555"/>
      <c r="Y27" s="3459"/>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59"/>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9"/>
      <c r="Q29" s="1557">
        <f t="shared" si="11"/>
        <v>111</v>
      </c>
      <c r="R29" s="1558" t="s">
        <v>8</v>
      </c>
      <c r="S29" s="1559">
        <f t="shared" si="12"/>
        <v>100</v>
      </c>
      <c r="T29" s="1558" t="s">
        <v>8</v>
      </c>
      <c r="U29" s="1559">
        <f t="shared" si="13"/>
        <v>100</v>
      </c>
      <c r="V29" s="1558" t="s">
        <v>8</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
      <c r="A32" s="2859"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60" t="s">
        <v>550</v>
      </c>
      <c r="Q32" s="1557" t="str">
        <f t="shared" si="11"/>
        <v>商业类型</v>
      </c>
      <c r="R32" s="1558" t="s">
        <v>8</v>
      </c>
      <c r="S32" s="1559">
        <f t="shared" si="12"/>
        <v>100</v>
      </c>
      <c r="T32" s="1558" t="s">
        <v>8</v>
      </c>
      <c r="U32" s="1559">
        <f t="shared" si="13"/>
        <v>100</v>
      </c>
      <c r="V32" s="1558" t="s">
        <v>8</v>
      </c>
      <c r="W32" s="1559">
        <f t="shared" si="14"/>
        <v>100</v>
      </c>
      <c r="X32" s="1552"/>
      <c r="Y32" s="3461"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61"/>
      <c r="Q33" s="1589" t="str">
        <f t="shared" si="11"/>
        <v>项目建筑规模</v>
      </c>
      <c r="R33" s="1562" t="s">
        <v>8</v>
      </c>
      <c r="S33" s="1563" t="e">
        <f t="shared" si="12"/>
        <v>#N/A</v>
      </c>
      <c r="T33" s="1562" t="s">
        <v>8</v>
      </c>
      <c r="U33" s="1563" t="e">
        <f t="shared" si="13"/>
        <v>#N/A</v>
      </c>
      <c r="V33" s="1562" t="s">
        <v>8</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61"/>
      <c r="Q34" s="1557" t="str">
        <f t="shared" si="11"/>
        <v>建筑结构</v>
      </c>
      <c r="R34" s="1558" t="s">
        <v>8</v>
      </c>
      <c r="S34" s="1559">
        <f t="shared" si="12"/>
        <v>100</v>
      </c>
      <c r="T34" s="1558" t="s">
        <v>8</v>
      </c>
      <c r="U34" s="1559">
        <f t="shared" si="13"/>
        <v>100</v>
      </c>
      <c r="V34" s="1558" t="s">
        <v>8</v>
      </c>
      <c r="W34" s="1559">
        <f t="shared" si="14"/>
        <v>100</v>
      </c>
      <c r="X34" s="1552"/>
      <c r="Y34" s="346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61"/>
      <c r="Q35" s="1557" t="str">
        <f t="shared" si="11"/>
        <v>公共部分装修</v>
      </c>
      <c r="R35" s="1558" t="s">
        <v>8</v>
      </c>
      <c r="S35" s="1559">
        <f t="shared" si="12"/>
        <v>100</v>
      </c>
      <c r="T35" s="1558" t="s">
        <v>8</v>
      </c>
      <c r="U35" s="1559">
        <f t="shared" si="13"/>
        <v>100</v>
      </c>
      <c r="V35" s="1558" t="s">
        <v>8</v>
      </c>
      <c r="W35" s="1559">
        <f t="shared" si="14"/>
        <v>100</v>
      </c>
      <c r="X35" s="1552"/>
      <c r="Y35" s="346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61"/>
      <c r="Q36" s="1557" t="str">
        <f t="shared" si="11"/>
        <v>成新度</v>
      </c>
      <c r="R36" s="1558" t="s">
        <v>8</v>
      </c>
      <c r="S36" s="1559" t="e">
        <f t="shared" si="12"/>
        <v>#N/A</v>
      </c>
      <c r="T36" s="1558" t="s">
        <v>8</v>
      </c>
      <c r="U36" s="1559" t="e">
        <f t="shared" si="13"/>
        <v>#N/A</v>
      </c>
      <c r="V36" s="1558" t="s">
        <v>8</v>
      </c>
      <c r="W36" s="1559" t="e">
        <f t="shared" si="14"/>
        <v>#N/A</v>
      </c>
      <c r="X36" s="1552"/>
      <c r="Y36" s="3461"/>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61"/>
      <c r="Q37" s="1145" t="str">
        <f t="shared" si="11"/>
        <v>市政基础设施</v>
      </c>
      <c r="R37" s="1553" t="s">
        <v>8</v>
      </c>
      <c r="S37" s="1554">
        <f t="shared" si="12"/>
        <v>100</v>
      </c>
      <c r="T37" s="1553" t="s">
        <v>8</v>
      </c>
      <c r="U37" s="1554">
        <f t="shared" si="13"/>
        <v>100</v>
      </c>
      <c r="V37" s="1553" t="s">
        <v>8</v>
      </c>
      <c r="W37" s="1554">
        <f t="shared" si="14"/>
        <v>100</v>
      </c>
      <c r="X37" s="1555"/>
      <c r="Y37" s="3461"/>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61" t="s">
        <v>766</v>
      </c>
      <c r="Q38" s="1557" t="str">
        <f t="shared" si="11"/>
        <v>业态</v>
      </c>
      <c r="R38" s="1558" t="s">
        <v>8</v>
      </c>
      <c r="S38" s="1559">
        <f t="shared" si="12"/>
        <v>100</v>
      </c>
      <c r="T38" s="1558" t="s">
        <v>8</v>
      </c>
      <c r="U38" s="1559">
        <f t="shared" si="13"/>
        <v>100</v>
      </c>
      <c r="V38" s="1558" t="s">
        <v>8</v>
      </c>
      <c r="W38" s="1559">
        <f t="shared" si="14"/>
        <v>100</v>
      </c>
      <c r="X38" s="1552"/>
      <c r="Y38" s="346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c r="Q39" s="1557" t="str">
        <f t="shared" si="11"/>
        <v>层高</v>
      </c>
      <c r="R39" s="1558" t="s">
        <v>8</v>
      </c>
      <c r="S39" s="1559">
        <f t="shared" si="12"/>
        <v>100</v>
      </c>
      <c r="T39" s="1558" t="s">
        <v>8</v>
      </c>
      <c r="U39" s="1559">
        <f t="shared" si="13"/>
        <v>100</v>
      </c>
      <c r="V39" s="1558" t="s">
        <v>8</v>
      </c>
      <c r="W39" s="1559">
        <f t="shared" si="14"/>
        <v>100</v>
      </c>
      <c r="X39" s="1552"/>
      <c r="Y39" s="346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61"/>
      <c r="Q40" s="1557" t="str">
        <f t="shared" si="11"/>
        <v>单套建筑面积</v>
      </c>
      <c r="R40" s="1558" t="s">
        <v>8</v>
      </c>
      <c r="S40" s="1559">
        <f t="shared" si="12"/>
        <v>100</v>
      </c>
      <c r="T40" s="1558" t="s">
        <v>8</v>
      </c>
      <c r="U40" s="1559">
        <f t="shared" si="13"/>
        <v>100</v>
      </c>
      <c r="V40" s="1558" t="s">
        <v>8</v>
      </c>
      <c r="W40" s="1559">
        <f t="shared" si="14"/>
        <v>100</v>
      </c>
      <c r="X40" s="1552"/>
      <c r="Y40" s="3461"/>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61"/>
      <c r="Q41" s="1589" t="str">
        <f t="shared" si="11"/>
        <v>进深比</v>
      </c>
      <c r="R41" s="1562" t="s">
        <v>8</v>
      </c>
      <c r="S41" s="1563">
        <f t="shared" si="12"/>
        <v>100</v>
      </c>
      <c r="T41" s="1562" t="s">
        <v>8</v>
      </c>
      <c r="U41" s="1563">
        <f t="shared" si="13"/>
        <v>100</v>
      </c>
      <c r="V41" s="1562" t="s">
        <v>8</v>
      </c>
      <c r="W41" s="1563">
        <f t="shared" si="14"/>
        <v>100</v>
      </c>
      <c r="X41" s="1564"/>
      <c r="Y41" s="346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61"/>
      <c r="Q42" s="1557" t="str">
        <f t="shared" si="11"/>
        <v>内部装修</v>
      </c>
      <c r="R42" s="1558" t="s">
        <v>8</v>
      </c>
      <c r="S42" s="1559">
        <f t="shared" si="12"/>
        <v>100</v>
      </c>
      <c r="T42" s="1558" t="s">
        <v>8</v>
      </c>
      <c r="U42" s="1559">
        <f t="shared" si="13"/>
        <v>100</v>
      </c>
      <c r="V42" s="1558" t="s">
        <v>8</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61"/>
      <c r="Q43" s="1557" t="str">
        <f t="shared" si="11"/>
        <v>内部装修维护情况</v>
      </c>
      <c r="R43" s="1558" t="s">
        <v>8</v>
      </c>
      <c r="S43" s="1559">
        <f t="shared" si="12"/>
        <v>100</v>
      </c>
      <c r="T43" s="1558" t="s">
        <v>8</v>
      </c>
      <c r="U43" s="1559">
        <f t="shared" si="13"/>
        <v>100</v>
      </c>
      <c r="V43" s="1558" t="s">
        <v>8</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61"/>
      <c r="Q44" s="1145">
        <f t="shared" si="11"/>
        <v>111</v>
      </c>
      <c r="R44" s="1553" t="s">
        <v>8</v>
      </c>
      <c r="S44" s="1554">
        <f t="shared" si="12"/>
        <v>100</v>
      </c>
      <c r="T44" s="1553" t="s">
        <v>8</v>
      </c>
      <c r="U44" s="1554">
        <f t="shared" si="13"/>
        <v>100</v>
      </c>
      <c r="V44" s="1553" t="s">
        <v>8</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61"/>
      <c r="Q45" s="1557">
        <f t="shared" si="11"/>
        <v>111</v>
      </c>
      <c r="R45" s="1558" t="s">
        <v>8</v>
      </c>
      <c r="S45" s="1559">
        <f t="shared" si="12"/>
        <v>100</v>
      </c>
      <c r="T45" s="1558" t="s">
        <v>8</v>
      </c>
      <c r="U45" s="1559">
        <f t="shared" si="13"/>
        <v>100</v>
      </c>
      <c r="V45" s="1558" t="s">
        <v>8</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6"/>
      <c r="Q46" s="1557">
        <f t="shared" si="11"/>
        <v>111</v>
      </c>
      <c r="R46" s="1558" t="s">
        <v>8</v>
      </c>
      <c r="S46" s="1559">
        <f t="shared" si="12"/>
        <v>100</v>
      </c>
      <c r="T46" s="1558" t="s">
        <v>8</v>
      </c>
      <c r="U46" s="1559">
        <f t="shared" si="13"/>
        <v>100</v>
      </c>
      <c r="V46" s="1558" t="s">
        <v>8</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4" t="str">
        <f>YEAR(C7)&amp;"-"&amp;MONTH(C7)</f>
        <v>2020-10</v>
      </c>
      <c r="D58" s="2756">
        <f>EDATE(C58,-1)</f>
        <v>44075</v>
      </c>
      <c r="E58" s="2756">
        <f t="shared" ref="E58:O58" si="16">EDATE(D58,-1)</f>
        <v>44044</v>
      </c>
      <c r="F58" s="2756">
        <f t="shared" si="16"/>
        <v>44013</v>
      </c>
      <c r="G58" s="2756">
        <f t="shared" si="16"/>
        <v>43983</v>
      </c>
      <c r="H58" s="2756">
        <f t="shared" si="16"/>
        <v>43952</v>
      </c>
      <c r="I58" s="2756">
        <f t="shared" si="16"/>
        <v>43922</v>
      </c>
      <c r="J58" s="2756">
        <f t="shared" si="16"/>
        <v>43891</v>
      </c>
      <c r="K58" s="2756">
        <f t="shared" si="16"/>
        <v>43862</v>
      </c>
      <c r="L58" s="2756">
        <f t="shared" si="16"/>
        <v>43831</v>
      </c>
      <c r="M58" s="2756">
        <f t="shared" si="16"/>
        <v>43800</v>
      </c>
      <c r="N58" s="2756">
        <f t="shared" si="16"/>
        <v>43770</v>
      </c>
      <c r="O58" s="2756">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59"/>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62" t="s">
        <v>522</v>
      </c>
      <c r="D4" s="3463"/>
      <c r="E4" s="3486" t="s">
        <v>523</v>
      </c>
      <c r="F4" s="3487"/>
      <c r="G4" s="3462" t="s">
        <v>524</v>
      </c>
      <c r="H4" s="3463"/>
      <c r="I4" s="3462" t="s">
        <v>525</v>
      </c>
      <c r="J4" s="3463"/>
      <c r="K4" s="514" t="s">
        <v>526</v>
      </c>
      <c r="L4" s="2117"/>
      <c r="M4" s="2118"/>
      <c r="N4" s="2118"/>
      <c r="O4" s="2118"/>
      <c r="P4" s="3527"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528"/>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529"/>
      <c r="Q6" s="3469"/>
      <c r="R6" s="3452"/>
      <c r="S6" s="3453"/>
      <c r="T6" s="3454"/>
      <c r="U6" s="3455"/>
      <c r="V6" s="3470"/>
      <c r="W6" s="3470"/>
      <c r="X6" s="1552"/>
      <c r="Y6" s="3454"/>
      <c r="Z6" s="3455"/>
      <c r="AA6" s="3447"/>
      <c r="AB6" s="3447"/>
      <c r="AC6" s="3447"/>
    </row>
    <row r="7" spans="1:29" s="1214" customFormat="1" ht="15.75" thickBot="1">
      <c r="A7" s="2864"/>
      <c r="B7" s="2871" t="s">
        <v>529</v>
      </c>
      <c r="C7" s="519">
        <f>'数据-取费表'!B2</f>
        <v>44134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7"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7" t="s">
        <v>533</v>
      </c>
      <c r="Q8" s="3449"/>
      <c r="R8" s="1553" t="s">
        <v>8</v>
      </c>
      <c r="S8" s="1554">
        <f t="shared" si="0"/>
        <v>0</v>
      </c>
      <c r="T8" s="1553" t="s">
        <v>8</v>
      </c>
      <c r="U8" s="1554">
        <f t="shared" si="1"/>
        <v>0</v>
      </c>
      <c r="V8" s="1553" t="s">
        <v>8</v>
      </c>
      <c r="W8" s="1554">
        <f t="shared" si="2"/>
        <v>0</v>
      </c>
      <c r="X8" s="1555"/>
      <c r="Y8" s="3448" t="s">
        <v>533</v>
      </c>
      <c r="Z8" s="3449"/>
      <c r="AA8" s="1556" t="e">
        <f t="shared" ref="AA8:AA47" si="3">D8/F8</f>
        <v>#DIV/0!</v>
      </c>
      <c r="AB8" s="1556" t="e">
        <f t="shared" ref="AB8:AB47" si="4">D8/H8</f>
        <v>#DIV/0!</v>
      </c>
      <c r="AC8" s="1556" t="e">
        <f t="shared" ref="AC8:AC47" si="5">D8/J8</f>
        <v>#DIV/0!</v>
      </c>
    </row>
    <row r="9" spans="1:29" s="1214" customFormat="1" ht="15">
      <c r="A9" s="2866"/>
      <c r="B9" s="2873"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2"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58" t="s">
        <v>540</v>
      </c>
      <c r="Q15" s="1557" t="str">
        <f t="shared" si="6"/>
        <v>办公集聚程度</v>
      </c>
      <c r="R15" s="1558" t="s">
        <v>8</v>
      </c>
      <c r="S15" s="1559">
        <f t="shared" si="0"/>
        <v>100</v>
      </c>
      <c r="T15" s="1558" t="s">
        <v>8</v>
      </c>
      <c r="U15" s="1559">
        <f t="shared" si="1"/>
        <v>100</v>
      </c>
      <c r="V15" s="1558" t="s">
        <v>8</v>
      </c>
      <c r="W15" s="1559">
        <f t="shared" si="2"/>
        <v>100</v>
      </c>
      <c r="X15" s="1552"/>
      <c r="Y15" s="345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59"/>
      <c r="Q16" s="1557"/>
      <c r="R16" s="1558"/>
      <c r="S16" s="1559"/>
      <c r="T16" s="1558"/>
      <c r="U16" s="1559"/>
      <c r="V16" s="1558"/>
      <c r="W16" s="1559"/>
      <c r="X16" s="1552"/>
      <c r="Y16" s="3459"/>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59"/>
      <c r="Q18" s="1557"/>
      <c r="R18" s="1558"/>
      <c r="S18" s="1559"/>
      <c r="T18" s="1558"/>
      <c r="U18" s="1559"/>
      <c r="V18" s="1558"/>
      <c r="W18" s="1559"/>
      <c r="X18" s="1552"/>
      <c r="Y18" s="3459"/>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59"/>
      <c r="Q20" s="1557"/>
      <c r="R20" s="1558"/>
      <c r="S20" s="1559"/>
      <c r="T20" s="1558"/>
      <c r="U20" s="1559"/>
      <c r="V20" s="1558"/>
      <c r="W20" s="1559"/>
      <c r="X20" s="1552"/>
      <c r="Y20" s="3459"/>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59"/>
      <c r="Q22" s="2542"/>
      <c r="R22" s="1558"/>
      <c r="S22" s="1559"/>
      <c r="T22" s="1558"/>
      <c r="U22" s="1559"/>
      <c r="V22" s="1558"/>
      <c r="W22" s="1559"/>
      <c r="X22" s="2544"/>
      <c r="Y22" s="3459"/>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59"/>
      <c r="Q24" s="1557"/>
      <c r="R24" s="1558"/>
      <c r="S24" s="1559"/>
      <c r="T24" s="1558"/>
      <c r="U24" s="1559"/>
      <c r="V24" s="1558"/>
      <c r="W24" s="1559"/>
      <c r="X24" s="1552"/>
      <c r="Y24" s="3459"/>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59"/>
      <c r="Q25" s="1557" t="str">
        <f>B25</f>
        <v>毗邻道路的类型与等级</v>
      </c>
      <c r="R25" s="1558" t="s">
        <v>8</v>
      </c>
      <c r="S25" s="1559">
        <f>F25</f>
        <v>100</v>
      </c>
      <c r="T25" s="1558" t="s">
        <v>8</v>
      </c>
      <c r="U25" s="1559">
        <f>H25</f>
        <v>100</v>
      </c>
      <c r="V25" s="1558" t="s">
        <v>8</v>
      </c>
      <c r="W25" s="1559">
        <f>J25</f>
        <v>100</v>
      </c>
      <c r="X25" s="1552"/>
      <c r="Y25" s="345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59"/>
      <c r="Q26" s="1557"/>
      <c r="R26" s="1558"/>
      <c r="S26" s="1559"/>
      <c r="T26" s="1558"/>
      <c r="U26" s="1559"/>
      <c r="V26" s="1558"/>
      <c r="W26" s="1559"/>
      <c r="X26" s="1552"/>
      <c r="Y26" s="345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9"/>
      <c r="Q27" s="1557" t="str">
        <f t="shared" ref="Q27:Q47" si="11">B27</f>
        <v>楼层</v>
      </c>
      <c r="R27" s="1558" t="s">
        <v>8</v>
      </c>
      <c r="S27" s="1559">
        <f>F27</f>
        <v>100</v>
      </c>
      <c r="T27" s="1558" t="s">
        <v>8</v>
      </c>
      <c r="U27" s="1559">
        <f>H27</f>
        <v>100</v>
      </c>
      <c r="V27" s="1558" t="s">
        <v>8</v>
      </c>
      <c r="W27" s="1559">
        <f>J27</f>
        <v>100</v>
      </c>
      <c r="X27" s="1552"/>
      <c r="Y27" s="3459"/>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59"/>
      <c r="Q28" s="1145" t="str">
        <f t="shared" si="11"/>
        <v>朝向</v>
      </c>
      <c r="R28" s="1553" t="s">
        <v>8</v>
      </c>
      <c r="S28" s="1554">
        <f>F28</f>
        <v>100</v>
      </c>
      <c r="T28" s="1553" t="s">
        <v>8</v>
      </c>
      <c r="U28" s="1554">
        <f>H28</f>
        <v>100</v>
      </c>
      <c r="V28" s="1553" t="s">
        <v>8</v>
      </c>
      <c r="W28" s="1554">
        <f>J28</f>
        <v>100</v>
      </c>
      <c r="X28" s="1555"/>
      <c r="Y28" s="3459"/>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59"/>
      <c r="Q29" s="1557">
        <f t="shared" si="11"/>
        <v>111</v>
      </c>
      <c r="R29" s="1558" t="s">
        <v>8</v>
      </c>
      <c r="S29" s="1559">
        <f t="shared" ref="S29:S47" si="12">F29</f>
        <v>100</v>
      </c>
      <c r="T29" s="1558" t="s">
        <v>8</v>
      </c>
      <c r="U29" s="1559">
        <f t="shared" ref="U29:U47" si="13">H29</f>
        <v>100</v>
      </c>
      <c r="V29" s="1558" t="s">
        <v>8</v>
      </c>
      <c r="W29" s="1559">
        <f t="shared" ref="W29:W47" si="14">J29</f>
        <v>100</v>
      </c>
      <c r="X29" s="1552"/>
      <c r="Y29" s="345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59"/>
      <c r="Q32" s="1557">
        <f t="shared" si="11"/>
        <v>111</v>
      </c>
      <c r="R32" s="1558" t="s">
        <v>8</v>
      </c>
      <c r="S32" s="1559">
        <f t="shared" si="12"/>
        <v>100</v>
      </c>
      <c r="T32" s="1558" t="s">
        <v>8</v>
      </c>
      <c r="U32" s="1559">
        <f t="shared" si="13"/>
        <v>100</v>
      </c>
      <c r="V32" s="1558" t="s">
        <v>8</v>
      </c>
      <c r="W32" s="1559">
        <f t="shared" si="14"/>
        <v>100</v>
      </c>
      <c r="X32" s="1552"/>
      <c r="Y32" s="3459"/>
      <c r="Z32" s="1560">
        <f t="shared" si="15"/>
        <v>111</v>
      </c>
      <c r="AA32" s="1561">
        <f t="shared" si="3"/>
        <v>1</v>
      </c>
      <c r="AB32" s="1561">
        <f t="shared" si="4"/>
        <v>1</v>
      </c>
      <c r="AC32" s="1561">
        <f t="shared" si="5"/>
        <v>1</v>
      </c>
    </row>
    <row r="33" spans="1:29" ht="15">
      <c r="A33" s="2859"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60" t="s">
        <v>550</v>
      </c>
      <c r="Q33" s="1557" t="str">
        <f t="shared" si="11"/>
        <v>建筑类型</v>
      </c>
      <c r="R33" s="1558" t="s">
        <v>8</v>
      </c>
      <c r="S33" s="1559">
        <f t="shared" si="12"/>
        <v>100</v>
      </c>
      <c r="T33" s="1558" t="s">
        <v>8</v>
      </c>
      <c r="U33" s="1559">
        <f t="shared" si="13"/>
        <v>100</v>
      </c>
      <c r="V33" s="1558" t="s">
        <v>8</v>
      </c>
      <c r="W33" s="1559">
        <f t="shared" si="14"/>
        <v>100</v>
      </c>
      <c r="X33" s="1552"/>
      <c r="Y33" s="3461"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61"/>
      <c r="Q34" s="1589" t="str">
        <f t="shared" si="11"/>
        <v>项目建筑规模</v>
      </c>
      <c r="R34" s="1562" t="s">
        <v>8</v>
      </c>
      <c r="S34" s="1563" t="e">
        <f t="shared" si="12"/>
        <v>#N/A</v>
      </c>
      <c r="T34" s="1562" t="s">
        <v>8</v>
      </c>
      <c r="U34" s="1563" t="e">
        <f t="shared" si="13"/>
        <v>#N/A</v>
      </c>
      <c r="V34" s="1562" t="s">
        <v>8</v>
      </c>
      <c r="W34" s="1563" t="e">
        <f t="shared" si="14"/>
        <v>#N/A</v>
      </c>
      <c r="X34" s="1564"/>
      <c r="Y34" s="346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61"/>
      <c r="Q35" s="1557" t="str">
        <f t="shared" si="11"/>
        <v>建筑结构</v>
      </c>
      <c r="R35" s="1558" t="s">
        <v>8</v>
      </c>
      <c r="S35" s="1559">
        <f t="shared" si="12"/>
        <v>100</v>
      </c>
      <c r="T35" s="1558" t="s">
        <v>8</v>
      </c>
      <c r="U35" s="1559">
        <f t="shared" si="13"/>
        <v>100</v>
      </c>
      <c r="V35" s="1558" t="s">
        <v>8</v>
      </c>
      <c r="W35" s="1559">
        <f t="shared" si="14"/>
        <v>100</v>
      </c>
      <c r="X35" s="1552"/>
      <c r="Y35" s="346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61"/>
      <c r="Q36" s="1557" t="str">
        <f t="shared" si="11"/>
        <v>公共部分装修</v>
      </c>
      <c r="R36" s="1558" t="s">
        <v>8</v>
      </c>
      <c r="S36" s="1559">
        <f t="shared" si="12"/>
        <v>100</v>
      </c>
      <c r="T36" s="1558" t="s">
        <v>8</v>
      </c>
      <c r="U36" s="1559">
        <f t="shared" si="13"/>
        <v>100</v>
      </c>
      <c r="V36" s="1558" t="s">
        <v>8</v>
      </c>
      <c r="W36" s="1559">
        <f t="shared" si="14"/>
        <v>100</v>
      </c>
      <c r="X36" s="1552"/>
      <c r="Y36" s="346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61"/>
      <c r="Q37" s="1557" t="str">
        <f t="shared" si="11"/>
        <v>成新度</v>
      </c>
      <c r="R37" s="1558" t="s">
        <v>8</v>
      </c>
      <c r="S37" s="1559" t="e">
        <f t="shared" si="12"/>
        <v>#N/A</v>
      </c>
      <c r="T37" s="1558" t="s">
        <v>8</v>
      </c>
      <c r="U37" s="1559" t="e">
        <f t="shared" si="13"/>
        <v>#N/A</v>
      </c>
      <c r="V37" s="1558" t="s">
        <v>8</v>
      </c>
      <c r="W37" s="1559" t="e">
        <f t="shared" si="14"/>
        <v>#N/A</v>
      </c>
      <c r="X37" s="1552"/>
      <c r="Y37" s="3461"/>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61"/>
      <c r="Q38" s="1145" t="str">
        <f t="shared" si="11"/>
        <v>写字楼等级</v>
      </c>
      <c r="R38" s="1553" t="s">
        <v>8</v>
      </c>
      <c r="S38" s="1554">
        <f t="shared" si="12"/>
        <v>100</v>
      </c>
      <c r="T38" s="1553" t="s">
        <v>8</v>
      </c>
      <c r="U38" s="1554">
        <f t="shared" si="13"/>
        <v>100</v>
      </c>
      <c r="V38" s="1553" t="s">
        <v>8</v>
      </c>
      <c r="W38" s="1554">
        <f t="shared" si="14"/>
        <v>100</v>
      </c>
      <c r="X38" s="1555"/>
      <c r="Y38" s="3461"/>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61" t="s">
        <v>550</v>
      </c>
      <c r="Q39" s="1557" t="str">
        <f t="shared" si="11"/>
        <v>物业管理</v>
      </c>
      <c r="R39" s="1558" t="s">
        <v>8</v>
      </c>
      <c r="S39" s="1559">
        <f t="shared" si="12"/>
        <v>100</v>
      </c>
      <c r="T39" s="1558" t="s">
        <v>8</v>
      </c>
      <c r="U39" s="1559">
        <f t="shared" si="13"/>
        <v>100</v>
      </c>
      <c r="V39" s="1558" t="s">
        <v>8</v>
      </c>
      <c r="W39" s="1559">
        <f t="shared" si="14"/>
        <v>100</v>
      </c>
      <c r="X39" s="1552"/>
      <c r="Y39" s="3461"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61"/>
      <c r="Q40" s="1557" t="str">
        <f t="shared" si="11"/>
        <v>市政基础设施</v>
      </c>
      <c r="R40" s="1558" t="s">
        <v>8</v>
      </c>
      <c r="S40" s="1559">
        <f t="shared" si="12"/>
        <v>100</v>
      </c>
      <c r="T40" s="1558" t="s">
        <v>8</v>
      </c>
      <c r="U40" s="1559">
        <f t="shared" si="13"/>
        <v>100</v>
      </c>
      <c r="V40" s="1558" t="s">
        <v>8</v>
      </c>
      <c r="W40" s="1559">
        <f t="shared" si="14"/>
        <v>100</v>
      </c>
      <c r="X40" s="1552"/>
      <c r="Y40" s="346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61"/>
      <c r="Q41" s="1557" t="str">
        <f t="shared" si="11"/>
        <v>层高</v>
      </c>
      <c r="R41" s="1558" t="s">
        <v>8</v>
      </c>
      <c r="S41" s="1559">
        <f t="shared" si="12"/>
        <v>100</v>
      </c>
      <c r="T41" s="1558" t="s">
        <v>8</v>
      </c>
      <c r="U41" s="1559">
        <f t="shared" si="13"/>
        <v>100</v>
      </c>
      <c r="V41" s="1558" t="s">
        <v>8</v>
      </c>
      <c r="W41" s="1559">
        <f t="shared" si="14"/>
        <v>100</v>
      </c>
      <c r="X41" s="1552"/>
      <c r="Y41" s="3461"/>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61"/>
      <c r="Q42" s="1589" t="str">
        <f t="shared" si="11"/>
        <v>单套建筑面积</v>
      </c>
      <c r="R42" s="1562" t="s">
        <v>8</v>
      </c>
      <c r="S42" s="1563">
        <f t="shared" si="12"/>
        <v>100</v>
      </c>
      <c r="T42" s="1562" t="s">
        <v>8</v>
      </c>
      <c r="U42" s="1563">
        <f t="shared" si="13"/>
        <v>100</v>
      </c>
      <c r="V42" s="1562" t="s">
        <v>8</v>
      </c>
      <c r="W42" s="1563">
        <f t="shared" si="14"/>
        <v>100</v>
      </c>
      <c r="X42" s="1564"/>
      <c r="Y42" s="346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61"/>
      <c r="Q43" s="1557" t="str">
        <f t="shared" si="11"/>
        <v>内部装修</v>
      </c>
      <c r="R43" s="1558" t="s">
        <v>8</v>
      </c>
      <c r="S43" s="1559">
        <f t="shared" si="12"/>
        <v>100</v>
      </c>
      <c r="T43" s="1558" t="s">
        <v>8</v>
      </c>
      <c r="U43" s="1559">
        <f t="shared" si="13"/>
        <v>100</v>
      </c>
      <c r="V43" s="1558" t="s">
        <v>8</v>
      </c>
      <c r="W43" s="1559">
        <f t="shared" si="14"/>
        <v>100</v>
      </c>
      <c r="X43" s="1552"/>
      <c r="Y43" s="346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61"/>
      <c r="Q44" s="1557" t="str">
        <f t="shared" si="11"/>
        <v>内部装修维护情况</v>
      </c>
      <c r="R44" s="1558" t="s">
        <v>8</v>
      </c>
      <c r="S44" s="1559">
        <f t="shared" si="12"/>
        <v>100</v>
      </c>
      <c r="T44" s="1558" t="s">
        <v>8</v>
      </c>
      <c r="U44" s="1559">
        <f t="shared" si="13"/>
        <v>100</v>
      </c>
      <c r="V44" s="1558" t="s">
        <v>8</v>
      </c>
      <c r="W44" s="1559">
        <f t="shared" si="14"/>
        <v>100</v>
      </c>
      <c r="X44" s="1552"/>
      <c r="Y44" s="3461"/>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61"/>
      <c r="Q45" s="1145">
        <f t="shared" si="11"/>
        <v>111</v>
      </c>
      <c r="R45" s="1553" t="s">
        <v>8</v>
      </c>
      <c r="S45" s="1554">
        <f t="shared" si="12"/>
        <v>100</v>
      </c>
      <c r="T45" s="1553" t="s">
        <v>8</v>
      </c>
      <c r="U45" s="1554">
        <f t="shared" si="13"/>
        <v>100</v>
      </c>
      <c r="V45" s="1553" t="s">
        <v>8</v>
      </c>
      <c r="W45" s="1554">
        <f t="shared" si="14"/>
        <v>100</v>
      </c>
      <c r="X45" s="1555"/>
      <c r="Y45" s="3461"/>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61"/>
      <c r="Q46" s="1557">
        <f t="shared" si="11"/>
        <v>111</v>
      </c>
      <c r="R46" s="1558" t="s">
        <v>8</v>
      </c>
      <c r="S46" s="1559">
        <f t="shared" si="12"/>
        <v>100</v>
      </c>
      <c r="T46" s="1558" t="s">
        <v>8</v>
      </c>
      <c r="U46" s="1559">
        <f t="shared" si="13"/>
        <v>100</v>
      </c>
      <c r="V46" s="1558" t="s">
        <v>8</v>
      </c>
      <c r="W46" s="1559">
        <f t="shared" si="14"/>
        <v>100</v>
      </c>
      <c r="X46" s="1552"/>
      <c r="Y46" s="3461"/>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6"/>
      <c r="Q47" s="1557">
        <f t="shared" si="11"/>
        <v>111</v>
      </c>
      <c r="R47" s="1558" t="s">
        <v>8</v>
      </c>
      <c r="S47" s="1559">
        <f t="shared" si="12"/>
        <v>100</v>
      </c>
      <c r="T47" s="1558" t="s">
        <v>8</v>
      </c>
      <c r="U47" s="1559">
        <f t="shared" si="13"/>
        <v>100</v>
      </c>
      <c r="V47" s="1558" t="s">
        <v>8</v>
      </c>
      <c r="W47" s="1559">
        <f t="shared" si="14"/>
        <v>100</v>
      </c>
      <c r="X47" s="1552"/>
      <c r="Y47" s="352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78" t="str">
        <f>A48</f>
        <v>成交单价（元/平方米）</v>
      </c>
      <c r="Q48" s="3456"/>
      <c r="R48" s="3525">
        <f>E48</f>
        <v>0</v>
      </c>
      <c r="S48" s="3525"/>
      <c r="T48" s="3525">
        <f>G48</f>
        <v>0</v>
      </c>
      <c r="U48" s="3525"/>
      <c r="V48" s="3525">
        <f>I48</f>
        <v>0</v>
      </c>
      <c r="W48" s="3525"/>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78" t="str">
        <f>A49</f>
        <v>比较价格（元/平方米）</v>
      </c>
      <c r="Q49" s="3456"/>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30" t="str">
        <f>A50</f>
        <v>估价对象XX用房的比较价格（楼面单价，元/平方米）</v>
      </c>
      <c r="Q50" s="3478"/>
      <c r="R50" s="3524" t="e">
        <f>IF(F1="售价",ROUND(AVERAGE(R49:V49),0),ROUND(AVERAGE(R49:V49),1))</f>
        <v>#DIV/0!</v>
      </c>
      <c r="S50" s="3524"/>
      <c r="T50" s="3524"/>
      <c r="U50" s="3524"/>
      <c r="V50" s="3524"/>
      <c r="W50" s="352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4" t="str">
        <f>YEAR(C7)&amp;"-"&amp;MONTH(C7)</f>
        <v>2020-10</v>
      </c>
      <c r="D59" s="2756">
        <f>EDATE(C59,-1)</f>
        <v>44075</v>
      </c>
      <c r="E59" s="2756">
        <f t="shared" ref="E59:O59" si="16">EDATE(D59,-1)</f>
        <v>44044</v>
      </c>
      <c r="F59" s="2756">
        <f t="shared" si="16"/>
        <v>44013</v>
      </c>
      <c r="G59" s="2756">
        <f t="shared" si="16"/>
        <v>43983</v>
      </c>
      <c r="H59" s="2756">
        <f t="shared" si="16"/>
        <v>43952</v>
      </c>
      <c r="I59" s="2756">
        <f t="shared" si="16"/>
        <v>43922</v>
      </c>
      <c r="J59" s="2756">
        <f t="shared" si="16"/>
        <v>43891</v>
      </c>
      <c r="K59" s="2756">
        <f t="shared" si="16"/>
        <v>43862</v>
      </c>
      <c r="L59" s="2756">
        <f t="shared" si="16"/>
        <v>43831</v>
      </c>
      <c r="M59" s="2756">
        <f t="shared" si="16"/>
        <v>43800</v>
      </c>
      <c r="N59" s="2756">
        <f t="shared" si="16"/>
        <v>43770</v>
      </c>
      <c r="O59" s="2756">
        <f t="shared" si="16"/>
        <v>43739</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6"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4"/>
      <c r="B7" s="2871" t="s">
        <v>529</v>
      </c>
      <c r="C7" s="519">
        <f>'数据-取费表'!B2</f>
        <v>44134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0" si="3">D8/F8</f>
        <v>#DIV/0!</v>
      </c>
      <c r="AB8" s="1556" t="e">
        <f t="shared" ref="AB8:AB40" si="4">D8/H8</f>
        <v>#DIV/0!</v>
      </c>
      <c r="AC8" s="1556" t="e">
        <f t="shared" ref="AC8:AC40" si="5">D8/J8</f>
        <v>#DIV/0!</v>
      </c>
    </row>
    <row r="9" spans="1:29" s="1214" customFormat="1" ht="15">
      <c r="A9" s="2866"/>
      <c r="B9" s="2873"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57">
      <c r="A15" s="2862"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58" t="s">
        <v>540</v>
      </c>
      <c r="Q15" s="1557" t="str">
        <f t="shared" si="6"/>
        <v>产业集聚程度</v>
      </c>
      <c r="R15" s="1558" t="s">
        <v>8</v>
      </c>
      <c r="S15" s="1559">
        <f t="shared" si="0"/>
        <v>100</v>
      </c>
      <c r="T15" s="1558" t="s">
        <v>8</v>
      </c>
      <c r="U15" s="1559">
        <f t="shared" si="1"/>
        <v>100</v>
      </c>
      <c r="V15" s="1558" t="s">
        <v>8</v>
      </c>
      <c r="W15" s="1559">
        <f t="shared" si="2"/>
        <v>100</v>
      </c>
      <c r="X15" s="1552"/>
      <c r="Y15" s="3458"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9"/>
      <c r="Q25" s="1557">
        <f>B25</f>
        <v>111</v>
      </c>
      <c r="R25" s="1558" t="s">
        <v>8</v>
      </c>
      <c r="S25" s="1559">
        <f>F25</f>
        <v>100</v>
      </c>
      <c r="T25" s="1558" t="s">
        <v>8</v>
      </c>
      <c r="U25" s="1559">
        <f>H25</f>
        <v>100</v>
      </c>
      <c r="V25" s="1558" t="s">
        <v>8</v>
      </c>
      <c r="W25" s="1559">
        <f>J25</f>
        <v>100</v>
      </c>
      <c r="X25" s="1552"/>
      <c r="Y25" s="3459"/>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9"/>
      <c r="Q26" s="1557">
        <f t="shared" ref="Q26:Q40" si="11">B26</f>
        <v>111</v>
      </c>
      <c r="R26" s="1558" t="s">
        <v>8</v>
      </c>
      <c r="S26" s="1559">
        <f>F26</f>
        <v>100</v>
      </c>
      <c r="T26" s="1558" t="s">
        <v>8</v>
      </c>
      <c r="U26" s="1559">
        <f>H26</f>
        <v>100</v>
      </c>
      <c r="V26" s="1558" t="s">
        <v>8</v>
      </c>
      <c r="W26" s="1559">
        <f>J26</f>
        <v>100</v>
      </c>
      <c r="X26" s="1552"/>
      <c r="Y26" s="3459"/>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59"/>
      <c r="Q27" s="1145">
        <f t="shared" si="11"/>
        <v>111</v>
      </c>
      <c r="R27" s="1553" t="s">
        <v>8</v>
      </c>
      <c r="S27" s="1554">
        <f>F27</f>
        <v>100</v>
      </c>
      <c r="T27" s="1553" t="s">
        <v>8</v>
      </c>
      <c r="U27" s="1554">
        <f>H27</f>
        <v>100</v>
      </c>
      <c r="V27" s="1553" t="s">
        <v>8</v>
      </c>
      <c r="W27" s="1554">
        <f>J27</f>
        <v>100</v>
      </c>
      <c r="X27" s="1555"/>
      <c r="Y27" s="3459"/>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59"/>
      <c r="Q28" s="1557">
        <f t="shared" si="11"/>
        <v>111</v>
      </c>
      <c r="R28" s="1558" t="s">
        <v>8</v>
      </c>
      <c r="S28" s="1559">
        <f t="shared" ref="S28:S40" si="12">F28</f>
        <v>100</v>
      </c>
      <c r="T28" s="1558" t="s">
        <v>8</v>
      </c>
      <c r="U28" s="1559">
        <f t="shared" ref="U28:U40" si="13">H28</f>
        <v>100</v>
      </c>
      <c r="V28" s="1558" t="s">
        <v>8</v>
      </c>
      <c r="W28" s="1559">
        <f t="shared" ref="W28:W40" si="14">J28</f>
        <v>100</v>
      </c>
      <c r="X28" s="1552"/>
      <c r="Y28" s="3459"/>
      <c r="Z28" s="1560">
        <f t="shared" ref="Z28:Z40" si="15">Q28</f>
        <v>111</v>
      </c>
      <c r="AA28" s="1561">
        <f t="shared" si="3"/>
        <v>1</v>
      </c>
      <c r="AB28" s="1561">
        <f t="shared" si="4"/>
        <v>1</v>
      </c>
      <c r="AC28" s="1561">
        <f t="shared" si="5"/>
        <v>1</v>
      </c>
    </row>
    <row r="29" spans="1:29" ht="15">
      <c r="A29" s="2859"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60" t="s">
        <v>550</v>
      </c>
      <c r="Q29" s="1557" t="str">
        <f t="shared" si="11"/>
        <v>建筑类型</v>
      </c>
      <c r="R29" s="1558" t="s">
        <v>8</v>
      </c>
      <c r="S29" s="1559">
        <f t="shared" si="12"/>
        <v>100</v>
      </c>
      <c r="T29" s="1558" t="s">
        <v>8</v>
      </c>
      <c r="U29" s="1559">
        <f t="shared" si="13"/>
        <v>100</v>
      </c>
      <c r="V29" s="1558" t="s">
        <v>8</v>
      </c>
      <c r="W29" s="1559">
        <f t="shared" si="14"/>
        <v>100</v>
      </c>
      <c r="X29" s="1552"/>
      <c r="Y29" s="3461"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61"/>
      <c r="Q30" s="1589" t="str">
        <f t="shared" si="11"/>
        <v>项目建筑规模</v>
      </c>
      <c r="R30" s="1562" t="s">
        <v>8</v>
      </c>
      <c r="S30" s="1563" t="e">
        <f t="shared" si="12"/>
        <v>#N/A</v>
      </c>
      <c r="T30" s="1562" t="s">
        <v>8</v>
      </c>
      <c r="U30" s="1563" t="e">
        <f t="shared" si="13"/>
        <v>#N/A</v>
      </c>
      <c r="V30" s="1562" t="s">
        <v>8</v>
      </c>
      <c r="W30" s="1563" t="e">
        <f t="shared" si="14"/>
        <v>#N/A</v>
      </c>
      <c r="X30" s="1564"/>
      <c r="Y30" s="346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61"/>
      <c r="Q31" s="1557" t="str">
        <f t="shared" si="11"/>
        <v>建筑结构</v>
      </c>
      <c r="R31" s="1558" t="s">
        <v>8</v>
      </c>
      <c r="S31" s="1559">
        <f t="shared" si="12"/>
        <v>100</v>
      </c>
      <c r="T31" s="1558" t="s">
        <v>8</v>
      </c>
      <c r="U31" s="1559">
        <f t="shared" si="13"/>
        <v>100</v>
      </c>
      <c r="V31" s="1558" t="s">
        <v>8</v>
      </c>
      <c r="W31" s="1559">
        <f t="shared" si="14"/>
        <v>100</v>
      </c>
      <c r="X31" s="1552"/>
      <c r="Y31" s="346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61"/>
      <c r="Q32" s="1557" t="str">
        <f t="shared" si="11"/>
        <v>公共部分装修</v>
      </c>
      <c r="R32" s="1558" t="s">
        <v>8</v>
      </c>
      <c r="S32" s="1559">
        <f t="shared" si="12"/>
        <v>100</v>
      </c>
      <c r="T32" s="1558" t="s">
        <v>8</v>
      </c>
      <c r="U32" s="1559">
        <f t="shared" si="13"/>
        <v>100</v>
      </c>
      <c r="V32" s="1558" t="s">
        <v>8</v>
      </c>
      <c r="W32" s="1559">
        <f t="shared" si="14"/>
        <v>100</v>
      </c>
      <c r="X32" s="1552"/>
      <c r="Y32" s="346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61"/>
      <c r="Q33" s="1557" t="str">
        <f t="shared" si="11"/>
        <v>成新度</v>
      </c>
      <c r="R33" s="1558" t="s">
        <v>8</v>
      </c>
      <c r="S33" s="1559" t="e">
        <f t="shared" si="12"/>
        <v>#N/A</v>
      </c>
      <c r="T33" s="1558" t="s">
        <v>8</v>
      </c>
      <c r="U33" s="1559" t="e">
        <f t="shared" si="13"/>
        <v>#N/A</v>
      </c>
      <c r="V33" s="1558" t="s">
        <v>8</v>
      </c>
      <c r="W33" s="1559" t="e">
        <f t="shared" si="14"/>
        <v>#N/A</v>
      </c>
      <c r="X33" s="1552"/>
      <c r="Y33" s="3461"/>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61"/>
      <c r="Q34" s="1145" t="str">
        <f t="shared" si="11"/>
        <v>物业管理</v>
      </c>
      <c r="R34" s="1553" t="s">
        <v>8</v>
      </c>
      <c r="S34" s="1554">
        <f t="shared" si="12"/>
        <v>100</v>
      </c>
      <c r="T34" s="1553" t="s">
        <v>8</v>
      </c>
      <c r="U34" s="1554">
        <f t="shared" si="13"/>
        <v>100</v>
      </c>
      <c r="V34" s="1553" t="s">
        <v>8</v>
      </c>
      <c r="W34" s="1554">
        <f t="shared" si="14"/>
        <v>100</v>
      </c>
      <c r="X34" s="1555"/>
      <c r="Y34" s="3461"/>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61" t="s">
        <v>550</v>
      </c>
      <c r="Q35" s="1557" t="str">
        <f t="shared" si="11"/>
        <v>市政基础设施</v>
      </c>
      <c r="R35" s="1558" t="s">
        <v>8</v>
      </c>
      <c r="S35" s="1559">
        <f t="shared" si="12"/>
        <v>100</v>
      </c>
      <c r="T35" s="1558" t="s">
        <v>8</v>
      </c>
      <c r="U35" s="1559">
        <f t="shared" si="13"/>
        <v>100</v>
      </c>
      <c r="V35" s="1558" t="s">
        <v>8</v>
      </c>
      <c r="W35" s="1559">
        <f t="shared" si="14"/>
        <v>100</v>
      </c>
      <c r="X35" s="1552"/>
      <c r="Y35" s="346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61"/>
      <c r="Q36" s="1557" t="str">
        <f t="shared" si="11"/>
        <v>内部装修</v>
      </c>
      <c r="R36" s="1558" t="s">
        <v>8</v>
      </c>
      <c r="S36" s="1559">
        <f t="shared" si="12"/>
        <v>100</v>
      </c>
      <c r="T36" s="1558" t="s">
        <v>8</v>
      </c>
      <c r="U36" s="1559">
        <f t="shared" si="13"/>
        <v>100</v>
      </c>
      <c r="V36" s="1558" t="s">
        <v>8</v>
      </c>
      <c r="W36" s="1559">
        <f t="shared" si="14"/>
        <v>100</v>
      </c>
      <c r="X36" s="1552"/>
      <c r="Y36" s="346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61"/>
      <c r="Q37" s="1557" t="str">
        <f t="shared" si="11"/>
        <v>内部装修状况</v>
      </c>
      <c r="R37" s="1558" t="s">
        <v>8</v>
      </c>
      <c r="S37" s="1559">
        <f t="shared" si="12"/>
        <v>100</v>
      </c>
      <c r="T37" s="1558" t="s">
        <v>8</v>
      </c>
      <c r="U37" s="1559">
        <f t="shared" si="13"/>
        <v>100</v>
      </c>
      <c r="V37" s="1558" t="s">
        <v>8</v>
      </c>
      <c r="W37" s="1559">
        <f t="shared" si="14"/>
        <v>100</v>
      </c>
      <c r="X37" s="1552"/>
      <c r="Y37" s="3461"/>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61"/>
      <c r="Q38" s="1589">
        <f t="shared" si="11"/>
        <v>111</v>
      </c>
      <c r="R38" s="1562" t="s">
        <v>8</v>
      </c>
      <c r="S38" s="1563">
        <f t="shared" si="12"/>
        <v>100</v>
      </c>
      <c r="T38" s="1562" t="s">
        <v>8</v>
      </c>
      <c r="U38" s="1563">
        <f t="shared" si="13"/>
        <v>100</v>
      </c>
      <c r="V38" s="1562" t="s">
        <v>8</v>
      </c>
      <c r="W38" s="1563">
        <f t="shared" si="14"/>
        <v>100</v>
      </c>
      <c r="X38" s="1564"/>
      <c r="Y38" s="3461"/>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61"/>
      <c r="Q39" s="1557">
        <f t="shared" si="11"/>
        <v>111</v>
      </c>
      <c r="R39" s="1558" t="s">
        <v>8</v>
      </c>
      <c r="S39" s="1559">
        <f t="shared" si="12"/>
        <v>100</v>
      </c>
      <c r="T39" s="1558" t="s">
        <v>8</v>
      </c>
      <c r="U39" s="1559">
        <f t="shared" si="13"/>
        <v>100</v>
      </c>
      <c r="V39" s="1558" t="s">
        <v>8</v>
      </c>
      <c r="W39" s="1559">
        <f t="shared" si="14"/>
        <v>100</v>
      </c>
      <c r="X39" s="1552"/>
      <c r="Y39" s="3461"/>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6"/>
      <c r="Q40" s="1557">
        <f t="shared" si="11"/>
        <v>111</v>
      </c>
      <c r="R40" s="1558" t="s">
        <v>8</v>
      </c>
      <c r="S40" s="1559">
        <f t="shared" si="12"/>
        <v>100</v>
      </c>
      <c r="T40" s="1558" t="s">
        <v>8</v>
      </c>
      <c r="U40" s="1559">
        <f t="shared" si="13"/>
        <v>100</v>
      </c>
      <c r="V40" s="1558" t="s">
        <v>8</v>
      </c>
      <c r="W40" s="1559">
        <f t="shared" si="14"/>
        <v>100</v>
      </c>
      <c r="X40" s="1552"/>
      <c r="Y40" s="352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56" t="str">
        <f>A41</f>
        <v>成交单价（元/平方米）</v>
      </c>
      <c r="Q41" s="3456"/>
      <c r="R41" s="3525">
        <f>E41</f>
        <v>0</v>
      </c>
      <c r="S41" s="3525"/>
      <c r="T41" s="3525">
        <f>G41</f>
        <v>0</v>
      </c>
      <c r="U41" s="3525"/>
      <c r="V41" s="3525">
        <f>I41</f>
        <v>0</v>
      </c>
      <c r="W41" s="3525"/>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56" t="str">
        <f>A42</f>
        <v>比较价格（元/平方米）</v>
      </c>
      <c r="Q42" s="3456"/>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77" t="str">
        <f>A43</f>
        <v>估价对象XX用房的比较价格（楼面单价，元/平方米）</v>
      </c>
      <c r="Q43" s="3478"/>
      <c r="R43" s="3524" t="e">
        <f>IF(F1="售价",ROUND(AVERAGE(R42:V42),0),ROUND(AVERAGE(R42:V42),1))</f>
        <v>#DIV/0!</v>
      </c>
      <c r="S43" s="3524"/>
      <c r="T43" s="3524"/>
      <c r="U43" s="3524"/>
      <c r="V43" s="3524"/>
      <c r="W43" s="352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4" t="str">
        <f>YEAR(C7)&amp;"-"&amp;MONTH(C7)</f>
        <v>2020-10</v>
      </c>
      <c r="D52" s="2756">
        <f>EDATE(C52,-1)</f>
        <v>44075</v>
      </c>
      <c r="E52" s="2756">
        <f t="shared" ref="E52:O52" si="16">EDATE(D52,-1)</f>
        <v>44044</v>
      </c>
      <c r="F52" s="2756">
        <f t="shared" si="16"/>
        <v>44013</v>
      </c>
      <c r="G52" s="2756">
        <f t="shared" si="16"/>
        <v>43983</v>
      </c>
      <c r="H52" s="2756">
        <f t="shared" si="16"/>
        <v>43952</v>
      </c>
      <c r="I52" s="2756">
        <f t="shared" si="16"/>
        <v>43922</v>
      </c>
      <c r="J52" s="2756">
        <f t="shared" si="16"/>
        <v>43891</v>
      </c>
      <c r="K52" s="2756">
        <f t="shared" si="16"/>
        <v>43862</v>
      </c>
      <c r="L52" s="2756">
        <f t="shared" si="16"/>
        <v>43831</v>
      </c>
      <c r="M52" s="2756">
        <f t="shared" si="16"/>
        <v>43800</v>
      </c>
      <c r="N52" s="2756">
        <f t="shared" si="16"/>
        <v>43770</v>
      </c>
      <c r="O52" s="2756">
        <f t="shared" si="16"/>
        <v>43739</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62" t="s">
        <v>799</v>
      </c>
      <c r="F4" s="3463"/>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73" t="s">
        <v>2924</v>
      </c>
      <c r="F5" s="3474"/>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75" t="s">
        <v>2927</v>
      </c>
      <c r="F6" s="3476"/>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4"/>
      <c r="B7" s="2871" t="s">
        <v>529</v>
      </c>
      <c r="C7" s="519">
        <f>'数据-取费表'!B2</f>
        <v>44134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6" si="3">D8/F8</f>
        <v>#DIV/0!</v>
      </c>
      <c r="AB8" s="1556" t="e">
        <f t="shared" ref="AB8:AB36" si="4">D8/H8</f>
        <v>#DIV/0!</v>
      </c>
      <c r="AC8" s="1556" t="e">
        <f t="shared" ref="AC8:AC36" si="5">D8/J8</f>
        <v>#DIV/0!</v>
      </c>
    </row>
    <row r="9" spans="1:29" s="1214" customFormat="1" ht="15">
      <c r="A9" s="2866"/>
      <c r="B9" s="2873"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7"/>
      <c r="B10" s="2872"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2"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9"/>
      <c r="Q24" s="1557">
        <f t="shared" ref="Q24:Q36"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59"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61"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61"/>
      <c r="Q27" s="1589" t="str">
        <f t="shared" si="11"/>
        <v>项目停车位配比</v>
      </c>
      <c r="R27" s="1562" t="s">
        <v>8</v>
      </c>
      <c r="S27" s="1563">
        <f t="shared" si="12"/>
        <v>100</v>
      </c>
      <c r="T27" s="1562" t="s">
        <v>8</v>
      </c>
      <c r="U27" s="1563">
        <f t="shared" si="13"/>
        <v>100</v>
      </c>
      <c r="V27" s="1562" t="s">
        <v>8</v>
      </c>
      <c r="W27" s="1563">
        <f t="shared" si="14"/>
        <v>100</v>
      </c>
      <c r="X27" s="1564"/>
      <c r="Y27" s="346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61"/>
      <c r="Q28" s="1557" t="str">
        <f t="shared" si="11"/>
        <v>公共部分装修</v>
      </c>
      <c r="R28" s="1558" t="s">
        <v>8</v>
      </c>
      <c r="S28" s="1559">
        <f t="shared" si="12"/>
        <v>100</v>
      </c>
      <c r="T28" s="1558" t="s">
        <v>8</v>
      </c>
      <c r="U28" s="1559">
        <f t="shared" si="13"/>
        <v>100</v>
      </c>
      <c r="V28" s="1558" t="s">
        <v>8</v>
      </c>
      <c r="W28" s="1559">
        <f t="shared" si="14"/>
        <v>100</v>
      </c>
      <c r="X28" s="1552"/>
      <c r="Y28" s="346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61"/>
      <c r="Q29" s="1557" t="str">
        <f t="shared" si="11"/>
        <v>成新率</v>
      </c>
      <c r="R29" s="1558" t="s">
        <v>8</v>
      </c>
      <c r="S29" s="1559" t="e">
        <f t="shared" si="12"/>
        <v>#N/A</v>
      </c>
      <c r="T29" s="1558" t="s">
        <v>8</v>
      </c>
      <c r="U29" s="1559" t="e">
        <f t="shared" si="13"/>
        <v>#N/A</v>
      </c>
      <c r="V29" s="1558" t="s">
        <v>8</v>
      </c>
      <c r="W29" s="1559" t="e">
        <f t="shared" si="14"/>
        <v>#N/A</v>
      </c>
      <c r="X29" s="1552"/>
      <c r="Y29" s="346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61"/>
      <c r="Q30" s="1557" t="str">
        <f t="shared" si="11"/>
        <v>物业等级</v>
      </c>
      <c r="R30" s="1558" t="s">
        <v>8</v>
      </c>
      <c r="S30" s="1559">
        <f t="shared" si="12"/>
        <v>100</v>
      </c>
      <c r="T30" s="1558" t="s">
        <v>8</v>
      </c>
      <c r="U30" s="1559">
        <f t="shared" si="13"/>
        <v>100</v>
      </c>
      <c r="V30" s="1558" t="s">
        <v>8</v>
      </c>
      <c r="W30" s="1559">
        <f t="shared" si="14"/>
        <v>100</v>
      </c>
      <c r="X30" s="1552"/>
      <c r="Y30" s="3461"/>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61"/>
      <c r="Q31" s="1145" t="str">
        <f t="shared" si="11"/>
        <v>停车位面积</v>
      </c>
      <c r="R31" s="1553" t="s">
        <v>8</v>
      </c>
      <c r="S31" s="1554" t="e">
        <f t="shared" si="12"/>
        <v>#N/A</v>
      </c>
      <c r="T31" s="1553" t="s">
        <v>8</v>
      </c>
      <c r="U31" s="1554" t="e">
        <f t="shared" si="13"/>
        <v>#N/A</v>
      </c>
      <c r="V31" s="1553" t="s">
        <v>8</v>
      </c>
      <c r="W31" s="1554" t="e">
        <f t="shared" si="14"/>
        <v>#N/A</v>
      </c>
      <c r="X31" s="1555"/>
      <c r="Y31" s="3461"/>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61" t="s">
        <v>550</v>
      </c>
      <c r="Q32" s="1557" t="str">
        <f t="shared" si="11"/>
        <v>车位类型</v>
      </c>
      <c r="R32" s="1558" t="s">
        <v>8</v>
      </c>
      <c r="S32" s="1559">
        <f t="shared" si="12"/>
        <v>100</v>
      </c>
      <c r="T32" s="1558" t="s">
        <v>8</v>
      </c>
      <c r="U32" s="1559">
        <f t="shared" si="13"/>
        <v>100</v>
      </c>
      <c r="V32" s="1558" t="s">
        <v>8</v>
      </c>
      <c r="W32" s="1559">
        <f t="shared" si="14"/>
        <v>100</v>
      </c>
      <c r="X32" s="1552"/>
      <c r="Y32" s="346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61"/>
      <c r="Q33" s="1557" t="str">
        <f t="shared" si="11"/>
        <v>是否直接入户</v>
      </c>
      <c r="R33" s="1558" t="s">
        <v>8</v>
      </c>
      <c r="S33" s="1559">
        <f t="shared" si="12"/>
        <v>100</v>
      </c>
      <c r="T33" s="1558" t="s">
        <v>8</v>
      </c>
      <c r="U33" s="1559">
        <f t="shared" si="13"/>
        <v>100</v>
      </c>
      <c r="V33" s="1558" t="s">
        <v>8</v>
      </c>
      <c r="W33" s="1559">
        <f t="shared" si="14"/>
        <v>100</v>
      </c>
      <c r="X33" s="1552"/>
      <c r="Y33" s="346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61"/>
      <c r="Q35" s="1589">
        <f t="shared" si="11"/>
        <v>111</v>
      </c>
      <c r="R35" s="1562" t="s">
        <v>8</v>
      </c>
      <c r="S35" s="1563">
        <f t="shared" si="12"/>
        <v>100</v>
      </c>
      <c r="T35" s="1562" t="s">
        <v>8</v>
      </c>
      <c r="U35" s="1563">
        <f t="shared" si="13"/>
        <v>100</v>
      </c>
      <c r="V35" s="1562" t="s">
        <v>8</v>
      </c>
      <c r="W35" s="1563">
        <f t="shared" si="14"/>
        <v>100</v>
      </c>
      <c r="X35" s="1564"/>
      <c r="Y35" s="3461"/>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61"/>
      <c r="Q36" s="1557">
        <f t="shared" si="11"/>
        <v>111</v>
      </c>
      <c r="R36" s="1558" t="s">
        <v>8</v>
      </c>
      <c r="S36" s="1559">
        <f t="shared" si="12"/>
        <v>100</v>
      </c>
      <c r="T36" s="1558" t="s">
        <v>8</v>
      </c>
      <c r="U36" s="1559">
        <f t="shared" si="13"/>
        <v>100</v>
      </c>
      <c r="V36" s="1558" t="s">
        <v>8</v>
      </c>
      <c r="W36" s="1559">
        <f t="shared" si="14"/>
        <v>100</v>
      </c>
      <c r="X36" s="1552"/>
      <c r="Y36" s="3461"/>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56" t="str">
        <f>A37</f>
        <v>成交单价</v>
      </c>
      <c r="Q37" s="3456"/>
      <c r="R37" s="3525">
        <f>E37</f>
        <v>0</v>
      </c>
      <c r="S37" s="3525"/>
      <c r="T37" s="3525">
        <f>G37</f>
        <v>0</v>
      </c>
      <c r="U37" s="3525"/>
      <c r="V37" s="3525">
        <f>I37</f>
        <v>0</v>
      </c>
      <c r="W37" s="3525"/>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56" t="str">
        <f>A38</f>
        <v>比较价格（元/平方米）</v>
      </c>
      <c r="Q38" s="3456"/>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77" t="str">
        <f>A39</f>
        <v>估价对象XX用房的比较价格（楼面单价，元/平方米）</v>
      </c>
      <c r="Q39" s="3478"/>
      <c r="R39" s="3524" t="e">
        <f>IF(F1="售价",ROUND(AVERAGE(R38:V38),0),ROUND(AVERAGE(R38:V38),1))</f>
        <v>#DIV/0!</v>
      </c>
      <c r="S39" s="3524"/>
      <c r="T39" s="3524"/>
      <c r="U39" s="3524"/>
      <c r="V39" s="3524"/>
      <c r="W39" s="352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4" t="str">
        <f>YEAR(C7)&amp;"-"&amp;MONTH(C7)</f>
        <v>2020-10</v>
      </c>
      <c r="D48" s="2756">
        <f>EDATE(C48,-1)</f>
        <v>44075</v>
      </c>
      <c r="E48" s="2756">
        <f t="shared" ref="E48:O48" si="16">EDATE(D48,-1)</f>
        <v>44044</v>
      </c>
      <c r="F48" s="2756">
        <f t="shared" si="16"/>
        <v>44013</v>
      </c>
      <c r="G48" s="2756">
        <f t="shared" si="16"/>
        <v>43983</v>
      </c>
      <c r="H48" s="2756">
        <f t="shared" si="16"/>
        <v>43952</v>
      </c>
      <c r="I48" s="2756">
        <f t="shared" si="16"/>
        <v>43922</v>
      </c>
      <c r="J48" s="2756">
        <f t="shared" si="16"/>
        <v>43891</v>
      </c>
      <c r="K48" s="2756">
        <f t="shared" si="16"/>
        <v>43862</v>
      </c>
      <c r="L48" s="2756">
        <f t="shared" si="16"/>
        <v>43831</v>
      </c>
      <c r="M48" s="2756">
        <f t="shared" si="16"/>
        <v>43800</v>
      </c>
      <c r="N48" s="2756">
        <f t="shared" si="16"/>
        <v>43770</v>
      </c>
      <c r="O48" s="2756">
        <f t="shared" si="16"/>
        <v>43739</v>
      </c>
      <c r="P48" s="2144"/>
      <c r="Q48" s="2145"/>
      <c r="R48" s="2145"/>
      <c r="S48" s="2145"/>
      <c r="T48" s="2145"/>
      <c r="U48" s="2145"/>
      <c r="V48" s="2145"/>
      <c r="W48" s="2145"/>
      <c r="X48" s="2145"/>
      <c r="Y48" s="2145"/>
      <c r="Z48" s="2145"/>
      <c r="AA48" s="2145"/>
      <c r="AB48" s="2145"/>
      <c r="AC48" s="2145"/>
    </row>
    <row r="49" spans="1:29" s="1214" customFormat="1" ht="15">
      <c r="A49" s="647"/>
      <c r="B49" s="648"/>
      <c r="C49" s="2755">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86" t="s">
        <v>799</v>
      </c>
      <c r="F4" s="3487"/>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4"/>
      <c r="B7" s="2871" t="s">
        <v>529</v>
      </c>
      <c r="C7" s="519">
        <f>'数据-取费表'!B2</f>
        <v>44134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4" si="3">D8/F8</f>
        <v>#DIV/0!</v>
      </c>
      <c r="AB8" s="1556" t="e">
        <f t="shared" ref="AB8:AB34" si="4">D8/H8</f>
        <v>#DIV/0!</v>
      </c>
      <c r="AC8" s="1556" t="e">
        <f t="shared" ref="AC8:AC34" si="5">D8/J8</f>
        <v>#DIV/0!</v>
      </c>
    </row>
    <row r="9" spans="1:29" s="1214" customFormat="1" ht="15">
      <c r="A9" s="2866"/>
      <c r="B9" s="2873"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7"/>
      <c r="B10" s="2872"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2"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9"/>
      <c r="Q24" s="1557">
        <f t="shared" ref="Q24:Q34"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59"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6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61"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61"/>
      <c r="Q27" s="1589" t="str">
        <f t="shared" si="11"/>
        <v>成新率</v>
      </c>
      <c r="R27" s="1562" t="s">
        <v>8</v>
      </c>
      <c r="S27" s="1563" t="e">
        <f t="shared" si="12"/>
        <v>#N/A</v>
      </c>
      <c r="T27" s="1562" t="s">
        <v>8</v>
      </c>
      <c r="U27" s="1563" t="e">
        <f t="shared" si="13"/>
        <v>#N/A</v>
      </c>
      <c r="V27" s="1562" t="s">
        <v>8</v>
      </c>
      <c r="W27" s="1563" t="e">
        <f t="shared" si="14"/>
        <v>#N/A</v>
      </c>
      <c r="X27" s="1564"/>
      <c r="Y27" s="346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61"/>
      <c r="Q28" s="1557" t="str">
        <f t="shared" si="11"/>
        <v>物业等级</v>
      </c>
      <c r="R28" s="1558" t="s">
        <v>8</v>
      </c>
      <c r="S28" s="1559">
        <f t="shared" si="12"/>
        <v>100</v>
      </c>
      <c r="T28" s="1558" t="s">
        <v>8</v>
      </c>
      <c r="U28" s="1559">
        <f t="shared" si="13"/>
        <v>100</v>
      </c>
      <c r="V28" s="1558" t="s">
        <v>8</v>
      </c>
      <c r="W28" s="1559">
        <f t="shared" si="14"/>
        <v>100</v>
      </c>
      <c r="X28" s="1552"/>
      <c r="Y28" s="346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61"/>
      <c r="Q29" s="1557" t="str">
        <f t="shared" si="11"/>
        <v>有无电梯</v>
      </c>
      <c r="R29" s="1558" t="s">
        <v>8</v>
      </c>
      <c r="S29" s="1559">
        <f t="shared" si="12"/>
        <v>100</v>
      </c>
      <c r="T29" s="1558" t="s">
        <v>8</v>
      </c>
      <c r="U29" s="1559">
        <f t="shared" si="13"/>
        <v>100</v>
      </c>
      <c r="V29" s="1558" t="s">
        <v>8</v>
      </c>
      <c r="W29" s="1559">
        <f t="shared" si="14"/>
        <v>100</v>
      </c>
      <c r="X29" s="1552"/>
      <c r="Y29" s="346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61"/>
      <c r="Q30" s="1557" t="str">
        <f t="shared" si="11"/>
        <v>建筑面积</v>
      </c>
      <c r="R30" s="1558" t="s">
        <v>8</v>
      </c>
      <c r="S30" s="1559" t="e">
        <f t="shared" si="12"/>
        <v>#N/A</v>
      </c>
      <c r="T30" s="1558" t="s">
        <v>8</v>
      </c>
      <c r="U30" s="1559" t="e">
        <f t="shared" si="13"/>
        <v>#N/A</v>
      </c>
      <c r="V30" s="1558" t="s">
        <v>8</v>
      </c>
      <c r="W30" s="1559" t="e">
        <f t="shared" si="14"/>
        <v>#N/A</v>
      </c>
      <c r="X30" s="1552"/>
      <c r="Y30" s="3461"/>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61"/>
      <c r="Q31" s="1145" t="str">
        <f t="shared" si="11"/>
        <v>是否封闭</v>
      </c>
      <c r="R31" s="1553" t="s">
        <v>8</v>
      </c>
      <c r="S31" s="1554">
        <f t="shared" si="12"/>
        <v>100</v>
      </c>
      <c r="T31" s="1553" t="s">
        <v>8</v>
      </c>
      <c r="U31" s="1554">
        <f t="shared" si="13"/>
        <v>100</v>
      </c>
      <c r="V31" s="1553" t="s">
        <v>8</v>
      </c>
      <c r="W31" s="1554">
        <f t="shared" si="14"/>
        <v>100</v>
      </c>
      <c r="X31" s="1555"/>
      <c r="Y31" s="3461"/>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61" t="s">
        <v>550</v>
      </c>
      <c r="Q32" s="1557">
        <f t="shared" si="11"/>
        <v>111</v>
      </c>
      <c r="R32" s="1558" t="s">
        <v>8</v>
      </c>
      <c r="S32" s="1559">
        <f t="shared" si="12"/>
        <v>100</v>
      </c>
      <c r="T32" s="1558" t="s">
        <v>8</v>
      </c>
      <c r="U32" s="1559">
        <f t="shared" si="13"/>
        <v>100</v>
      </c>
      <c r="V32" s="1558" t="s">
        <v>8</v>
      </c>
      <c r="W32" s="1559">
        <f t="shared" si="14"/>
        <v>100</v>
      </c>
      <c r="X32" s="1552"/>
      <c r="Y32" s="346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61"/>
      <c r="Q33" s="1557">
        <f t="shared" si="11"/>
        <v>111</v>
      </c>
      <c r="R33" s="1558" t="s">
        <v>8</v>
      </c>
      <c r="S33" s="1559">
        <f t="shared" si="12"/>
        <v>100</v>
      </c>
      <c r="T33" s="1558" t="s">
        <v>8</v>
      </c>
      <c r="U33" s="1559">
        <f t="shared" si="13"/>
        <v>100</v>
      </c>
      <c r="V33" s="1558" t="s">
        <v>8</v>
      </c>
      <c r="W33" s="1559">
        <f t="shared" si="14"/>
        <v>100</v>
      </c>
      <c r="X33" s="1552"/>
      <c r="Y33" s="3461"/>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56" t="str">
        <f>A35</f>
        <v>成交单价（元/平方米）</v>
      </c>
      <c r="Q35" s="3456"/>
      <c r="R35" s="3525">
        <f>E35</f>
        <v>0</v>
      </c>
      <c r="S35" s="3525"/>
      <c r="T35" s="3525">
        <f>G35</f>
        <v>0</v>
      </c>
      <c r="U35" s="3525"/>
      <c r="V35" s="3525">
        <f>I35</f>
        <v>0</v>
      </c>
      <c r="W35" s="3525"/>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56" t="str">
        <f>A36</f>
        <v>比较价格（元/平方米）</v>
      </c>
      <c r="Q36" s="3456"/>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77" t="str">
        <f>A37</f>
        <v>估价对象XX用房的比较价格（楼面单价，元/平方米）</v>
      </c>
      <c r="Q37" s="3478"/>
      <c r="R37" s="3524" t="e">
        <f>IF(F1="售价",ROUND(AVERAGE(R36:V36),0),ROUND(AVERAGE(R36:V36),1))</f>
        <v>#DIV/0!</v>
      </c>
      <c r="S37" s="3524"/>
      <c r="T37" s="3524"/>
      <c r="U37" s="3524"/>
      <c r="V37" s="3524"/>
      <c r="W37" s="352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4" t="str">
        <f>YEAR(C7)&amp;"-"&amp;MONTH(C7)</f>
        <v>2020-10</v>
      </c>
      <c r="D46" s="2756">
        <f>EDATE(C46,-1)</f>
        <v>44075</v>
      </c>
      <c r="E46" s="2756">
        <f t="shared" ref="E46:O46" si="16">EDATE(D46,-1)</f>
        <v>44044</v>
      </c>
      <c r="F46" s="2756">
        <f t="shared" si="16"/>
        <v>44013</v>
      </c>
      <c r="G46" s="2756">
        <f t="shared" si="16"/>
        <v>43983</v>
      </c>
      <c r="H46" s="2756">
        <f t="shared" si="16"/>
        <v>43952</v>
      </c>
      <c r="I46" s="2756">
        <f t="shared" si="16"/>
        <v>43922</v>
      </c>
      <c r="J46" s="2756">
        <f t="shared" si="16"/>
        <v>43891</v>
      </c>
      <c r="K46" s="2756">
        <f t="shared" si="16"/>
        <v>43862</v>
      </c>
      <c r="L46" s="2756">
        <f t="shared" si="16"/>
        <v>43831</v>
      </c>
      <c r="M46" s="2756">
        <f t="shared" si="16"/>
        <v>43800</v>
      </c>
      <c r="N46" s="2756">
        <f t="shared" si="16"/>
        <v>43770</v>
      </c>
      <c r="O46" s="2756">
        <f t="shared" si="16"/>
        <v>43739</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4" t="s">
        <v>2299</v>
      </c>
      <c r="D1" s="3535"/>
      <c r="E1" s="3535"/>
      <c r="F1" s="3535"/>
      <c r="G1" s="3535"/>
      <c r="H1" s="3535"/>
      <c r="I1" s="3535"/>
      <c r="J1" s="3535"/>
      <c r="K1" s="3535"/>
      <c r="L1" s="3535"/>
      <c r="M1" s="3535"/>
      <c r="N1" s="3535"/>
      <c r="O1" s="3535"/>
      <c r="P1" s="3535"/>
      <c r="Q1" s="3535"/>
      <c r="R1" s="3535"/>
      <c r="S1" s="353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7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2"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4"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4"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3"/>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2"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2"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2"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598" customFormat="1" ht="24">
      <c r="A23" s="17" t="s">
        <v>830</v>
      </c>
      <c r="B23" s="317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96343.56平方米。根据《建设工程规划许可证》[]、《出让合同》[]，估价对象规划建筑面积为96343.56平方米。</v>
      </c>
    </row>
    <row r="7" spans="1:4" ht="93.75">
      <c r="A7" s="2825"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7" t="s">
        <v>2743</v>
      </c>
    </row>
    <row r="24" spans="1:1" ht="18.75">
      <c r="A24" s="1775" t="s">
        <v>2071</v>
      </c>
    </row>
    <row r="25" spans="1:1" ht="75">
      <c r="A25" s="1775" t="str">
        <f>定义!C53</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26" spans="1:1" ht="93.75">
      <c r="A26" s="1775"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B11" zoomScale="80" zoomScaleNormal="80" workbookViewId="0">
      <selection activeCell="D35" sqref="D3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70508</v>
      </c>
      <c r="C2" s="1345"/>
      <c r="D2" s="2039"/>
      <c r="E2" s="2040"/>
      <c r="F2" s="2040"/>
      <c r="G2" s="1575"/>
      <c r="H2" s="1357"/>
      <c r="I2" s="2041"/>
      <c r="J2" s="2041"/>
      <c r="K2" s="2042"/>
      <c r="L2" s="2041"/>
      <c r="M2" s="2041"/>
    </row>
    <row r="3" spans="1:25" ht="18" customHeight="1">
      <c r="A3" s="1629" t="s">
        <v>1684</v>
      </c>
      <c r="B3" s="1386">
        <f ca="1">ROUND(B2*10000/'数据-汇总表'!E3,0)</f>
        <v>7318</v>
      </c>
      <c r="C3" s="1345"/>
      <c r="D3" s="2039"/>
      <c r="E3" s="2040"/>
      <c r="F3" s="2040"/>
      <c r="G3" s="1575"/>
      <c r="H3" s="775" t="s">
        <v>695</v>
      </c>
      <c r="I3" s="2041"/>
      <c r="J3" s="2041"/>
      <c r="K3" s="2042"/>
      <c r="L3" s="2041"/>
      <c r="M3" s="2041"/>
    </row>
    <row r="4" spans="1:25" ht="18" customHeight="1">
      <c r="A4" s="1630" t="s">
        <v>696</v>
      </c>
      <c r="B4" s="1346">
        <f ca="1">ROUND(B2*10000/'数据-汇总表'!D3,0)</f>
        <v>7318</v>
      </c>
      <c r="C4" s="428"/>
      <c r="D4" s="2039"/>
      <c r="E4" s="2040"/>
      <c r="F4" s="2040"/>
      <c r="G4" s="1575"/>
      <c r="H4" s="775"/>
      <c r="I4" s="2041"/>
      <c r="J4" s="2041"/>
      <c r="K4" s="2042"/>
      <c r="L4" s="2041"/>
      <c r="M4" s="2041"/>
    </row>
    <row r="5" spans="1:25" ht="18" customHeight="1" thickBot="1">
      <c r="A5" s="1631"/>
      <c r="B5" s="430">
        <f ca="1">ROUND(B2/('数据-汇总表'!D3/666.67),0)</f>
        <v>488</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4859</v>
      </c>
      <c r="D7" s="2459" t="s">
        <v>2456</v>
      </c>
      <c r="E7" s="2453"/>
      <c r="F7" s="2454"/>
      <c r="G7" s="1577"/>
      <c r="H7" s="780">
        <v>1</v>
      </c>
      <c r="I7" s="781" t="s">
        <v>2453</v>
      </c>
      <c r="J7" s="53">
        <f ca="1">J8+J12+J14</f>
        <v>0</v>
      </c>
      <c r="K7" s="2459" t="s">
        <v>2456</v>
      </c>
      <c r="L7" s="2453"/>
      <c r="M7" s="2454"/>
    </row>
    <row r="8" spans="1:25" ht="18" customHeight="1">
      <c r="A8" s="1814" t="s">
        <v>1822</v>
      </c>
      <c r="B8" s="3499" t="s">
        <v>2458</v>
      </c>
      <c r="C8" s="1809">
        <f ca="1">ROUND(F8*F10*F9*(1-F11)/10000,0)</f>
        <v>4853</v>
      </c>
      <c r="D8" s="1806" t="s">
        <v>2529</v>
      </c>
      <c r="E8" s="61" t="s">
        <v>637</v>
      </c>
      <c r="F8" s="784">
        <f ca="1">INDIRECT("'数据-取费表'!u"&amp;$G$1)</f>
        <v>1.5</v>
      </c>
      <c r="G8" s="1577"/>
      <c r="H8" s="2467" t="s">
        <v>1822</v>
      </c>
      <c r="I8" s="3499" t="s">
        <v>2458</v>
      </c>
      <c r="J8" s="782">
        <f ca="1">ROUND(M8*M10*M9*(1-M11)/10000,0)</f>
        <v>0</v>
      </c>
      <c r="K8" s="341" t="s">
        <v>2529</v>
      </c>
      <c r="L8" s="783" t="s">
        <v>1736</v>
      </c>
      <c r="M8" s="784">
        <f ca="1">INDIRECT("'数据-取费表'!z"&amp;$G$1)</f>
        <v>0</v>
      </c>
    </row>
    <row r="9" spans="1:25" ht="18" customHeight="1">
      <c r="A9" s="2463"/>
      <c r="B9" s="3500"/>
      <c r="C9" s="1810"/>
      <c r="D9" s="1807"/>
      <c r="E9" s="61" t="s">
        <v>638</v>
      </c>
      <c r="F9" s="784">
        <f ca="1">IF(INDIRECT("'数据-取费表'!ah"&amp;$G$1)="",INDIRECT("'数据-取费表'!k"&amp;$G$1),INDIRECT("'数据-取费表'!ah"&amp;$G$1))</f>
        <v>96343.56</v>
      </c>
      <c r="G9" s="1577"/>
      <c r="H9" s="2452"/>
      <c r="I9" s="3500"/>
      <c r="J9" s="787"/>
      <c r="K9" s="788"/>
      <c r="L9" s="783" t="s">
        <v>1737</v>
      </c>
      <c r="M9" s="784">
        <f ca="1">F9</f>
        <v>96343.56</v>
      </c>
    </row>
    <row r="10" spans="1:25" ht="18" customHeight="1">
      <c r="A10" s="2456"/>
      <c r="B10" s="3501"/>
      <c r="C10" s="1810"/>
      <c r="D10" s="1807"/>
      <c r="E10" s="61" t="s">
        <v>639</v>
      </c>
      <c r="F10" s="784">
        <f ca="1">INDIRECT("'数据-取费表'!ai"&amp;$G$1)</f>
        <v>365</v>
      </c>
      <c r="G10" s="1577"/>
      <c r="H10" s="2452"/>
      <c r="I10" s="3501"/>
      <c r="J10" s="787"/>
      <c r="K10" s="788"/>
      <c r="L10" s="783" t="s">
        <v>1738</v>
      </c>
      <c r="M10" s="784">
        <f ca="1">INDIRECT("'数据-取费表'!ai"&amp;$G$1)</f>
        <v>365</v>
      </c>
    </row>
    <row r="11" spans="1:25" ht="18" customHeight="1">
      <c r="A11" s="785"/>
      <c r="B11" s="3502"/>
      <c r="C11" s="1810"/>
      <c r="D11" s="1807"/>
      <c r="E11" s="61" t="s">
        <v>640</v>
      </c>
      <c r="F11" s="793">
        <f ca="1">INDIRECT("'数据-取费表'!w"&amp;$G$1)</f>
        <v>0.08</v>
      </c>
      <c r="G11" s="1577"/>
      <c r="H11" s="2468"/>
      <c r="I11" s="3501"/>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6</v>
      </c>
      <c r="D12" s="2464" t="s">
        <v>2966</v>
      </c>
      <c r="E12" s="2461" t="s">
        <v>2459</v>
      </c>
      <c r="F12" s="2584" t="s">
        <v>3169</v>
      </c>
      <c r="G12" s="1577"/>
      <c r="H12" s="2524" t="s">
        <v>1823</v>
      </c>
      <c r="I12" s="2529" t="s">
        <v>2454</v>
      </c>
      <c r="J12" s="782">
        <f ca="1">ROUND(IF(M12="押一",J8/12*M13,IF(M12="押二",J8/12*2*M13,IF(M12="押三",J8/12*3*M13,J13*M13))),0)</f>
        <v>0</v>
      </c>
      <c r="K12" s="2464" t="s">
        <v>2966</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20677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14452</v>
      </c>
      <c r="D16" s="1963" t="s">
        <v>646</v>
      </c>
      <c r="E16" s="1964"/>
      <c r="F16" s="804"/>
      <c r="G16" s="1577"/>
      <c r="H16" s="802" t="s">
        <v>2065</v>
      </c>
      <c r="I16" s="2215" t="s">
        <v>2818</v>
      </c>
      <c r="J16" s="53">
        <f ca="1">C31</f>
        <v>20677</v>
      </c>
      <c r="K16" s="26"/>
      <c r="L16" s="800"/>
      <c r="M16" s="801"/>
    </row>
    <row r="17" spans="1:25" s="2048" customFormat="1" ht="18" customHeight="1">
      <c r="A17" s="802" t="s">
        <v>1847</v>
      </c>
      <c r="B17" s="783" t="s">
        <v>647</v>
      </c>
      <c r="C17" s="53">
        <f ca="1">ROUND(C16*F17,0)</f>
        <v>434</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312</v>
      </c>
      <c r="K18" s="26" t="s">
        <v>652</v>
      </c>
      <c r="L18" s="1966"/>
      <c r="M18" s="56"/>
    </row>
    <row r="19" spans="1:25" s="2048" customFormat="1" ht="18" customHeight="1">
      <c r="A19" s="802" t="s">
        <v>1849</v>
      </c>
      <c r="B19" s="783" t="s">
        <v>653</v>
      </c>
      <c r="C19" s="53">
        <f ca="1">ROUND(F19*(INDIRECT("'数据-取费表'!k"&amp;$G$1)+INDIRECT("'数据-取费表'!S"&amp;$G$1))/10000,0)</f>
        <v>1927</v>
      </c>
      <c r="D19" s="783" t="s">
        <v>654</v>
      </c>
      <c r="E19" s="783" t="s">
        <v>655</v>
      </c>
      <c r="F19" s="56">
        <f>'数据-取费表'!B35</f>
        <v>200</v>
      </c>
      <c r="G19" s="1578"/>
      <c r="H19" s="802" t="s">
        <v>2065</v>
      </c>
      <c r="I19" s="783" t="s">
        <v>656</v>
      </c>
      <c r="J19" s="53">
        <f ca="1">ROUND(IF(项目基本情况!B11="自然人",J8*M19/(1+'数据-取费表'!C42),J20+J21+J22),0)</f>
        <v>188</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217</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17030</v>
      </c>
      <c r="D21" s="261" t="s">
        <v>663</v>
      </c>
      <c r="E21" s="1966"/>
      <c r="F21" s="56"/>
      <c r="G21" s="1577"/>
      <c r="H21" s="1814" t="s">
        <v>1847</v>
      </c>
      <c r="I21" s="783" t="s">
        <v>664</v>
      </c>
      <c r="J21" s="53">
        <f ca="1">IF(K21="按租金收入计税",ROUND(J8*M21/(1+'数据-取费表'!C42),1),ROUND(C31*F35*0.7,1))</f>
        <v>173.7</v>
      </c>
      <c r="K21" s="810" t="s">
        <v>665</v>
      </c>
      <c r="L21" s="783" t="s">
        <v>649</v>
      </c>
      <c r="M21" s="808">
        <f>IF(K21="按租金收入计税",'数据-取费表'!B51,'数据-取费表'!B50)</f>
        <v>1.2E-2</v>
      </c>
    </row>
    <row r="22" spans="1:25" s="2048" customFormat="1" ht="18" customHeight="1">
      <c r="A22" s="802" t="s">
        <v>1875</v>
      </c>
      <c r="B22" s="783" t="s">
        <v>666</v>
      </c>
      <c r="C22" s="53">
        <f ca="1">ROUND(C21*F22,0)</f>
        <v>341</v>
      </c>
      <c r="D22" s="811" t="s">
        <v>667</v>
      </c>
      <c r="E22" s="783" t="s">
        <v>649</v>
      </c>
      <c r="F22" s="808">
        <f>'数据-取费表'!B37</f>
        <v>0.02</v>
      </c>
      <c r="G22" s="1578"/>
      <c r="H22" s="1816" t="s">
        <v>1848</v>
      </c>
      <c r="I22" s="1806" t="s">
        <v>668</v>
      </c>
      <c r="J22" s="54">
        <f ca="1">ROUND(M22*M23/10000,0)</f>
        <v>14</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96343.56</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124</v>
      </c>
      <c r="K24" s="1961" t="s">
        <v>677</v>
      </c>
      <c r="L24" s="783" t="s">
        <v>649</v>
      </c>
      <c r="M24" s="816">
        <f ca="1">INDIRECT("'数据-取费表'!Ak"&amp;$G$1)</f>
        <v>6.0000000000000001E-3</v>
      </c>
    </row>
    <row r="25" spans="1:25" s="2048" customFormat="1" ht="18" customHeight="1">
      <c r="A25" s="802" t="s">
        <v>1873</v>
      </c>
      <c r="B25" s="783" t="s">
        <v>2432</v>
      </c>
      <c r="C25" s="53">
        <f ca="1">ROUND(IF('数据-取费表'!B22&lt;=1,(C21+C22)*F26*F25/2,(C21+C22)*(POWER((1+F26),F25/2)-1)),0)</f>
        <v>378</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4.0000000000000002E-4</v>
      </c>
      <c r="D26" s="2534" t="str">
        <f>IF(F25&lt;=1,"销售费用×利率×(建设周期÷2)","销售费用×((1+利率)^(建设周期÷2)-1)")</f>
        <v>销售费用×利率×(建设周期÷2)</v>
      </c>
      <c r="E26" s="783" t="s">
        <v>682</v>
      </c>
      <c r="F26" s="818">
        <f ca="1">'数据-取费表'!B40</f>
        <v>4.3499999999999997E-2</v>
      </c>
      <c r="G26" s="1578"/>
      <c r="H26" s="802" t="s">
        <v>1877</v>
      </c>
      <c r="I26" s="783" t="s">
        <v>666</v>
      </c>
      <c r="J26" s="53">
        <f ca="1">ROUND(J7*M26,0)</f>
        <v>0</v>
      </c>
      <c r="K26" s="1961" t="s">
        <v>683</v>
      </c>
      <c r="L26" s="783" t="s">
        <v>649</v>
      </c>
      <c r="M26" s="793">
        <f ca="1">INDIRECT("'数据-取费表'!Am"&amp;$G$1)</f>
        <v>5.0000000000000001E-3</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0" t="s">
        <v>2815</v>
      </c>
      <c r="J27" s="798">
        <f ca="1">J7-J18</f>
        <v>-312</v>
      </c>
      <c r="K27" s="1963" t="s">
        <v>700</v>
      </c>
      <c r="L27" s="1965"/>
      <c r="M27" s="819"/>
    </row>
    <row r="28" spans="1:25" ht="18" customHeight="1">
      <c r="A28" s="802" t="s">
        <v>1873</v>
      </c>
      <c r="B28" s="783" t="s">
        <v>2433</v>
      </c>
      <c r="C28" s="53">
        <f ca="1">ROUND((C21+C22)*F28,0)</f>
        <v>1390</v>
      </c>
      <c r="D28" s="811" t="s">
        <v>701</v>
      </c>
      <c r="E28" s="794" t="s">
        <v>702</v>
      </c>
      <c r="F28" s="793">
        <f ca="1">INDIRECT("'数据-取费表'!q"&amp;$G$1)</f>
        <v>0.08</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1.6000000000000001E-3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20677</v>
      </c>
      <c r="D31" s="2508"/>
      <c r="E31" s="2509"/>
      <c r="F31" s="2510"/>
      <c r="G31" s="1578"/>
      <c r="H31" s="822" t="s">
        <v>1870</v>
      </c>
      <c r="I31" s="2961" t="s">
        <v>2817</v>
      </c>
      <c r="J31" s="824">
        <f ca="1">ROUND(J28/(1+F45)^F46,0)</f>
        <v>0</v>
      </c>
      <c r="K31" s="825" t="s">
        <v>688</v>
      </c>
      <c r="L31" s="826"/>
      <c r="M31" s="827">
        <f ca="1">INDIRECT("'数据-取费表'!k"&amp;$G$1)</f>
        <v>96343.56</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612</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442.4</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254.2</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173.7</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14.5</v>
      </c>
      <c r="D36" s="813" t="s">
        <v>669</v>
      </c>
      <c r="E36" s="783" t="s">
        <v>670</v>
      </c>
      <c r="F36" s="640">
        <f>'数据-取费表'!B52</f>
        <v>1.5</v>
      </c>
      <c r="G36" s="2046"/>
      <c r="H36" s="2049"/>
      <c r="I36" s="3537"/>
      <c r="J36" s="2063"/>
      <c r="K36" s="2064"/>
      <c r="L36" s="2063"/>
      <c r="M36" s="2063"/>
    </row>
    <row r="37" spans="1:18" ht="18" customHeight="1">
      <c r="A37" s="814"/>
      <c r="B37" s="792"/>
      <c r="C37" s="69"/>
      <c r="D37" s="815"/>
      <c r="E37" s="783" t="s">
        <v>674</v>
      </c>
      <c r="F37" s="784">
        <f ca="1">INDIRECT("'数据-取费表'!r"&amp;$G$1)</f>
        <v>96343.56</v>
      </c>
      <c r="G37" s="2046"/>
      <c r="H37" s="2049"/>
      <c r="I37" s="3537"/>
      <c r="J37" s="2061"/>
      <c r="K37" s="2062"/>
      <c r="L37" s="2061"/>
      <c r="M37" s="2061"/>
    </row>
    <row r="38" spans="1:18" ht="18" customHeight="1">
      <c r="A38" s="802" t="s">
        <v>1875</v>
      </c>
      <c r="B38" s="783" t="s">
        <v>676</v>
      </c>
      <c r="C38" s="53">
        <f ca="1">ROUND(C31*F38,1)</f>
        <v>124.1</v>
      </c>
      <c r="D38" s="1961" t="s">
        <v>691</v>
      </c>
      <c r="E38" s="783" t="s">
        <v>649</v>
      </c>
      <c r="F38" s="816">
        <f ca="1">INDIRECT("'数据-取费表'!Ak"&amp;$G$1)</f>
        <v>6.0000000000000001E-3</v>
      </c>
      <c r="G38" s="2046"/>
      <c r="H38" s="2061"/>
      <c r="I38" s="2065"/>
      <c r="J38" s="1972"/>
      <c r="K38" s="2066"/>
      <c r="L38" s="2061"/>
      <c r="M38" s="2061"/>
    </row>
    <row r="39" spans="1:18" ht="18" customHeight="1">
      <c r="A39" s="802" t="s">
        <v>1876</v>
      </c>
      <c r="B39" s="783" t="s">
        <v>679</v>
      </c>
      <c r="C39" s="53">
        <f ca="1">ROUND(C15*F39,1)</f>
        <v>20.7</v>
      </c>
      <c r="D39" s="1961" t="s">
        <v>680</v>
      </c>
      <c r="E39" s="783" t="s">
        <v>649</v>
      </c>
      <c r="F39" s="817">
        <f ca="1">INDIRECT("'数据-取费表'!Al"&amp;$G$1)</f>
        <v>1E-3</v>
      </c>
      <c r="G39" s="2046"/>
      <c r="H39" s="2061"/>
      <c r="I39" s="2065"/>
      <c r="J39" s="1972"/>
      <c r="K39" s="2066"/>
      <c r="L39" s="2061"/>
      <c r="M39" s="2061"/>
    </row>
    <row r="40" spans="1:18" ht="18" customHeight="1" thickBot="1">
      <c r="A40" s="2523" t="s">
        <v>1877</v>
      </c>
      <c r="B40" s="2509" t="s">
        <v>666</v>
      </c>
      <c r="C40" s="2507">
        <f ca="1">ROUND(C7*F40,1)</f>
        <v>24.3</v>
      </c>
      <c r="D40" s="2508" t="s">
        <v>683</v>
      </c>
      <c r="E40" s="2509" t="s">
        <v>649</v>
      </c>
      <c r="F40" s="2505">
        <f ca="1">INDIRECT("'数据-取费表'!Am"&amp;$G$1)</f>
        <v>5.0000000000000001E-3</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4247</v>
      </c>
      <c r="D42" s="1963" t="s">
        <v>694</v>
      </c>
      <c r="E42" s="1965"/>
      <c r="F42" s="819"/>
      <c r="G42" s="2046"/>
      <c r="H42" s="2046"/>
      <c r="I42" s="2046"/>
      <c r="J42" s="2046"/>
      <c r="K42" s="2067"/>
      <c r="L42" s="2046"/>
      <c r="M42" s="2046"/>
    </row>
    <row r="43" spans="1:18" ht="18" customHeight="1">
      <c r="A43" s="802" t="s">
        <v>1875</v>
      </c>
      <c r="B43" s="834" t="s">
        <v>711</v>
      </c>
      <c r="C43" s="835">
        <f ca="1">ROUND(C15*F43,0)</f>
        <v>1241</v>
      </c>
      <c r="D43" s="1350" t="s">
        <v>712</v>
      </c>
      <c r="E43" s="3058" t="s">
        <v>2955</v>
      </c>
      <c r="F43" s="3059">
        <f ca="1">INDIRECT("'数据-取费表'!j"&amp;$G$1)</f>
        <v>0.06</v>
      </c>
      <c r="G43" s="2046"/>
      <c r="H43" s="2046"/>
      <c r="I43" s="2046"/>
      <c r="J43" s="2046"/>
      <c r="K43" s="2067"/>
      <c r="L43" s="2046"/>
      <c r="M43" s="2046"/>
    </row>
    <row r="44" spans="1:18" ht="18" customHeight="1">
      <c r="A44" s="802" t="s">
        <v>1876</v>
      </c>
      <c r="B44" s="834" t="s">
        <v>713</v>
      </c>
      <c r="C44" s="1351">
        <f ca="1">C42-C43</f>
        <v>3006</v>
      </c>
      <c r="D44" s="463" t="s">
        <v>714</v>
      </c>
      <c r="E44" s="464"/>
      <c r="F44" s="465"/>
      <c r="G44" s="2046"/>
      <c r="H44" s="2046"/>
      <c r="I44" s="2046"/>
      <c r="J44" s="2046"/>
      <c r="K44" s="2067"/>
      <c r="L44" s="2046"/>
      <c r="M44" s="2046"/>
    </row>
    <row r="45" spans="1:18" ht="18" customHeight="1">
      <c r="A45" s="802" t="s">
        <v>1877</v>
      </c>
      <c r="B45" s="1350" t="s">
        <v>715</v>
      </c>
      <c r="C45" s="2987">
        <f ca="1">ROUND(-PV(F45,F46,C44,0),0)</f>
        <v>70508</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0"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091" t="e">
        <f ca="1">IF(M48="住宅",0,IF(L49&gt;J52,L61,J61))</f>
        <v>#DIV/0!</v>
      </c>
      <c r="O47" s="2357" t="s">
        <v>2405</v>
      </c>
      <c r="P47" s="1577"/>
      <c r="Q47" s="1588"/>
      <c r="R47" s="1577"/>
    </row>
    <row r="48" spans="1:18" s="2043" customFormat="1" ht="18" customHeight="1" thickBot="1">
      <c r="A48" s="2068"/>
      <c r="C48" s="2071"/>
      <c r="D48" s="2072"/>
      <c r="E48" s="2072"/>
      <c r="F48" s="2073"/>
      <c r="G48" s="2074"/>
      <c r="I48" s="3082" t="s">
        <v>2339</v>
      </c>
      <c r="J48" s="2344"/>
      <c r="K48" s="3088" t="s">
        <v>2344</v>
      </c>
      <c r="L48" s="3092">
        <f ca="1">INDIRECT("'数据-取费表'!d"&amp;$G$1)</f>
        <v>50</v>
      </c>
      <c r="M48" s="3057"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62" t="s">
        <v>2340</v>
      </c>
      <c r="J49" s="2345"/>
      <c r="K49" s="3089" t="s">
        <v>2346</v>
      </c>
      <c r="L49" s="1892">
        <f ca="1">INDIRECT("'数据-取费表'!f"&amp;$G$1)</f>
        <v>50</v>
      </c>
      <c r="O49" s="2361" t="s">
        <v>2374</v>
      </c>
      <c r="P49" s="2362" t="s">
        <v>2400</v>
      </c>
      <c r="Q49" s="2363">
        <f ca="1">C41+J31</f>
        <v>0</v>
      </c>
      <c r="R49" s="2362" t="s">
        <v>2375</v>
      </c>
    </row>
    <row r="50" spans="1:18" s="2043" customFormat="1" ht="18" customHeight="1" thickBot="1">
      <c r="A50" s="2068"/>
      <c r="D50" s="2078"/>
      <c r="E50" s="2078"/>
      <c r="F50" s="2072"/>
      <c r="G50" s="2079"/>
      <c r="H50" s="2077"/>
      <c r="I50" s="3062" t="s">
        <v>2341</v>
      </c>
      <c r="J50" s="2346"/>
      <c r="K50" s="309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62" t="s">
        <v>2342</v>
      </c>
      <c r="J51" s="3086">
        <f>SUMPRODUCT((I64:I66=J48)*(J63:L63=J49)*(J64:L66))</f>
        <v>0</v>
      </c>
      <c r="K51" s="3090" t="s">
        <v>2348</v>
      </c>
      <c r="L51" s="2347"/>
      <c r="O51" s="2364" t="s">
        <v>2378</v>
      </c>
      <c r="P51" s="2362" t="s">
        <v>2402</v>
      </c>
      <c r="Q51" s="2363">
        <f ca="1">C31</f>
        <v>20677</v>
      </c>
      <c r="R51" s="2362" t="s">
        <v>2375</v>
      </c>
    </row>
    <row r="52" spans="1:18" s="2043" customFormat="1" ht="18" customHeight="1" thickBot="1">
      <c r="A52" s="2080"/>
      <c r="F52" s="2069"/>
      <c r="I52" s="3083" t="s">
        <v>2343</v>
      </c>
      <c r="J52" s="3087">
        <f>IF(J50="",J51,J50+J51-YEAR('数据-取费表'!B3))</f>
        <v>0</v>
      </c>
      <c r="K52" s="3062" t="s">
        <v>2349</v>
      </c>
      <c r="L52" s="3093">
        <f ca="1">C45</f>
        <v>70508</v>
      </c>
      <c r="O52" s="2364" t="s">
        <v>2379</v>
      </c>
      <c r="P52" s="2362" t="s">
        <v>2380</v>
      </c>
      <c r="Q52" s="2365" t="e">
        <f ca="1">J59</f>
        <v>#VALUE!</v>
      </c>
      <c r="R52" s="2366"/>
    </row>
    <row r="53" spans="1:18" s="2043" customFormat="1" ht="18" customHeight="1" thickBot="1">
      <c r="A53" s="2080"/>
      <c r="F53" s="2069"/>
      <c r="I53" s="3084" t="s">
        <v>2416</v>
      </c>
      <c r="J53" s="2348"/>
      <c r="K53" s="3084" t="s">
        <v>2415</v>
      </c>
      <c r="L53" s="2348"/>
      <c r="O53" s="2364" t="s">
        <v>2381</v>
      </c>
      <c r="P53" s="2362" t="s">
        <v>2382</v>
      </c>
      <c r="Q53" s="2365">
        <f>J53</f>
        <v>0</v>
      </c>
      <c r="R53" s="2366"/>
    </row>
    <row r="54" spans="1:18" s="2043" customFormat="1" ht="29.25" thickBot="1">
      <c r="A54" s="2080"/>
      <c r="I54" s="3085" t="s">
        <v>2970</v>
      </c>
      <c r="J54" s="3164">
        <f ca="1">IF(M48="住宅",MAX(J52,L49-'数据-取费表'!B20),MIN(J52,L49-'数据-取费表'!B20))</f>
        <v>0</v>
      </c>
      <c r="K54" s="3538"/>
      <c r="L54" s="3539"/>
      <c r="O54" s="2364" t="s">
        <v>2383</v>
      </c>
      <c r="P54" s="2362" t="s">
        <v>2384</v>
      </c>
      <c r="Q54" s="2363">
        <f ca="1">J54</f>
        <v>0</v>
      </c>
      <c r="R54" s="2362" t="s">
        <v>2385</v>
      </c>
    </row>
    <row r="55" spans="1:18" s="2043" customFormat="1" ht="18" customHeight="1" thickBot="1">
      <c r="A55" s="2080"/>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61" t="s">
        <v>2386</v>
      </c>
      <c r="P55" s="2362" t="s">
        <v>2403</v>
      </c>
      <c r="Q55" s="2363">
        <f ca="1">Q49+Q50</f>
        <v>0</v>
      </c>
      <c r="R55" s="2366" t="s">
        <v>2387</v>
      </c>
    </row>
    <row r="56" spans="1:18" s="2043" customFormat="1" ht="16.5" thickBot="1">
      <c r="A56" s="2080"/>
      <c r="B56" s="2081"/>
      <c r="C56" s="2081"/>
      <c r="I56" s="3096" t="s">
        <v>2350</v>
      </c>
      <c r="J56" s="3044" t="e">
        <f ca="1">ROUND(IF(J48="钢混",J58/J51,1-(1-2%)*(J51-J58)/J51),3)</f>
        <v>#VALUE!</v>
      </c>
      <c r="K56" s="3097" t="s">
        <v>2351</v>
      </c>
      <c r="L56" s="2349"/>
      <c r="O56" s="2367" t="s">
        <v>2406</v>
      </c>
      <c r="P56" s="1577"/>
      <c r="Q56" s="1588"/>
      <c r="R56" s="1577"/>
    </row>
    <row r="57" spans="1:18" s="2043" customFormat="1" ht="43.5" thickBot="1">
      <c r="A57" s="2080"/>
      <c r="B57" s="2081"/>
      <c r="C57" s="2081"/>
      <c r="I57" s="3098" t="s">
        <v>2352</v>
      </c>
      <c r="J57" s="3108" t="s">
        <v>1676</v>
      </c>
      <c r="K57" s="3062" t="s">
        <v>2357</v>
      </c>
      <c r="L57" s="1892">
        <f ca="1">IF(L49&lt;J52,"——",L49-J52)</f>
        <v>50</v>
      </c>
      <c r="O57" s="2358" t="s">
        <v>2370</v>
      </c>
      <c r="P57" s="2359" t="s">
        <v>2371</v>
      </c>
      <c r="Q57" s="2360" t="s">
        <v>2372</v>
      </c>
      <c r="R57" s="2359" t="s">
        <v>2373</v>
      </c>
    </row>
    <row r="58" spans="1:18" s="2043" customFormat="1" ht="29.25" thickBot="1">
      <c r="A58" s="2080"/>
      <c r="B58" s="2081"/>
      <c r="C58" s="2081"/>
      <c r="I58" s="3099" t="s">
        <v>2353</v>
      </c>
      <c r="J58" s="3100" t="str">
        <f ca="1">IF(OR(M48="住宅",J52&lt;L49,J57="是"),"——",J52-L49)</f>
        <v>——</v>
      </c>
      <c r="K58" s="3062" t="s">
        <v>2358</v>
      </c>
      <c r="L58" s="1892">
        <f ca="1">IF(L49&lt;J52,"——",IF(L56="比较法",L50,IF(L56="基准地价",L51,L52)))</f>
        <v>70508</v>
      </c>
      <c r="O58" s="2361" t="s">
        <v>2374</v>
      </c>
      <c r="P58" s="2362" t="s">
        <v>2400</v>
      </c>
      <c r="Q58" s="2363">
        <f ca="1">C41+J31</f>
        <v>0</v>
      </c>
      <c r="R58" s="2362" t="s">
        <v>2375</v>
      </c>
    </row>
    <row r="59" spans="1:18" s="2043" customFormat="1" ht="29.25" thickBot="1">
      <c r="A59" s="2080"/>
      <c r="B59" s="2081"/>
      <c r="C59" s="2081"/>
      <c r="I59" s="3099" t="s">
        <v>2354</v>
      </c>
      <c r="J59" s="3045" t="e">
        <f ca="1">IF(J56&lt;0.4,0.4,J56)</f>
        <v>#VALUE!</v>
      </c>
      <c r="K59" s="3062"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099" t="s">
        <v>2355</v>
      </c>
      <c r="J60" s="3100" t="str">
        <f ca="1">IF(OR(M48="住宅",J52&lt;L49,J57="是"),"——",ROUND(C30*J59,0))</f>
        <v>——</v>
      </c>
      <c r="K60" s="3062"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01" t="s">
        <v>2356</v>
      </c>
      <c r="J61" s="3102" t="str">
        <f ca="1">IF(OR(M48="住宅",J52&lt;L49,J57="是"),"0",ROUND(J60/(1+J53)^J54,0))</f>
        <v>0</v>
      </c>
      <c r="K61" s="3103" t="s">
        <v>2361</v>
      </c>
      <c r="L61" s="310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04" t="s">
        <v>2362</v>
      </c>
      <c r="J63" s="3105" t="s">
        <v>2363</v>
      </c>
      <c r="K63" s="3105" t="s">
        <v>2364</v>
      </c>
      <c r="L63" s="3105" t="s">
        <v>2345</v>
      </c>
      <c r="M63" s="3106" t="s">
        <v>2936</v>
      </c>
      <c r="O63" s="2364" t="s">
        <v>2383</v>
      </c>
      <c r="P63" s="2362" t="s">
        <v>2391</v>
      </c>
      <c r="Q63" s="2363">
        <f ca="1">L60</f>
        <v>0</v>
      </c>
      <c r="R63" s="2366" t="s">
        <v>2392</v>
      </c>
    </row>
    <row r="64" spans="1:18" s="2043" customFormat="1" ht="15.75" thickBot="1">
      <c r="A64" s="2080"/>
      <c r="B64" s="2081"/>
      <c r="C64" s="2081"/>
      <c r="I64" s="3104" t="s">
        <v>2365</v>
      </c>
      <c r="J64" s="3105">
        <v>70</v>
      </c>
      <c r="K64" s="3105">
        <v>50</v>
      </c>
      <c r="L64" s="3105">
        <v>80</v>
      </c>
      <c r="M64" s="3107">
        <v>0.02</v>
      </c>
      <c r="O64" s="2361" t="s">
        <v>2386</v>
      </c>
      <c r="P64" s="2362" t="s">
        <v>2403</v>
      </c>
      <c r="Q64" s="2363" t="e">
        <f ca="1">Q58+Q59</f>
        <v>#DIV/0!</v>
      </c>
      <c r="R64" s="2366" t="s">
        <v>2387</v>
      </c>
    </row>
    <row r="65" spans="1:18" s="2043" customFormat="1" ht="16.5" thickBot="1">
      <c r="A65" s="2080"/>
      <c r="B65" s="2081"/>
      <c r="C65" s="2081"/>
      <c r="I65" s="3104" t="s">
        <v>2366</v>
      </c>
      <c r="J65" s="3105">
        <v>50</v>
      </c>
      <c r="K65" s="3105">
        <v>35</v>
      </c>
      <c r="L65" s="3105">
        <v>60</v>
      </c>
      <c r="M65" s="845">
        <v>0</v>
      </c>
      <c r="O65" s="2367" t="s">
        <v>2410</v>
      </c>
      <c r="P65" s="1577"/>
      <c r="Q65" s="1588"/>
      <c r="R65" s="1577"/>
    </row>
    <row r="66" spans="1:18" s="2043" customFormat="1" ht="15.75" thickBot="1">
      <c r="A66" s="2080"/>
      <c r="B66" s="2081"/>
      <c r="C66" s="2081"/>
      <c r="I66" s="3104" t="s">
        <v>2367</v>
      </c>
      <c r="J66" s="3105">
        <v>40</v>
      </c>
      <c r="K66" s="3105">
        <v>30</v>
      </c>
      <c r="L66" s="3105">
        <v>50</v>
      </c>
      <c r="M66" s="310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70508</v>
      </c>
      <c r="R69" s="2369" t="s">
        <v>2411</v>
      </c>
    </row>
    <row r="70" spans="1:18" s="2043" customFormat="1" ht="20.25" thickBot="1">
      <c r="A70" s="2080"/>
      <c r="B70" s="2081"/>
      <c r="C70" s="2081"/>
      <c r="K70" s="2070"/>
      <c r="O70" s="2364" t="s">
        <v>2379</v>
      </c>
      <c r="P70" s="2370" t="s">
        <v>2393</v>
      </c>
      <c r="Q70" s="2363">
        <f ca="1">ROUND(Q71-Q72*Q73,0)</f>
        <v>3006</v>
      </c>
      <c r="R70" s="2366"/>
    </row>
    <row r="71" spans="1:18" s="2043" customFormat="1" ht="15.75" thickBot="1">
      <c r="A71" s="2080"/>
      <c r="B71" s="2081"/>
      <c r="C71" s="2081"/>
      <c r="K71" s="2070"/>
      <c r="O71" s="2364" t="s">
        <v>2394</v>
      </c>
      <c r="P71" s="2370" t="s">
        <v>2395</v>
      </c>
      <c r="Q71" s="2363">
        <f ca="1">C42</f>
        <v>4247</v>
      </c>
      <c r="R71" s="2362" t="s">
        <v>2375</v>
      </c>
    </row>
    <row r="72" spans="1:18" s="2043" customFormat="1" ht="15.75" thickBot="1">
      <c r="A72" s="2080"/>
      <c r="B72" s="2081"/>
      <c r="C72" s="2081"/>
      <c r="K72" s="2070"/>
      <c r="O72" s="2364" t="s">
        <v>2396</v>
      </c>
      <c r="P72" s="2370" t="s">
        <v>2397</v>
      </c>
      <c r="Q72" s="2363">
        <f ca="1">C15</f>
        <v>20677</v>
      </c>
      <c r="R72" s="2362" t="s">
        <v>2375</v>
      </c>
    </row>
    <row r="73" spans="1:18" s="2043" customFormat="1" ht="15.75" thickBot="1">
      <c r="A73" s="2080"/>
      <c r="B73" s="2081"/>
      <c r="C73" s="2081"/>
      <c r="K73" s="2070"/>
      <c r="O73" s="2364" t="s">
        <v>2398</v>
      </c>
      <c r="P73" s="2370" t="s">
        <v>2399</v>
      </c>
      <c r="Q73" s="2365">
        <f ca="1">F43</f>
        <v>0.06</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E7" sqref="E7"/>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2781</v>
      </c>
      <c r="C1" s="2956">
        <f>项目基本情况!D3</f>
        <v>44134</v>
      </c>
      <c r="H1" s="2890">
        <f>IF(C1&gt;C13,0,MATCH(C1,C$13:C$100,-1))+IF(SUMIF(C13:C100,C1,D13:D100)=0,13,12)</f>
        <v>13</v>
      </c>
      <c r="I1" s="2890">
        <f ca="1">MATCH(C2,H3:H7,1)+IF(SUMIF(H3:H7,C2,I3:I7)=0,2,1)</f>
        <v>4</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2812</v>
      </c>
      <c r="C2" s="2957">
        <f>'数据-取费表'!B22</f>
        <v>1</v>
      </c>
      <c r="D2" s="2952" t="s">
        <v>2782</v>
      </c>
      <c r="E2" s="2955">
        <f ca="1">INDIRECT("I"&amp;$I$1)/100</f>
        <v>4.3499999999999997E-2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5"/>
  <sheetViews>
    <sheetView zoomScale="80" zoomScaleNormal="80" workbookViewId="0">
      <selection activeCell="G17" sqref="G17:G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2" t="s">
        <v>2570</v>
      </c>
      <c r="C1" s="3542"/>
      <c r="D1" s="3542"/>
      <c r="E1" s="3542"/>
      <c r="F1" s="3542"/>
      <c r="G1" s="3541" t="s">
        <v>2571</v>
      </c>
      <c r="H1" s="3541"/>
      <c r="I1" s="3541"/>
      <c r="J1" s="3541"/>
      <c r="K1" s="3541"/>
      <c r="L1" s="3541"/>
      <c r="N1" s="3541" t="s">
        <v>2572</v>
      </c>
      <c r="O1" s="3541"/>
      <c r="P1" s="3541"/>
      <c r="Q1" s="3541"/>
      <c r="R1" s="2617"/>
      <c r="S1" s="3541" t="s">
        <v>2573</v>
      </c>
      <c r="T1" s="3541"/>
      <c r="U1" s="3541"/>
      <c r="V1" s="3541"/>
      <c r="X1" s="3540" t="s">
        <v>2633</v>
      </c>
      <c r="Y1" s="3541"/>
      <c r="Z1" s="3541"/>
      <c r="AA1" s="3541"/>
      <c r="AB1" s="3541"/>
      <c r="AD1" s="3540" t="s">
        <v>2637</v>
      </c>
      <c r="AE1" s="3541"/>
      <c r="AF1" s="3541"/>
      <c r="AG1" s="3541"/>
      <c r="AH1" s="3541"/>
    </row>
    <row r="2" spans="1:34" s="2718" customFormat="1" ht="14.25" thickBot="1">
      <c r="B2" s="2725" t="s">
        <v>2574</v>
      </c>
      <c r="C2" s="2725" t="s">
        <v>2635</v>
      </c>
      <c r="D2" s="2719" t="s">
        <v>1642</v>
      </c>
      <c r="E2" s="2719" t="s">
        <v>1945</v>
      </c>
      <c r="F2" s="2725" t="s">
        <v>2636</v>
      </c>
      <c r="G2" s="2722"/>
      <c r="H2" s="2721"/>
      <c r="I2" s="2725" t="s">
        <v>2949</v>
      </c>
      <c r="J2" s="2719" t="s">
        <v>2951</v>
      </c>
      <c r="K2" s="2719" t="s">
        <v>2952</v>
      </c>
      <c r="L2" s="2725" t="s">
        <v>2953</v>
      </c>
      <c r="N2" s="2725" t="s">
        <v>2574</v>
      </c>
      <c r="O2" s="2719" t="s">
        <v>2950</v>
      </c>
      <c r="P2" s="2719" t="s">
        <v>1945</v>
      </c>
      <c r="Q2" s="2725" t="s">
        <v>2636</v>
      </c>
      <c r="R2" s="2720"/>
      <c r="S2" s="2725" t="s">
        <v>2574</v>
      </c>
      <c r="T2" s="2719" t="s">
        <v>2950</v>
      </c>
      <c r="U2" s="2719" t="s">
        <v>1945</v>
      </c>
      <c r="V2" s="2725" t="s">
        <v>2636</v>
      </c>
      <c r="X2" s="2725" t="s">
        <v>2574</v>
      </c>
      <c r="Y2" s="2725" t="s">
        <v>2635</v>
      </c>
      <c r="Z2" s="2719" t="s">
        <v>1642</v>
      </c>
      <c r="AA2" s="2719" t="s">
        <v>1945</v>
      </c>
      <c r="AB2" s="2725" t="s">
        <v>2636</v>
      </c>
      <c r="AD2" s="2725" t="s">
        <v>2574</v>
      </c>
      <c r="AE2" s="2725" t="s">
        <v>2635</v>
      </c>
      <c r="AF2" s="2719" t="s">
        <v>1642</v>
      </c>
      <c r="AG2" s="2719" t="s">
        <v>1945</v>
      </c>
      <c r="AH2" s="2725" t="s">
        <v>2636</v>
      </c>
    </row>
    <row r="3" spans="1:34" s="3066" customFormat="1" ht="14.25">
      <c r="A3" s="3078" t="s">
        <v>2962</v>
      </c>
      <c r="B3" s="3067"/>
      <c r="C3" s="3067"/>
      <c r="D3" s="3068"/>
      <c r="E3" s="3068"/>
      <c r="F3" s="3067"/>
      <c r="G3" s="3069"/>
      <c r="H3" s="3070"/>
      <c r="I3" s="3077">
        <f>ROUND(AVERAGE($I4:$I32),2)</f>
        <v>1.73</v>
      </c>
      <c r="J3" s="3077">
        <f>ROUND(AVERAGE($J4:$J32),2)</f>
        <v>1.1599999999999999</v>
      </c>
      <c r="K3" s="3077">
        <f>ROUND(AVERAGE($K4:$K32),2)</f>
        <v>1.9</v>
      </c>
      <c r="L3" s="3077">
        <f>ROUND(AVERAGE($L4:$L32),2)</f>
        <v>1.23</v>
      </c>
      <c r="N3" s="3069"/>
      <c r="O3" s="3071"/>
      <c r="P3" s="3071"/>
      <c r="Q3" s="3071"/>
      <c r="R3" s="3071"/>
      <c r="S3" s="3069"/>
      <c r="T3" s="3071"/>
      <c r="U3" s="3071"/>
      <c r="V3" s="3071"/>
      <c r="W3" s="3074"/>
      <c r="X3" s="3072">
        <f>ROUND(SUMPRODUCT(PRODUCT(1+N3:N$31)),4)</f>
        <v>1.5652999999999999</v>
      </c>
      <c r="Y3" s="3072">
        <f>ROUND(SUMPRODUCT(PRODUCT(1+O3:O$31)),4)</f>
        <v>1.3472</v>
      </c>
      <c r="Z3" s="3072">
        <f t="shared" ref="Z3:Z29" si="0">Y3</f>
        <v>1.3472</v>
      </c>
      <c r="AA3" s="3072">
        <f>ROUND(SUMPRODUCT(PRODUCT(1+P3:P$31)),4)</f>
        <v>1.6335999999999999</v>
      </c>
      <c r="AB3" s="3072">
        <f>ROUND(SUMPRODUCT(PRODUCT(1+Q3:Q$31)),4)</f>
        <v>1.3880999999999999</v>
      </c>
      <c r="AD3" s="3073">
        <f>ROUND(AVERAGE(I3:I$32)/100,4)</f>
        <v>1.7299999999999999E-2</v>
      </c>
      <c r="AE3" s="3073">
        <f>ROUND(AVERAGE(J3:J$32)/100,4)</f>
        <v>1.1599999999999999E-2</v>
      </c>
      <c r="AF3" s="3073">
        <f t="shared" ref="AF3:AF30" si="1">AE3</f>
        <v>1.1599999999999999E-2</v>
      </c>
      <c r="AG3" s="3073">
        <f>ROUND(AVERAGE(K3:K$32)/100,4)</f>
        <v>1.9E-2</v>
      </c>
      <c r="AH3" s="3073">
        <f>ROUND(AVERAGE(L3:L$32)/100,4)</f>
        <v>1.23E-2</v>
      </c>
    </row>
    <row r="4" spans="1:34" s="2711" customFormat="1" ht="14.25">
      <c r="B4" s="2712"/>
      <c r="C4" s="2712"/>
      <c r="D4" s="2713"/>
      <c r="E4" s="2713"/>
      <c r="F4" s="2712"/>
      <c r="G4" s="2717"/>
      <c r="H4" s="2714"/>
      <c r="I4" s="3063"/>
      <c r="J4" s="3063"/>
      <c r="K4" s="3063"/>
      <c r="L4" s="3063"/>
      <c r="N4" s="2717"/>
      <c r="O4" s="2715"/>
      <c r="P4" s="2715"/>
      <c r="Q4" s="2715"/>
      <c r="R4" s="2715"/>
      <c r="S4" s="2717"/>
      <c r="T4" s="2715"/>
      <c r="U4" s="2715"/>
      <c r="V4" s="2715"/>
      <c r="W4" s="3075"/>
      <c r="X4" s="2716"/>
      <c r="Y4" s="2716"/>
      <c r="Z4" s="2716"/>
      <c r="AA4" s="2716"/>
      <c r="AB4" s="2716"/>
      <c r="AD4" s="2636"/>
      <c r="AE4" s="2636"/>
      <c r="AF4" s="2636"/>
      <c r="AG4" s="2636"/>
      <c r="AH4" s="2636"/>
    </row>
    <row r="5" spans="1:34" s="3237" customFormat="1">
      <c r="A5" s="3232" t="s">
        <v>3182</v>
      </c>
      <c r="B5" s="3233">
        <f>B6*(1+N5)</f>
        <v>481.4103506697644</v>
      </c>
      <c r="C5" s="3233">
        <f t="shared" ref="C5:C7" si="2">C6*(1+O5)</f>
        <v>347.29066026648707</v>
      </c>
      <c r="D5" s="3233">
        <f>C5</f>
        <v>347.29066026648707</v>
      </c>
      <c r="E5" s="3233">
        <f t="shared" ref="E5:F7" si="3">E6*(1+P5)</f>
        <v>690.85977273901995</v>
      </c>
      <c r="F5" s="3233">
        <f t="shared" si="3"/>
        <v>319.13136737000184</v>
      </c>
      <c r="G5" s="3234">
        <v>2020</v>
      </c>
      <c r="H5" s="3235">
        <v>4</v>
      </c>
      <c r="I5" s="3236">
        <v>0</v>
      </c>
      <c r="J5" s="3236">
        <v>0</v>
      </c>
      <c r="K5" s="3236">
        <v>0</v>
      </c>
      <c r="L5" s="3236">
        <v>0</v>
      </c>
      <c r="N5" s="3238">
        <f t="shared" ref="N5:Q7" si="4">I5/100</f>
        <v>0</v>
      </c>
      <c r="O5" s="3238">
        <f t="shared" si="4"/>
        <v>0</v>
      </c>
      <c r="P5" s="3238">
        <f t="shared" si="4"/>
        <v>0</v>
      </c>
      <c r="Q5" s="3238">
        <f t="shared" si="4"/>
        <v>0</v>
      </c>
      <c r="R5" s="3239"/>
      <c r="S5" s="3240"/>
      <c r="T5" s="3239"/>
      <c r="U5" s="3239"/>
      <c r="V5" s="3239"/>
      <c r="W5" s="3076" t="s">
        <v>3183</v>
      </c>
      <c r="X5" s="3241">
        <f>ROUND(IF([3]项目基本情况!B9="出让",SUMPRODUCT(PRODUCT(1+N5:N$31)),SUMPRODUCT(PRODUCT(1+N5:N$30))),4)</f>
        <v>1.5286</v>
      </c>
      <c r="Y5" s="3241">
        <f>ROUND(IF([3]项目基本情况!B9="出让",SUMPRODUCT(PRODUCT(1+O5:O$31)),SUMPRODUCT(PRODUCT(1+O5:O$30))),4)</f>
        <v>1.3204</v>
      </c>
      <c r="Z5" s="3241">
        <f t="shared" ref="Z5" si="5">Y5</f>
        <v>1.3204</v>
      </c>
      <c r="AA5" s="3241">
        <f>ROUND(IF([3]项目基本情况!B9="出让",SUMPRODUCT(PRODUCT(1+P5:P$31)),SUMPRODUCT(PRODUCT(1+P5:P$30))),4)</f>
        <v>1.5924</v>
      </c>
      <c r="AB5" s="3241">
        <f>ROUND(IF([3]项目基本情况!B9="出让",SUMPRODUCT(PRODUCT(1+Q5:Q$31)),SUMPRODUCT(PRODUCT(1+Q5:Q$30))),4)</f>
        <v>1.3673</v>
      </c>
      <c r="AD5" s="3242">
        <f>ROUND(AVERAGE(I5:I$31)/100,4)</f>
        <v>1.6799999999999999E-2</v>
      </c>
      <c r="AE5" s="3242">
        <f>ROUND(AVERAGE(J5:J$31)/100,4)</f>
        <v>1.11E-2</v>
      </c>
      <c r="AF5" s="3242">
        <f t="shared" ref="AF5" si="6">AE5</f>
        <v>1.11E-2</v>
      </c>
      <c r="AG5" s="3242">
        <f>ROUND(AVERAGE(K5:K$31)/100,4)</f>
        <v>1.8499999999999999E-2</v>
      </c>
      <c r="AH5" s="3242">
        <f>ROUND(AVERAGE(L5:L$31)/100,4)</f>
        <v>1.2200000000000001E-2</v>
      </c>
    </row>
    <row r="6" spans="1:34" s="3237" customFormat="1">
      <c r="A6" s="3232" t="s">
        <v>3184</v>
      </c>
      <c r="B6" s="3233">
        <f>B7*(1+N6)</f>
        <v>481.4103506697644</v>
      </c>
      <c r="C6" s="3233">
        <f t="shared" si="2"/>
        <v>347.29066026648707</v>
      </c>
      <c r="D6" s="3233">
        <f>C6</f>
        <v>347.29066026648707</v>
      </c>
      <c r="E6" s="3233">
        <f t="shared" si="3"/>
        <v>690.85977273901995</v>
      </c>
      <c r="F6" s="3233">
        <f t="shared" si="3"/>
        <v>319.13136737000184</v>
      </c>
      <c r="G6" s="3234">
        <v>2020</v>
      </c>
      <c r="H6" s="3235">
        <v>3</v>
      </c>
      <c r="I6" s="3236">
        <v>0</v>
      </c>
      <c r="J6" s="3236">
        <v>0</v>
      </c>
      <c r="K6" s="3236">
        <v>0</v>
      </c>
      <c r="L6" s="3236">
        <v>0</v>
      </c>
      <c r="N6" s="3243">
        <f>I6/100</f>
        <v>0</v>
      </c>
      <c r="O6" s="3243">
        <f t="shared" si="4"/>
        <v>0</v>
      </c>
      <c r="P6" s="3243">
        <f t="shared" si="4"/>
        <v>0</v>
      </c>
      <c r="Q6" s="3243">
        <f t="shared" si="4"/>
        <v>0</v>
      </c>
      <c r="R6" s="3239"/>
      <c r="S6" s="3240"/>
      <c r="T6" s="3239"/>
      <c r="U6" s="3239"/>
      <c r="V6" s="3239"/>
      <c r="W6" s="3076"/>
      <c r="X6" s="3241"/>
      <c r="Y6" s="3241"/>
      <c r="Z6" s="3241"/>
      <c r="AA6" s="3241"/>
      <c r="AB6" s="3241"/>
      <c r="AD6" s="3242"/>
      <c r="AE6" s="3242"/>
      <c r="AF6" s="3242"/>
      <c r="AG6" s="3242"/>
      <c r="AH6" s="3242"/>
    </row>
    <row r="7" spans="1:34" s="3237" customFormat="1">
      <c r="A7" s="3232" t="s">
        <v>3181</v>
      </c>
      <c r="B7" s="3233">
        <f>B8*(1+N7)</f>
        <v>481.4103506697644</v>
      </c>
      <c r="C7" s="3233">
        <f t="shared" si="2"/>
        <v>347.29066026648707</v>
      </c>
      <c r="D7" s="3233">
        <f>C7</f>
        <v>347.29066026648707</v>
      </c>
      <c r="E7" s="3233">
        <f t="shared" si="3"/>
        <v>690.85977273901995</v>
      </c>
      <c r="F7" s="3233">
        <f t="shared" si="3"/>
        <v>319.13136737000184</v>
      </c>
      <c r="G7" s="3234">
        <v>2020</v>
      </c>
      <c r="H7" s="3235">
        <v>2</v>
      </c>
      <c r="I7" s="3236">
        <v>0.31</v>
      </c>
      <c r="J7" s="3236">
        <v>-0.78</v>
      </c>
      <c r="K7" s="3236">
        <v>0.5</v>
      </c>
      <c r="L7" s="3236">
        <v>0.47</v>
      </c>
      <c r="N7" s="3243">
        <f>I7/100</f>
        <v>3.0999999999999999E-3</v>
      </c>
      <c r="O7" s="3243">
        <f t="shared" si="4"/>
        <v>-7.8000000000000005E-3</v>
      </c>
      <c r="P7" s="3243">
        <f t="shared" si="4"/>
        <v>5.0000000000000001E-3</v>
      </c>
      <c r="Q7" s="3243">
        <f t="shared" si="4"/>
        <v>4.6999999999999993E-3</v>
      </c>
      <c r="R7" s="3239"/>
      <c r="S7" s="3240"/>
      <c r="T7" s="3239"/>
      <c r="U7" s="3239"/>
      <c r="V7" s="3239"/>
      <c r="W7" s="3076"/>
      <c r="X7" s="3241"/>
      <c r="Y7" s="3241"/>
      <c r="Z7" s="3241"/>
      <c r="AA7" s="3241"/>
      <c r="AB7" s="3241"/>
      <c r="AD7" s="3242"/>
      <c r="AE7" s="3242"/>
      <c r="AF7" s="3242"/>
      <c r="AG7" s="3242"/>
      <c r="AH7" s="3242"/>
    </row>
    <row r="8" spans="1:34" s="2723" customFormat="1">
      <c r="A8" s="2618" t="s">
        <v>2988</v>
      </c>
      <c r="B8" s="2631">
        <f t="shared" ref="B8" si="7">B9*(1+N8)</f>
        <v>479.92259063878413</v>
      </c>
      <c r="C8" s="2631">
        <f t="shared" ref="C8" si="8">C9*(1+O8)</f>
        <v>350.02082268341775</v>
      </c>
      <c r="D8" s="2631">
        <f t="shared" ref="D8" si="9">C8</f>
        <v>350.02082268341775</v>
      </c>
      <c r="E8" s="2631">
        <f t="shared" ref="E8" si="10">E9*(1+P8)</f>
        <v>687.42265944181099</v>
      </c>
      <c r="F8" s="2631">
        <f t="shared" ref="F8" si="11">F9*(1+Q8)</f>
        <v>317.63846657708956</v>
      </c>
      <c r="G8" s="2717">
        <v>2020</v>
      </c>
      <c r="H8" s="2621">
        <v>1</v>
      </c>
      <c r="I8" s="3165">
        <v>0.12</v>
      </c>
      <c r="J8" s="3165">
        <v>-0.4</v>
      </c>
      <c r="K8" s="3165">
        <v>0.21</v>
      </c>
      <c r="L8" s="3166">
        <v>0.27</v>
      </c>
      <c r="M8" s="2625"/>
      <c r="N8" s="2626">
        <f t="shared" ref="N8" si="12">I8/100</f>
        <v>1.1999999999999999E-3</v>
      </c>
      <c r="O8" s="2627">
        <f t="shared" ref="O8" si="13">J8/100</f>
        <v>-4.0000000000000001E-3</v>
      </c>
      <c r="P8" s="2627">
        <f t="shared" ref="P8" si="14">K8/100</f>
        <v>2.0999999999999999E-3</v>
      </c>
      <c r="Q8" s="2627">
        <f t="shared" ref="Q8" si="15">L8/100</f>
        <v>2.7000000000000001E-3</v>
      </c>
      <c r="R8" s="2628"/>
      <c r="S8" s="2634">
        <f>B8/B9-1</f>
        <v>1.2000000000000899E-3</v>
      </c>
      <c r="T8" s="2635">
        <f>C8/C9-1</f>
        <v>-4.0000000000000036E-3</v>
      </c>
      <c r="U8" s="2635">
        <f>E8/E9-1</f>
        <v>2.0999999999999908E-3</v>
      </c>
      <c r="V8" s="2635">
        <f>F8/F9-1</f>
        <v>2.6999999999999247E-3</v>
      </c>
      <c r="W8" s="2625"/>
      <c r="X8" s="2716">
        <f>ROUND(IF(项目基本情况!B8="出让",SUMPRODUCT(PRODUCT(1+N8:N$32)),SUMPRODUCT(PRODUCT(1+N8:N$31))),4)</f>
        <v>1.5605</v>
      </c>
      <c r="Y8" s="2716">
        <f>ROUND(IF(项目基本情况!B8="出让",SUMPRODUCT(PRODUCT(1+O8:O$32)),SUMPRODUCT(PRODUCT(1+O8:O$31))),4)</f>
        <v>1.3577999999999999</v>
      </c>
      <c r="Z8" s="2716">
        <f t="shared" ref="Z8" si="16">Y8</f>
        <v>1.3577999999999999</v>
      </c>
      <c r="AA8" s="2716">
        <f>ROUND(IF(项目基本情况!B8="出让",SUMPRODUCT(PRODUCT(1+P8:P$32)),SUMPRODUCT(PRODUCT(1+P8:P$31))),4)</f>
        <v>1.6254999999999999</v>
      </c>
      <c r="AB8" s="2716">
        <f>ROUND(IF(项目基本情况!B8="出让",SUMPRODUCT(PRODUCT(1+Q8:Q$32)),SUMPRODUCT(PRODUCT(1+Q8:Q$31))),4)</f>
        <v>1.3815999999999999</v>
      </c>
      <c r="AC8" s="2625"/>
      <c r="AD8" s="2636">
        <f>ROUND(AVERAGE(I8:I$32)/100,4)</f>
        <v>1.9199999999999998E-2</v>
      </c>
      <c r="AE8" s="2636">
        <f>ROUND(AVERAGE(J8:J$32)/100,4)</f>
        <v>1.3299999999999999E-2</v>
      </c>
      <c r="AF8" s="2636">
        <f t="shared" ref="AF8" si="17">AE8</f>
        <v>1.3299999999999999E-2</v>
      </c>
      <c r="AG8" s="2636">
        <f>ROUND(AVERAGE(K8:K$32)/100,4)</f>
        <v>2.1100000000000001E-2</v>
      </c>
      <c r="AH8" s="2636">
        <f>ROUND(AVERAGE(L8:L$32)/100,4)</f>
        <v>1.3599999999999999E-2</v>
      </c>
    </row>
    <row r="9" spans="1:34" s="2723" customFormat="1">
      <c r="A9" s="2618" t="s">
        <v>2984</v>
      </c>
      <c r="B9" s="2631">
        <f t="shared" ref="B9" si="18">B10*(1+N9)</f>
        <v>479.34737379023579</v>
      </c>
      <c r="C9" s="2631">
        <f t="shared" ref="C9" si="19">C10*(1+O9)</f>
        <v>351.4265287986122</v>
      </c>
      <c r="D9" s="2631">
        <f t="shared" ref="D9" si="20">C9</f>
        <v>351.4265287986122</v>
      </c>
      <c r="E9" s="2631">
        <f t="shared" ref="E9" si="21">E10*(1+P9)</f>
        <v>685.98209703803116</v>
      </c>
      <c r="F9" s="2631">
        <f t="shared" ref="F9" si="22">F10*(1+Q9)</f>
        <v>316.78315206651001</v>
      </c>
      <c r="G9" s="2717">
        <v>2019</v>
      </c>
      <c r="H9" s="2621">
        <v>4</v>
      </c>
      <c r="I9" s="2621">
        <v>0.45</v>
      </c>
      <c r="J9" s="2621">
        <v>-0.12</v>
      </c>
      <c r="K9" s="2621">
        <v>0.54</v>
      </c>
      <c r="L9" s="2632">
        <v>0.48</v>
      </c>
      <c r="M9" s="2625"/>
      <c r="N9" s="2626">
        <f t="shared" ref="N9" si="23">I9/100</f>
        <v>4.5000000000000005E-3</v>
      </c>
      <c r="O9" s="2627">
        <f t="shared" ref="O9" si="24">J9/100</f>
        <v>-1.1999999999999999E-3</v>
      </c>
      <c r="P9" s="2627">
        <f t="shared" ref="P9" si="25">K9/100</f>
        <v>5.4000000000000003E-3</v>
      </c>
      <c r="Q9" s="2627">
        <f t="shared" ref="Q9" si="26">L9/100</f>
        <v>4.7999999999999996E-3</v>
      </c>
      <c r="R9" s="2628"/>
      <c r="S9" s="2634"/>
      <c r="T9" s="2635"/>
      <c r="U9" s="2635"/>
      <c r="V9" s="2635"/>
      <c r="W9" s="2625"/>
      <c r="X9" s="2716">
        <f>ROUND(IF(项目基本情况!B8="出让",SUMPRODUCT(PRODUCT(1+N9:N$32)),SUMPRODUCT(PRODUCT(1+N9:N$31))),4)</f>
        <v>1.5586</v>
      </c>
      <c r="Y9" s="2716">
        <f>ROUND(IF(项目基本情况!B8="出让",SUMPRODUCT(PRODUCT(1+O9:O$32)),SUMPRODUCT(PRODUCT(1+O9:O$31))),4)</f>
        <v>1.3633</v>
      </c>
      <c r="Z9" s="2716">
        <f t="shared" ref="Z9" si="27">Y9</f>
        <v>1.3633</v>
      </c>
      <c r="AA9" s="2716">
        <f>ROUND(IF(项目基本情况!B8="出让",SUMPRODUCT(PRODUCT(1+P9:P$32)),SUMPRODUCT(PRODUCT(1+P9:P$31))),4)</f>
        <v>1.6221000000000001</v>
      </c>
      <c r="AB9" s="2716">
        <f>ROUND(IF(项目基本情况!B8="出让",SUMPRODUCT(PRODUCT(1+Q9:Q$32)),SUMPRODUCT(PRODUCT(1+Q9:Q$31))),4)</f>
        <v>1.3777999999999999</v>
      </c>
      <c r="AC9" s="2625"/>
      <c r="AD9" s="2636">
        <f>ROUND(AVERAGE(I9:I$32)/100,4)</f>
        <v>0.02</v>
      </c>
      <c r="AE9" s="2636">
        <f>ROUND(AVERAGE(J9:J$32)/100,4)</f>
        <v>1.4E-2</v>
      </c>
      <c r="AF9" s="2636">
        <f t="shared" ref="AF9" si="28">AE9</f>
        <v>1.4E-2</v>
      </c>
      <c r="AG9" s="2636">
        <f>ROUND(AVERAGE(K9:K$32)/100,4)</f>
        <v>2.1899999999999999E-2</v>
      </c>
      <c r="AH9" s="2636">
        <f>ROUND(AVERAGE(L9:L$32)/100,4)</f>
        <v>1.4E-2</v>
      </c>
    </row>
    <row r="10" spans="1:34" s="2723" customFormat="1" ht="13.5" thickBot="1">
      <c r="A10" s="2618" t="s">
        <v>2983</v>
      </c>
      <c r="B10" s="2631">
        <f t="shared" ref="B10" si="29">B11*(1+N10)</f>
        <v>477.19997390765138</v>
      </c>
      <c r="C10" s="2631">
        <f t="shared" ref="C10" si="30">C11*(1+O10)</f>
        <v>351.84874729536665</v>
      </c>
      <c r="D10" s="2631">
        <f t="shared" ref="D10" si="31">C10</f>
        <v>351.84874729536665</v>
      </c>
      <c r="E10" s="2631">
        <f t="shared" ref="E10" si="32">E11*(1+P10)</f>
        <v>682.29768951465201</v>
      </c>
      <c r="F10" s="2631">
        <f t="shared" ref="F10" si="33">F11*(1+Q10)</f>
        <v>315.26985675409043</v>
      </c>
      <c r="G10" s="2717">
        <v>2019</v>
      </c>
      <c r="H10" s="2621">
        <v>3</v>
      </c>
      <c r="I10" s="2621">
        <v>0.61</v>
      </c>
      <c r="J10" s="2621">
        <v>0.67</v>
      </c>
      <c r="K10" s="2621">
        <v>0.6</v>
      </c>
      <c r="L10" s="2632">
        <v>1.03</v>
      </c>
      <c r="M10" s="2625"/>
      <c r="N10" s="2626">
        <f t="shared" ref="N10" si="34">I10/100</f>
        <v>6.0999999999999995E-3</v>
      </c>
      <c r="O10" s="2627">
        <f t="shared" ref="O10" si="35">J10/100</f>
        <v>6.7000000000000002E-3</v>
      </c>
      <c r="P10" s="2627">
        <f t="shared" ref="P10" si="36">K10/100</f>
        <v>6.0000000000000001E-3</v>
      </c>
      <c r="Q10" s="2627">
        <f t="shared" ref="Q10" si="37">L10/100</f>
        <v>1.03E-2</v>
      </c>
      <c r="R10" s="2628"/>
      <c r="S10" s="2634"/>
      <c r="T10" s="2635"/>
      <c r="U10" s="2635"/>
      <c r="V10" s="2635"/>
      <c r="W10" s="2625"/>
      <c r="X10" s="2716">
        <f>ROUND(IF(项目基本情况!B8="出让",SUMPRODUCT(PRODUCT(1+N10:N$32)),SUMPRODUCT(PRODUCT(1+N10:N$31))),4)</f>
        <v>1.5516000000000001</v>
      </c>
      <c r="Y10" s="2716">
        <f>ROUND(IF(项目基本情况!B8="出让",SUMPRODUCT(PRODUCT(1+O10:O$32)),SUMPRODUCT(PRODUCT(1+O10:O$31))),4)</f>
        <v>1.3649</v>
      </c>
      <c r="Z10" s="2716">
        <f t="shared" ref="Z10" si="38">Y10</f>
        <v>1.3649</v>
      </c>
      <c r="AA10" s="2716">
        <f>ROUND(IF(项目基本情况!B8="出让",SUMPRODUCT(PRODUCT(1+P10:P$32)),SUMPRODUCT(PRODUCT(1+P10:P$31))),4)</f>
        <v>1.6133999999999999</v>
      </c>
      <c r="AB10" s="2716">
        <f>ROUND(IF(项目基本情况!B8="出让",SUMPRODUCT(PRODUCT(1+Q10:Q$32)),SUMPRODUCT(PRODUCT(1+Q10:Q$31))),4)</f>
        <v>1.3713</v>
      </c>
      <c r="AC10" s="2625"/>
      <c r="AD10" s="2636">
        <f>ROUND(AVERAGE(I10:I$32)/100,4)</f>
        <v>2.07E-2</v>
      </c>
      <c r="AE10" s="2636">
        <f>ROUND(AVERAGE(J10:J$32)/100,4)</f>
        <v>1.47E-2</v>
      </c>
      <c r="AF10" s="2636">
        <f t="shared" ref="AF10" si="39">AE10</f>
        <v>1.47E-2</v>
      </c>
      <c r="AG10" s="2636">
        <f>ROUND(AVERAGE(K10:K$32)/100,4)</f>
        <v>2.2599999999999999E-2</v>
      </c>
      <c r="AH10" s="2636">
        <f>ROUND(AVERAGE(L10:L$32)/100,4)</f>
        <v>1.44E-2</v>
      </c>
    </row>
    <row r="11" spans="1:34" s="2723" customFormat="1">
      <c r="A11" s="2618" t="s">
        <v>2981</v>
      </c>
      <c r="B11" s="2631">
        <f t="shared" ref="B11:B16" si="40">B12*(1+N11)</f>
        <v>474.30670301923408</v>
      </c>
      <c r="C11" s="2631">
        <f t="shared" ref="C11" si="41">C12*(1+O11)</f>
        <v>349.50705005996491</v>
      </c>
      <c r="D11" s="2631">
        <f t="shared" ref="D11" si="42">C11</f>
        <v>349.50705005996491</v>
      </c>
      <c r="E11" s="2631">
        <f t="shared" ref="E11" si="43">E12*(1+P11)</f>
        <v>678.22831959706957</v>
      </c>
      <c r="F11" s="2631">
        <f t="shared" ref="F11" si="44">F12*(1+Q11)</f>
        <v>312.0556832169558</v>
      </c>
      <c r="G11" s="2717">
        <v>2019</v>
      </c>
      <c r="H11" s="2619">
        <v>2</v>
      </c>
      <c r="I11" s="2619">
        <v>1.53</v>
      </c>
      <c r="J11" s="2619">
        <v>1.01</v>
      </c>
      <c r="K11" s="2619">
        <v>1.62</v>
      </c>
      <c r="L11" s="2620">
        <v>1.25</v>
      </c>
      <c r="M11" s="2625"/>
      <c r="N11" s="2626">
        <f t="shared" ref="N11" si="45">I11/100</f>
        <v>1.5300000000000001E-2</v>
      </c>
      <c r="O11" s="2627">
        <f t="shared" ref="O11" si="46">J11/100</f>
        <v>1.01E-2</v>
      </c>
      <c r="P11" s="2627">
        <f t="shared" ref="P11" si="47">K11/100</f>
        <v>1.6200000000000003E-2</v>
      </c>
      <c r="Q11" s="2627">
        <f t="shared" ref="Q11" si="48">L11/100</f>
        <v>1.2500000000000001E-2</v>
      </c>
      <c r="R11" s="2628"/>
      <c r="S11" s="2634"/>
      <c r="T11" s="2635"/>
      <c r="U11" s="2635"/>
      <c r="V11" s="2635"/>
      <c r="W11" s="2625"/>
      <c r="X11" s="2716">
        <f>ROUND(IF(项目基本情况!B8="出让",SUMPRODUCT(PRODUCT(1+N11:N$32)),SUMPRODUCT(PRODUCT(1+N11:N$31))),4)</f>
        <v>1.5422</v>
      </c>
      <c r="Y11" s="2716">
        <f>ROUND(IF(项目基本情况!B8="出让",SUMPRODUCT(PRODUCT(1+O11:O$32)),SUMPRODUCT(PRODUCT(1+O11:O$31))),4)</f>
        <v>1.3557999999999999</v>
      </c>
      <c r="Z11" s="2716">
        <f t="shared" ref="Z11" si="49">Y11</f>
        <v>1.3557999999999999</v>
      </c>
      <c r="AA11" s="2716">
        <f>ROUND(IF(项目基本情况!B8="出让",SUMPRODUCT(PRODUCT(1+P11:P$32)),SUMPRODUCT(PRODUCT(1+P11:P$31))),4)</f>
        <v>1.6036999999999999</v>
      </c>
      <c r="AB11" s="2716">
        <f>ROUND(IF(项目基本情况!B8="出让",SUMPRODUCT(PRODUCT(1+Q11:Q$32)),SUMPRODUCT(PRODUCT(1+Q11:Q$31))),4)</f>
        <v>1.3573</v>
      </c>
      <c r="AC11" s="2625"/>
      <c r="AD11" s="2636">
        <f>ROUND(AVERAGE(I11:I$32)/100,4)</f>
        <v>2.1299999999999999E-2</v>
      </c>
      <c r="AE11" s="2636">
        <f>ROUND(AVERAGE(J11:J$32)/100,4)</f>
        <v>1.4999999999999999E-2</v>
      </c>
      <c r="AF11" s="2636">
        <f t="shared" ref="AF11" si="50">AE11</f>
        <v>1.4999999999999999E-2</v>
      </c>
      <c r="AG11" s="2636">
        <f>ROUND(AVERAGE(K11:K$32)/100,4)</f>
        <v>2.3300000000000001E-2</v>
      </c>
      <c r="AH11" s="2636">
        <f>ROUND(AVERAGE(L11:L$32)/100,4)</f>
        <v>1.46E-2</v>
      </c>
    </row>
    <row r="12" spans="1:34" s="2723" customFormat="1" ht="13.5" thickBot="1">
      <c r="A12" s="2618" t="s">
        <v>2980</v>
      </c>
      <c r="B12" s="2631">
        <f t="shared" si="40"/>
        <v>467.15916775261894</v>
      </c>
      <c r="C12" s="2631">
        <f t="shared" ref="C12" si="51">C13*(1+O12)</f>
        <v>346.01232557169084</v>
      </c>
      <c r="D12" s="2631">
        <f t="shared" ref="D12" si="52">C12</f>
        <v>346.01232557169084</v>
      </c>
      <c r="E12" s="2631">
        <f t="shared" ref="E12" si="53">E13*(1+P12)</f>
        <v>667.41617752122568</v>
      </c>
      <c r="F12" s="2631">
        <f t="shared" ref="F12" si="54">F13*(1+Q12)</f>
        <v>308.20314391798104</v>
      </c>
      <c r="G12" s="2717">
        <v>2019</v>
      </c>
      <c r="H12" s="2621">
        <v>1</v>
      </c>
      <c r="I12" s="2621">
        <v>0.6</v>
      </c>
      <c r="J12" s="2621">
        <v>0.37</v>
      </c>
      <c r="K12" s="2621">
        <v>0.63</v>
      </c>
      <c r="L12" s="2632">
        <v>1.1299999999999999</v>
      </c>
      <c r="M12" s="2625"/>
      <c r="N12" s="2626">
        <f t="shared" ref="N12" si="55">I12/100</f>
        <v>6.0000000000000001E-3</v>
      </c>
      <c r="O12" s="2627">
        <f t="shared" ref="O12" si="56">J12/100</f>
        <v>3.7000000000000002E-3</v>
      </c>
      <c r="P12" s="2627">
        <f t="shared" ref="P12" si="57">K12/100</f>
        <v>6.3E-3</v>
      </c>
      <c r="Q12" s="2627">
        <f t="shared" ref="Q12" si="58">L12/100</f>
        <v>1.1299999999999999E-2</v>
      </c>
      <c r="R12" s="2628"/>
      <c r="S12" s="2634">
        <f>B12/B13-1</f>
        <v>6.0000000000000053E-3</v>
      </c>
      <c r="T12" s="2635">
        <f>C12/C13-1</f>
        <v>3.7000000000000366E-3</v>
      </c>
      <c r="U12" s="2635">
        <f>E12/E13-1</f>
        <v>6.2999999999999723E-3</v>
      </c>
      <c r="V12" s="2635">
        <f>F12/F13-1</f>
        <v>1.1300000000000088E-2</v>
      </c>
      <c r="W12" s="2625"/>
      <c r="X12" s="2716">
        <f>ROUND(IF(项目基本情况!B8="出让",SUMPRODUCT(PRODUCT(1+N12:N$32)),SUMPRODUCT(PRODUCT(1+N12:N$31))),4)</f>
        <v>1.5189999999999999</v>
      </c>
      <c r="Y12" s="2716">
        <f>ROUND(IF(项目基本情况!B8="出让",SUMPRODUCT(PRODUCT(1+O12:O$32)),SUMPRODUCT(PRODUCT(1+O12:O$31))),4)</f>
        <v>1.3423</v>
      </c>
      <c r="Z12" s="2716">
        <f t="shared" ref="Z12" si="59">Y12</f>
        <v>1.3423</v>
      </c>
      <c r="AA12" s="2716">
        <f>ROUND(IF(项目基本情况!B8="出让",SUMPRODUCT(PRODUCT(1+P12:P$32)),SUMPRODUCT(PRODUCT(1+P12:P$31))),4)</f>
        <v>1.5782</v>
      </c>
      <c r="AB12" s="2716">
        <f>ROUND(IF(项目基本情况!B8="出让",SUMPRODUCT(PRODUCT(1+Q12:Q$32)),SUMPRODUCT(PRODUCT(1+Q12:Q$31))),4)</f>
        <v>1.3405</v>
      </c>
      <c r="AC12" s="2625"/>
      <c r="AD12" s="2636">
        <f>ROUND(AVERAGE(I12:I$32)/100,4)</f>
        <v>2.1600000000000001E-2</v>
      </c>
      <c r="AE12" s="2636">
        <f>ROUND(AVERAGE(J12:J$32)/100,4)</f>
        <v>1.5299999999999999E-2</v>
      </c>
      <c r="AF12" s="2636">
        <f t="shared" ref="AF12" si="60">AE12</f>
        <v>1.5299999999999999E-2</v>
      </c>
      <c r="AG12" s="2636">
        <f>ROUND(AVERAGE(K12:K$32)/100,4)</f>
        <v>2.3699999999999999E-2</v>
      </c>
      <c r="AH12" s="2636">
        <f>ROUND(AVERAGE(L12:L$32)/100,4)</f>
        <v>1.47E-2</v>
      </c>
    </row>
    <row r="13" spans="1:34" s="2723" customFormat="1">
      <c r="A13" s="2618" t="s">
        <v>2978</v>
      </c>
      <c r="B13" s="3162">
        <f t="shared" si="40"/>
        <v>464.37293017158942</v>
      </c>
      <c r="C13" s="3162">
        <f t="shared" ref="C13" si="61">C14*(1+O13)</f>
        <v>344.73679941385956</v>
      </c>
      <c r="D13" s="3162">
        <f t="shared" ref="D13" si="62">C13</f>
        <v>344.73679941385956</v>
      </c>
      <c r="E13" s="3162">
        <f t="shared" ref="E13" si="63">E14*(1+P13)</f>
        <v>663.2377795103107</v>
      </c>
      <c r="F13" s="3163">
        <f t="shared" ref="F13" si="64">F14*(1+Q13)</f>
        <v>304.75936311478398</v>
      </c>
      <c r="G13" s="3544">
        <v>2018</v>
      </c>
      <c r="H13" s="2619">
        <v>4</v>
      </c>
      <c r="I13" s="2619">
        <v>0.96</v>
      </c>
      <c r="J13" s="2619">
        <v>1.03</v>
      </c>
      <c r="K13" s="2619">
        <v>0.92</v>
      </c>
      <c r="L13" s="2620">
        <v>1.29</v>
      </c>
      <c r="M13" s="2625"/>
      <c r="N13" s="2626">
        <f t="shared" ref="N13" si="65">I13/100</f>
        <v>9.5999999999999992E-3</v>
      </c>
      <c r="O13" s="2627">
        <f t="shared" ref="O13" si="66">J13/100</f>
        <v>1.03E-2</v>
      </c>
      <c r="P13" s="2627">
        <f t="shared" ref="P13" si="67">K13/100</f>
        <v>9.1999999999999998E-3</v>
      </c>
      <c r="Q13" s="2627">
        <f t="shared" ref="Q13" si="68">L13/100</f>
        <v>1.29E-2</v>
      </c>
      <c r="R13" s="2628"/>
      <c r="S13" s="2629"/>
      <c r="T13" s="2630"/>
      <c r="U13" s="2630"/>
      <c r="V13" s="2630"/>
      <c r="W13" s="2625"/>
      <c r="X13" s="2716">
        <f>ROUND(SUMPRODUCT(PRODUCT(1+N13:N$31)),4)</f>
        <v>1.5099</v>
      </c>
      <c r="Y13" s="2716">
        <f>ROUND(SUMPRODUCT(PRODUCT(1+O13:O$31)),4)</f>
        <v>1.3372999999999999</v>
      </c>
      <c r="Z13" s="2716">
        <f t="shared" ref="Z13" si="69">Y13</f>
        <v>1.3372999999999999</v>
      </c>
      <c r="AA13" s="2716">
        <f>ROUND(SUMPRODUCT(PRODUCT(1+P13:P$31)),4)</f>
        <v>1.5683</v>
      </c>
      <c r="AB13" s="2716">
        <f>ROUND(SUMPRODUCT(PRODUCT(1+Q13:Q$31)),4)</f>
        <v>1.3255999999999999</v>
      </c>
      <c r="AC13" s="2625"/>
      <c r="AD13" s="2636">
        <f>ROUND(AVERAGE(I13:I$32)/100,4)</f>
        <v>2.24E-2</v>
      </c>
      <c r="AE13" s="2636">
        <f>ROUND(AVERAGE(J13:J$32)/100,4)</f>
        <v>1.5800000000000002E-2</v>
      </c>
      <c r="AF13" s="2636">
        <f t="shared" ref="AF13" si="70">AE13</f>
        <v>1.5800000000000002E-2</v>
      </c>
      <c r="AG13" s="2636">
        <f>ROUND(AVERAGE(K13:K$32)/100,4)</f>
        <v>2.4500000000000001E-2</v>
      </c>
      <c r="AH13" s="2636">
        <f>ROUND(AVERAGE(L13:L$32)/100,4)</f>
        <v>1.49E-2</v>
      </c>
    </row>
    <row r="14" spans="1:34" s="2723" customFormat="1" ht="14.45" customHeight="1">
      <c r="A14" s="2618" t="s">
        <v>2971</v>
      </c>
      <c r="B14" s="2631">
        <f t="shared" si="40"/>
        <v>459.95733971036987</v>
      </c>
      <c r="C14" s="2631">
        <f t="shared" ref="C14" si="71">C15*(1+O14)</f>
        <v>341.22221064422405</v>
      </c>
      <c r="D14" s="2631">
        <f t="shared" ref="D14" si="72">C14</f>
        <v>341.22221064422405</v>
      </c>
      <c r="E14" s="2631">
        <f t="shared" ref="E14" si="73">E15*(1+P14)</f>
        <v>657.19161663724799</v>
      </c>
      <c r="F14" s="2631">
        <f t="shared" ref="F14" si="74">F15*(1+Q14)</f>
        <v>300.87803644464805</v>
      </c>
      <c r="G14" s="3544"/>
      <c r="H14" s="2621">
        <v>3</v>
      </c>
      <c r="I14" s="2621">
        <v>1.51</v>
      </c>
      <c r="J14" s="2621">
        <v>1.41</v>
      </c>
      <c r="K14" s="2621">
        <v>1.52</v>
      </c>
      <c r="L14" s="2632">
        <v>1.74</v>
      </c>
      <c r="M14" s="2625"/>
      <c r="N14" s="2626">
        <f t="shared" ref="N14" si="75">I14/100</f>
        <v>1.5100000000000001E-2</v>
      </c>
      <c r="O14" s="2627">
        <f t="shared" ref="O14" si="76">J14/100</f>
        <v>1.41E-2</v>
      </c>
      <c r="P14" s="2627">
        <f t="shared" ref="P14" si="77">K14/100</f>
        <v>1.52E-2</v>
      </c>
      <c r="Q14" s="2627">
        <f t="shared" ref="Q14" si="78">L14/100</f>
        <v>1.7399999999999999E-2</v>
      </c>
      <c r="R14" s="2628"/>
      <c r="S14" s="2626"/>
      <c r="T14" s="2627"/>
      <c r="U14" s="2627"/>
      <c r="V14" s="2627"/>
      <c r="W14" s="2625"/>
      <c r="X14" s="2716">
        <f>ROUND(SUMPRODUCT(PRODUCT(1+N14:N$31)),4)</f>
        <v>1.4956</v>
      </c>
      <c r="Y14" s="2716">
        <f>ROUND(SUMPRODUCT(PRODUCT(1+O14:O$31)),4)</f>
        <v>1.3237000000000001</v>
      </c>
      <c r="Z14" s="2716">
        <f t="shared" ref="Z14" si="79">Y14</f>
        <v>1.3237000000000001</v>
      </c>
      <c r="AA14" s="2716">
        <f>ROUND(SUMPRODUCT(PRODUCT(1+P14:P$31)),4)</f>
        <v>1.554</v>
      </c>
      <c r="AB14" s="2716">
        <f>ROUND(SUMPRODUCT(PRODUCT(1+Q14:Q$31)),4)</f>
        <v>1.3087</v>
      </c>
      <c r="AC14" s="2625"/>
      <c r="AD14" s="2636">
        <f>ROUND(AVERAGE(I14:I$32)/100,4)</f>
        <v>2.3099999999999999E-2</v>
      </c>
      <c r="AE14" s="2636">
        <f>ROUND(AVERAGE(J14:J$32)/100,4)</f>
        <v>1.61E-2</v>
      </c>
      <c r="AF14" s="2636">
        <f t="shared" ref="AF14" si="80">AE14</f>
        <v>1.61E-2</v>
      </c>
      <c r="AG14" s="2636">
        <f>ROUND(AVERAGE(K14:K$32)/100,4)</f>
        <v>2.53E-2</v>
      </c>
      <c r="AH14" s="2636">
        <f>ROUND(AVERAGE(L14:L$32)/100,4)</f>
        <v>1.4999999999999999E-2</v>
      </c>
    </row>
    <row r="15" spans="1:34" s="2723" customFormat="1" ht="14.45" customHeight="1">
      <c r="A15" s="2618" t="s">
        <v>2972</v>
      </c>
      <c r="B15" s="2631">
        <f t="shared" si="40"/>
        <v>453.11529869999993</v>
      </c>
      <c r="C15" s="2631">
        <f t="shared" ref="C15" si="81">C16*(1+O15)</f>
        <v>336.47787264000004</v>
      </c>
      <c r="D15" s="2631">
        <f t="shared" ref="D15" si="82">C15</f>
        <v>336.47787264000004</v>
      </c>
      <c r="E15" s="2631">
        <f t="shared" ref="E15" si="83">E16*(1+P15)</f>
        <v>647.35186823999993</v>
      </c>
      <c r="F15" s="2631">
        <f t="shared" ref="F15" si="84">F16*(1+Q15)</f>
        <v>295.73229452000004</v>
      </c>
      <c r="G15" s="3544"/>
      <c r="H15" s="2622">
        <v>2</v>
      </c>
      <c r="I15" s="2622">
        <v>1.49</v>
      </c>
      <c r="J15" s="2622">
        <v>0.96</v>
      </c>
      <c r="K15" s="2622">
        <v>1.58</v>
      </c>
      <c r="L15" s="2633">
        <v>2.44</v>
      </c>
      <c r="M15" s="2625"/>
      <c r="N15" s="2626">
        <f t="shared" ref="N15" si="85">I15/100</f>
        <v>1.49E-2</v>
      </c>
      <c r="O15" s="2627">
        <f t="shared" ref="O15" si="86">J15/100</f>
        <v>9.5999999999999992E-3</v>
      </c>
      <c r="P15" s="2627">
        <f t="shared" ref="P15" si="87">K15/100</f>
        <v>1.5800000000000002E-2</v>
      </c>
      <c r="Q15" s="2627">
        <f t="shared" ref="Q15" si="88">L15/100</f>
        <v>2.4399999999999998E-2</v>
      </c>
      <c r="R15" s="2628"/>
      <c r="S15" s="2626"/>
      <c r="T15" s="2627"/>
      <c r="U15" s="2627"/>
      <c r="V15" s="2627"/>
      <c r="W15" s="2625"/>
      <c r="X15" s="2716">
        <f>ROUND(SUMPRODUCT(PRODUCT(1+N15:N$31)),4)</f>
        <v>1.4733000000000001</v>
      </c>
      <c r="Y15" s="2716">
        <f>ROUND(SUMPRODUCT(PRODUCT(1+O15:O$31)),4)</f>
        <v>1.3052999999999999</v>
      </c>
      <c r="Z15" s="2716">
        <f t="shared" ref="Z15" si="89">Y15</f>
        <v>1.3052999999999999</v>
      </c>
      <c r="AA15" s="2716">
        <f>ROUND(SUMPRODUCT(PRODUCT(1+P15:P$31)),4)</f>
        <v>1.5306999999999999</v>
      </c>
      <c r="AB15" s="2716">
        <f>ROUND(SUMPRODUCT(PRODUCT(1+Q15:Q$31)),4)</f>
        <v>1.2863</v>
      </c>
      <c r="AC15" s="2625"/>
      <c r="AD15" s="2636">
        <f>ROUND(AVERAGE(I15:I$32)/100,4)</f>
        <v>2.35E-2</v>
      </c>
      <c r="AE15" s="2636">
        <f>ROUND(AVERAGE(J15:J$32)/100,4)</f>
        <v>1.6199999999999999E-2</v>
      </c>
      <c r="AF15" s="2636">
        <f t="shared" ref="AF15" si="90">AE15</f>
        <v>1.6199999999999999E-2</v>
      </c>
      <c r="AG15" s="2636">
        <f>ROUND(AVERAGE(K15:K$32)/100,4)</f>
        <v>2.5899999999999999E-2</v>
      </c>
      <c r="AH15" s="2636">
        <f>ROUND(AVERAGE(L15:L$32)/100,4)</f>
        <v>1.49E-2</v>
      </c>
    </row>
    <row r="16" spans="1:34" s="2723" customFormat="1" ht="15" customHeight="1" thickBot="1">
      <c r="A16" s="2618" t="s">
        <v>2968</v>
      </c>
      <c r="B16" s="2631">
        <f t="shared" si="40"/>
        <v>446.46299999999997</v>
      </c>
      <c r="C16" s="2631">
        <f t="shared" ref="C16" si="91">C17*(1+O16)</f>
        <v>333.27840000000003</v>
      </c>
      <c r="D16" s="2631">
        <f t="shared" ref="D16:D21" si="92">C16</f>
        <v>333.27840000000003</v>
      </c>
      <c r="E16" s="2631">
        <f t="shared" ref="E16" si="93">E17*(1+P16)</f>
        <v>637.28279999999995</v>
      </c>
      <c r="F16" s="2631">
        <f t="shared" ref="F16" si="94">F17*(1+Q16)</f>
        <v>288.68830000000003</v>
      </c>
      <c r="G16" s="3550"/>
      <c r="H16" s="2621">
        <v>1</v>
      </c>
      <c r="I16" s="2621">
        <v>1.7</v>
      </c>
      <c r="J16" s="2621">
        <v>1.92</v>
      </c>
      <c r="K16" s="2621">
        <v>1.64</v>
      </c>
      <c r="L16" s="2632">
        <v>2.0099999999999998</v>
      </c>
      <c r="M16" s="2625"/>
      <c r="N16" s="2626">
        <f t="shared" ref="N16:N21" si="95">I16/100</f>
        <v>1.7000000000000001E-2</v>
      </c>
      <c r="O16" s="2627">
        <f t="shared" ref="O16" si="96">J16/100</f>
        <v>1.9199999999999998E-2</v>
      </c>
      <c r="P16" s="2627">
        <f t="shared" ref="P16" si="97">K16/100</f>
        <v>1.6399999999999998E-2</v>
      </c>
      <c r="Q16" s="2627">
        <f t="shared" ref="Q16" si="98">L16/100</f>
        <v>2.0099999999999996E-2</v>
      </c>
      <c r="R16" s="2628"/>
      <c r="S16" s="2634">
        <f>B16/B17-1</f>
        <v>1.6999999999999904E-2</v>
      </c>
      <c r="T16" s="2635">
        <f>C16/C17-1</f>
        <v>1.9200000000000106E-2</v>
      </c>
      <c r="U16" s="2635">
        <f>E16/E17-1</f>
        <v>1.639999999999997E-2</v>
      </c>
      <c r="V16" s="2635">
        <f>F16/F17-1</f>
        <v>2.0100000000000007E-2</v>
      </c>
      <c r="W16" s="2625"/>
      <c r="X16" s="2716">
        <f>ROUND(SUMPRODUCT(PRODUCT(1+N16:N$31)),4)</f>
        <v>1.4517</v>
      </c>
      <c r="Y16" s="2716">
        <f>ROUND(SUMPRODUCT(PRODUCT(1+O16:O$31)),4)</f>
        <v>1.2928999999999999</v>
      </c>
      <c r="Z16" s="2716">
        <f t="shared" ref="Z16" si="99">Y16</f>
        <v>1.2928999999999999</v>
      </c>
      <c r="AA16" s="2716">
        <f>ROUND(SUMPRODUCT(PRODUCT(1+P16:P$31)),4)</f>
        <v>1.5068999999999999</v>
      </c>
      <c r="AB16" s="2716">
        <f>ROUND(SUMPRODUCT(PRODUCT(1+Q16:Q$31)),4)</f>
        <v>1.2557</v>
      </c>
      <c r="AC16" s="2625"/>
      <c r="AD16" s="2636">
        <f>ROUND(AVERAGE(I16:I$32)/100,4)</f>
        <v>2.4E-2</v>
      </c>
      <c r="AE16" s="2636">
        <f>ROUND(AVERAGE(J16:J$32)/100,4)</f>
        <v>1.66E-2</v>
      </c>
      <c r="AF16" s="2636">
        <f t="shared" ref="AF16" si="100">AE16</f>
        <v>1.66E-2</v>
      </c>
      <c r="AG16" s="2636">
        <f>ROUND(AVERAGE(K16:K$32)/100,4)</f>
        <v>2.6499999999999999E-2</v>
      </c>
      <c r="AH16" s="2636">
        <f>ROUND(AVERAGE(L16:L$32)/100,4)</f>
        <v>1.43E-2</v>
      </c>
    </row>
    <row r="17" spans="1:34">
      <c r="A17" s="2618" t="s">
        <v>2960</v>
      </c>
      <c r="B17" s="3080">
        <v>439</v>
      </c>
      <c r="C17" s="3080">
        <v>327</v>
      </c>
      <c r="D17" s="3080">
        <f t="shared" si="92"/>
        <v>327</v>
      </c>
      <c r="E17" s="3080">
        <v>627</v>
      </c>
      <c r="F17" s="3081">
        <v>283</v>
      </c>
      <c r="G17" s="3549">
        <v>2017</v>
      </c>
      <c r="H17" s="2619">
        <v>4</v>
      </c>
      <c r="I17" s="2619">
        <v>1.71</v>
      </c>
      <c r="J17" s="2619">
        <v>1.78</v>
      </c>
      <c r="K17" s="2619">
        <v>1.71</v>
      </c>
      <c r="L17" s="2620">
        <v>1.43</v>
      </c>
      <c r="N17" s="2639">
        <f t="shared" si="95"/>
        <v>1.7100000000000001E-2</v>
      </c>
      <c r="O17" s="2640">
        <f t="shared" ref="O17" si="101">J17/100</f>
        <v>1.78E-2</v>
      </c>
      <c r="P17" s="2640">
        <f t="shared" ref="P17" si="102">K17/100</f>
        <v>1.7100000000000001E-2</v>
      </c>
      <c r="Q17" s="2640">
        <f t="shared" ref="Q17" si="103">L17/100</f>
        <v>1.43E-2</v>
      </c>
      <c r="R17" s="2628"/>
      <c r="S17" s="2629"/>
      <c r="T17" s="2630"/>
      <c r="U17" s="2630"/>
      <c r="V17" s="2630"/>
      <c r="X17" s="2716">
        <f>ROUND(SUMPRODUCT(PRODUCT(1+N17:N$31)),4)</f>
        <v>1.4274</v>
      </c>
      <c r="Y17" s="2716">
        <f>ROUND(SUMPRODUCT(PRODUCT(1+O17:O$31)),4)</f>
        <v>1.2685</v>
      </c>
      <c r="Z17" s="2716">
        <f t="shared" si="0"/>
        <v>1.2685</v>
      </c>
      <c r="AA17" s="2716">
        <f>ROUND(SUMPRODUCT(PRODUCT(1+P17:P$31)),4)</f>
        <v>1.4825999999999999</v>
      </c>
      <c r="AB17" s="2716">
        <f>ROUND(SUMPRODUCT(PRODUCT(1+Q17:Q$31)),4)</f>
        <v>1.2309000000000001</v>
      </c>
      <c r="AD17" s="2636">
        <f>ROUND(AVERAGE(I17:I$32)/100,4)</f>
        <v>2.4500000000000001E-2</v>
      </c>
      <c r="AE17" s="2636">
        <f>ROUND(AVERAGE(J17:J$32)/100,4)</f>
        <v>1.6500000000000001E-2</v>
      </c>
      <c r="AF17" s="2636">
        <f t="shared" si="1"/>
        <v>1.6500000000000001E-2</v>
      </c>
      <c r="AG17" s="2636">
        <f>ROUND(AVERAGE(K17:K$32)/100,4)</f>
        <v>2.7099999999999999E-2</v>
      </c>
      <c r="AH17" s="2636">
        <f>ROUND(AVERAGE(L17:L$32)/100,4)</f>
        <v>1.3899999999999999E-2</v>
      </c>
    </row>
    <row r="18" spans="1:34" s="2723" customFormat="1" ht="14.45" customHeight="1">
      <c r="A18" s="2618" t="s">
        <v>2963</v>
      </c>
      <c r="B18" s="2631">
        <f t="shared" ref="B18:C20" si="104">B19*(1+N18)</f>
        <v>431.80730811680002</v>
      </c>
      <c r="C18" s="2631">
        <f t="shared" si="104"/>
        <v>320.57880516480003</v>
      </c>
      <c r="D18" s="2631">
        <f t="shared" si="92"/>
        <v>320.57880516480003</v>
      </c>
      <c r="E18" s="2631">
        <f t="shared" ref="E18:F20" si="105">E19*(1+P18)</f>
        <v>615.96110553196797</v>
      </c>
      <c r="F18" s="2631">
        <f t="shared" si="105"/>
        <v>279.46777300108801</v>
      </c>
      <c r="G18" s="3544"/>
      <c r="H18" s="2621">
        <v>3</v>
      </c>
      <c r="I18" s="2621">
        <v>2.98</v>
      </c>
      <c r="J18" s="2621">
        <v>2.11</v>
      </c>
      <c r="K18" s="2621">
        <v>3.24</v>
      </c>
      <c r="L18" s="2632">
        <v>1.72</v>
      </c>
      <c r="M18" s="2625"/>
      <c r="N18" s="2626">
        <f t="shared" si="95"/>
        <v>2.98E-2</v>
      </c>
      <c r="O18" s="2644">
        <f t="shared" ref="O18:O19" si="106">J18/100</f>
        <v>2.1099999999999997E-2</v>
      </c>
      <c r="P18" s="2644">
        <f t="shared" ref="P18:P19" si="107">K18/100</f>
        <v>3.2400000000000005E-2</v>
      </c>
      <c r="Q18" s="2644">
        <f t="shared" ref="Q18:Q19" si="108">L18/100</f>
        <v>1.72E-2</v>
      </c>
      <c r="R18" s="2628"/>
      <c r="S18" s="2626"/>
      <c r="T18" s="2627"/>
      <c r="U18" s="2627"/>
      <c r="V18" s="2627"/>
      <c r="W18" s="2625"/>
      <c r="X18" s="2716">
        <f>ROUND(SUMPRODUCT(PRODUCT(1+N18:N$31)),4)</f>
        <v>1.4034</v>
      </c>
      <c r="Y18" s="2716">
        <f>ROUND(SUMPRODUCT(PRODUCT(1+O18:O$31)),4)</f>
        <v>1.2463</v>
      </c>
      <c r="Z18" s="2716">
        <f t="shared" si="0"/>
        <v>1.2463</v>
      </c>
      <c r="AA18" s="2716">
        <f>ROUND(SUMPRODUCT(PRODUCT(1+P18:P$31)),4)</f>
        <v>1.4577</v>
      </c>
      <c r="AB18" s="2716">
        <f>ROUND(SUMPRODUCT(PRODUCT(1+Q18:Q$31)),4)</f>
        <v>1.2136</v>
      </c>
      <c r="AC18" s="2625"/>
      <c r="AD18" s="2636">
        <f>ROUND(AVERAGE(I18:I$32)/100,4)</f>
        <v>2.4899999999999999E-2</v>
      </c>
      <c r="AE18" s="2636">
        <f>ROUND(AVERAGE(J18:J$32)/100,4)</f>
        <v>1.6400000000000001E-2</v>
      </c>
      <c r="AF18" s="2636">
        <f t="shared" si="1"/>
        <v>1.6400000000000001E-2</v>
      </c>
      <c r="AG18" s="2636">
        <f>ROUND(AVERAGE(K18:K$32)/100,4)</f>
        <v>2.7799999999999998E-2</v>
      </c>
      <c r="AH18" s="2636">
        <f>ROUND(AVERAGE(L18:L$32)/100,4)</f>
        <v>1.3899999999999999E-2</v>
      </c>
    </row>
    <row r="19" spans="1:34" s="2616" customFormat="1" ht="14.45" customHeight="1">
      <c r="A19" s="2618" t="s">
        <v>2575</v>
      </c>
      <c r="B19" s="2631">
        <f t="shared" si="104"/>
        <v>419.31181600000002</v>
      </c>
      <c r="C19" s="2631">
        <f t="shared" si="104"/>
        <v>313.95436800000004</v>
      </c>
      <c r="D19" s="2631">
        <f t="shared" si="92"/>
        <v>313.95436800000004</v>
      </c>
      <c r="E19" s="2631">
        <f t="shared" si="105"/>
        <v>596.63028431999999</v>
      </c>
      <c r="F19" s="2631">
        <f t="shared" si="105"/>
        <v>274.74220703999998</v>
      </c>
      <c r="G19" s="3544"/>
      <c r="H19" s="2622">
        <v>2</v>
      </c>
      <c r="I19" s="2622">
        <v>3.4</v>
      </c>
      <c r="J19" s="2622">
        <v>2</v>
      </c>
      <c r="K19" s="2622">
        <v>3.82</v>
      </c>
      <c r="L19" s="2633">
        <v>1.68</v>
      </c>
      <c r="N19" s="2626">
        <f t="shared" si="95"/>
        <v>3.4000000000000002E-2</v>
      </c>
      <c r="O19" s="2644">
        <f t="shared" si="106"/>
        <v>0.02</v>
      </c>
      <c r="P19" s="2644">
        <f t="shared" si="107"/>
        <v>3.8199999999999998E-2</v>
      </c>
      <c r="Q19" s="2644">
        <f t="shared" si="108"/>
        <v>1.6799999999999999E-2</v>
      </c>
      <c r="R19" s="2617"/>
      <c r="S19" s="2626"/>
      <c r="T19" s="2627"/>
      <c r="U19" s="2627"/>
      <c r="V19" s="2627"/>
      <c r="X19" s="2716">
        <f>ROUND(SUMPRODUCT(PRODUCT(1+N19:N$31)),4)</f>
        <v>1.3628</v>
      </c>
      <c r="Y19" s="2716">
        <f>ROUND(SUMPRODUCT(PRODUCT(1+O19:O$31)),4)</f>
        <v>1.2205999999999999</v>
      </c>
      <c r="Z19" s="2716">
        <f t="shared" si="0"/>
        <v>1.2205999999999999</v>
      </c>
      <c r="AA19" s="2716">
        <f>ROUND(SUMPRODUCT(PRODUCT(1+P19:P$31)),4)</f>
        <v>1.4118999999999999</v>
      </c>
      <c r="AB19" s="2716">
        <f>ROUND(SUMPRODUCT(PRODUCT(1+Q19:Q$31)),4)</f>
        <v>1.1930000000000001</v>
      </c>
      <c r="AD19" s="2636">
        <f>ROUND(AVERAGE(I19:I$32)/100,4)</f>
        <v>2.46E-2</v>
      </c>
      <c r="AE19" s="2636">
        <f>ROUND(AVERAGE(J19:J$32)/100,4)</f>
        <v>1.6E-2</v>
      </c>
      <c r="AF19" s="2636">
        <f t="shared" si="1"/>
        <v>1.6E-2</v>
      </c>
      <c r="AG19" s="2636">
        <f>ROUND(AVERAGE(K19:K$32)/100,4)</f>
        <v>2.75E-2</v>
      </c>
      <c r="AH19" s="2636">
        <f>ROUND(AVERAGE(L19:L$32)/100,4)</f>
        <v>1.37E-2</v>
      </c>
    </row>
    <row r="20" spans="1:34" s="2723" customFormat="1" ht="15" customHeight="1" thickBot="1">
      <c r="A20" s="2618" t="s">
        <v>2576</v>
      </c>
      <c r="B20" s="2631">
        <f t="shared" si="104"/>
        <v>405.524</v>
      </c>
      <c r="C20" s="2631">
        <f t="shared" si="104"/>
        <v>307.79840000000002</v>
      </c>
      <c r="D20" s="2631">
        <f t="shared" si="92"/>
        <v>307.79840000000002</v>
      </c>
      <c r="E20" s="2631">
        <f t="shared" si="105"/>
        <v>574.67759999999998</v>
      </c>
      <c r="F20" s="2631">
        <f t="shared" si="105"/>
        <v>270.20280000000002</v>
      </c>
      <c r="G20" s="3550"/>
      <c r="H20" s="2621">
        <v>1</v>
      </c>
      <c r="I20" s="2621">
        <v>3.45</v>
      </c>
      <c r="J20" s="2621">
        <v>1.92</v>
      </c>
      <c r="K20" s="2621">
        <v>3.92</v>
      </c>
      <c r="L20" s="2632">
        <v>1.58</v>
      </c>
      <c r="M20" s="2625"/>
      <c r="N20" s="2634">
        <f t="shared" si="95"/>
        <v>3.4500000000000003E-2</v>
      </c>
      <c r="O20" s="2635">
        <f t="shared" ref="O20" si="109">J20/100</f>
        <v>1.9199999999999998E-2</v>
      </c>
      <c r="P20" s="2635">
        <f t="shared" ref="P20" si="110">K20/100</f>
        <v>3.9199999999999999E-2</v>
      </c>
      <c r="Q20" s="2635">
        <f t="shared" ref="Q20" si="111">L20/100</f>
        <v>1.5800000000000002E-2</v>
      </c>
      <c r="R20" s="2628"/>
      <c r="S20" s="2634">
        <f>B20/B21-1</f>
        <v>3.4499999999999975E-2</v>
      </c>
      <c r="T20" s="2635">
        <f>C20/C21-1</f>
        <v>1.9200000000000106E-2</v>
      </c>
      <c r="U20" s="2635">
        <f>E20/E21-1</f>
        <v>3.9199999999999902E-2</v>
      </c>
      <c r="V20" s="2635">
        <f>F20/F21-1</f>
        <v>1.5800000000000036E-2</v>
      </c>
      <c r="W20" s="2625"/>
      <c r="X20" s="2716">
        <f>ROUND(SUMPRODUCT(PRODUCT(1+N20:N$31)),4)</f>
        <v>1.3180000000000001</v>
      </c>
      <c r="Y20" s="2716">
        <f>ROUND(SUMPRODUCT(PRODUCT(1+O20:O$31)),4)</f>
        <v>1.1966000000000001</v>
      </c>
      <c r="Z20" s="2716">
        <f t="shared" si="0"/>
        <v>1.1966000000000001</v>
      </c>
      <c r="AA20" s="2716">
        <f>ROUND(SUMPRODUCT(PRODUCT(1+P20:P$31)),4)</f>
        <v>1.36</v>
      </c>
      <c r="AB20" s="2716">
        <f>ROUND(SUMPRODUCT(PRODUCT(1+Q20:Q$31)),4)</f>
        <v>1.1733</v>
      </c>
      <c r="AC20" s="2625"/>
      <c r="AD20" s="2636">
        <f>ROUND(AVERAGE(I20:I$32)/100,4)</f>
        <v>2.3900000000000001E-2</v>
      </c>
      <c r="AE20" s="2636">
        <f>ROUND(AVERAGE(J20:J$32)/100,4)</f>
        <v>1.5699999999999999E-2</v>
      </c>
      <c r="AF20" s="2636">
        <f t="shared" si="1"/>
        <v>1.5699999999999999E-2</v>
      </c>
      <c r="AG20" s="2636">
        <f>ROUND(AVERAGE(K20:K$32)/100,4)</f>
        <v>2.6599999999999999E-2</v>
      </c>
      <c r="AH20" s="2636">
        <f>ROUND(AVERAGE(L20:L$32)/100,4)</f>
        <v>1.34E-2</v>
      </c>
    </row>
    <row r="21" spans="1:34">
      <c r="A21" s="2618" t="s">
        <v>968</v>
      </c>
      <c r="B21" s="2623">
        <v>392</v>
      </c>
      <c r="C21" s="2623">
        <v>302</v>
      </c>
      <c r="D21" s="2623">
        <f t="shared" si="92"/>
        <v>302</v>
      </c>
      <c r="E21" s="2623">
        <v>553</v>
      </c>
      <c r="F21" s="2624">
        <v>266</v>
      </c>
      <c r="G21" s="3549">
        <v>2016</v>
      </c>
      <c r="H21" s="2619">
        <v>4</v>
      </c>
      <c r="I21" s="2619">
        <v>4.5599999999999996</v>
      </c>
      <c r="J21" s="2619">
        <v>2.15</v>
      </c>
      <c r="K21" s="2619">
        <v>5.32</v>
      </c>
      <c r="L21" s="2620">
        <v>1.57</v>
      </c>
      <c r="N21" s="2626">
        <f t="shared" si="95"/>
        <v>4.5599999999999995E-2</v>
      </c>
      <c r="O21" s="2627">
        <f t="shared" ref="O21:Q36" si="112">J21/100</f>
        <v>2.1499999999999998E-2</v>
      </c>
      <c r="P21" s="2627">
        <f t="shared" si="112"/>
        <v>5.3200000000000004E-2</v>
      </c>
      <c r="Q21" s="2627">
        <f t="shared" si="112"/>
        <v>1.5700000000000002E-2</v>
      </c>
      <c r="R21" s="2628"/>
      <c r="S21" s="2629"/>
      <c r="T21" s="2630"/>
      <c r="U21" s="2630"/>
      <c r="V21" s="2630"/>
      <c r="X21" s="2716">
        <f>ROUND(SUMPRODUCT(PRODUCT(1+N21:N$31)),4)</f>
        <v>1.274</v>
      </c>
      <c r="Y21" s="2716">
        <f>ROUND(SUMPRODUCT(PRODUCT(1+O21:O$31)),4)</f>
        <v>1.1740999999999999</v>
      </c>
      <c r="Z21" s="2716">
        <f t="shared" si="0"/>
        <v>1.1740999999999999</v>
      </c>
      <c r="AA21" s="2716">
        <f>ROUND(SUMPRODUCT(PRODUCT(1+P21:P$31)),4)</f>
        <v>1.3087</v>
      </c>
      <c r="AB21" s="2716">
        <f>ROUND(SUMPRODUCT(PRODUCT(1+Q21:Q$31)),4)</f>
        <v>1.1551</v>
      </c>
      <c r="AD21" s="2636">
        <f>ROUND(AVERAGE(I21:I$32)/100,4)</f>
        <v>2.3E-2</v>
      </c>
      <c r="AE21" s="2636">
        <f>ROUND(AVERAGE(J21:J$32)/100,4)</f>
        <v>1.55E-2</v>
      </c>
      <c r="AF21" s="2636">
        <f t="shared" si="1"/>
        <v>1.55E-2</v>
      </c>
      <c r="AG21" s="2636">
        <f>ROUND(AVERAGE(K21:K$32)/100,4)</f>
        <v>2.5600000000000001E-2</v>
      </c>
      <c r="AH21" s="2636">
        <f>ROUND(AVERAGE(L21:L$32)/100,4)</f>
        <v>1.32E-2</v>
      </c>
    </row>
    <row r="22" spans="1:34">
      <c r="A22" s="2618" t="s">
        <v>967</v>
      </c>
      <c r="B22" s="2631">
        <f t="shared" ref="B22:C24" si="113">B21/(1+N21)</f>
        <v>374.90436113236416</v>
      </c>
      <c r="C22" s="2631">
        <f t="shared" si="113"/>
        <v>295.64366128242779</v>
      </c>
      <c r="D22" s="2631">
        <f t="shared" ref="D22:D81" si="114">C22</f>
        <v>295.64366128242779</v>
      </c>
      <c r="E22" s="2631">
        <f t="shared" ref="E22:F24" si="115">E21/(1+P21)</f>
        <v>525.06646410938095</v>
      </c>
      <c r="F22" s="2631">
        <f t="shared" si="115"/>
        <v>261.88835286009646</v>
      </c>
      <c r="G22" s="3544"/>
      <c r="H22" s="2621">
        <v>3</v>
      </c>
      <c r="I22" s="2621">
        <v>4.12</v>
      </c>
      <c r="J22" s="2621">
        <v>2</v>
      </c>
      <c r="K22" s="2621">
        <v>4.79</v>
      </c>
      <c r="L22" s="2632">
        <v>1.97</v>
      </c>
      <c r="N22" s="2626">
        <f t="shared" ref="N22:Q56" si="116">I22/100</f>
        <v>4.1200000000000001E-2</v>
      </c>
      <c r="O22" s="2627">
        <f t="shared" si="112"/>
        <v>0.02</v>
      </c>
      <c r="P22" s="2627">
        <f t="shared" si="112"/>
        <v>4.7899999999999998E-2</v>
      </c>
      <c r="Q22" s="2627">
        <f t="shared" si="112"/>
        <v>1.9699999999999999E-2</v>
      </c>
      <c r="R22" s="2628"/>
      <c r="S22" s="2626"/>
      <c r="T22" s="2627"/>
      <c r="U22" s="2627"/>
      <c r="V22" s="2627"/>
      <c r="X22" s="2716">
        <f>ROUND(SUMPRODUCT(PRODUCT(1+N22:N$31)),4)</f>
        <v>1.2184999999999999</v>
      </c>
      <c r="Y22" s="2716">
        <f>ROUND(SUMPRODUCT(PRODUCT(1+O22:O$31)),4)</f>
        <v>1.1494</v>
      </c>
      <c r="Z22" s="2716">
        <f t="shared" si="0"/>
        <v>1.1494</v>
      </c>
      <c r="AA22" s="2716">
        <f>ROUND(SUMPRODUCT(PRODUCT(1+P22:P$31)),4)</f>
        <v>1.2425999999999999</v>
      </c>
      <c r="AB22" s="2716">
        <f>ROUND(SUMPRODUCT(PRODUCT(1+Q22:Q$31)),4)</f>
        <v>1.1372</v>
      </c>
      <c r="AD22" s="2636">
        <f>ROUND(AVERAGE(I22:I$32)/100,4)</f>
        <v>2.0899999999999998E-2</v>
      </c>
      <c r="AE22" s="2636">
        <f>ROUND(AVERAGE(J22:J$32)/100,4)</f>
        <v>1.49E-2</v>
      </c>
      <c r="AF22" s="2636">
        <f t="shared" si="1"/>
        <v>1.49E-2</v>
      </c>
      <c r="AG22" s="2636">
        <f>ROUND(AVERAGE(K22:K$32)/100,4)</f>
        <v>2.3099999999999999E-2</v>
      </c>
      <c r="AH22" s="2636">
        <f>ROUND(AVERAGE(L22:L$32)/100,4)</f>
        <v>1.2999999999999999E-2</v>
      </c>
    </row>
    <row r="23" spans="1:34">
      <c r="A23" s="2618" t="s">
        <v>957</v>
      </c>
      <c r="B23" s="2631">
        <f t="shared" si="113"/>
        <v>360.06949782209392</v>
      </c>
      <c r="C23" s="2631">
        <f t="shared" si="113"/>
        <v>289.84672674747821</v>
      </c>
      <c r="D23" s="2631">
        <f t="shared" si="114"/>
        <v>289.84672674747821</v>
      </c>
      <c r="E23" s="2631">
        <f t="shared" si="115"/>
        <v>501.06543001181495</v>
      </c>
      <c r="F23" s="2631">
        <f t="shared" si="115"/>
        <v>256.82882500744967</v>
      </c>
      <c r="G23" s="3544"/>
      <c r="H23" s="2622">
        <v>2</v>
      </c>
      <c r="I23" s="2622">
        <v>3.85</v>
      </c>
      <c r="J23" s="2622">
        <v>1.95</v>
      </c>
      <c r="K23" s="2622">
        <v>4.4800000000000004</v>
      </c>
      <c r="L23" s="2633">
        <v>1.41</v>
      </c>
      <c r="N23" s="2626">
        <f t="shared" si="116"/>
        <v>3.85E-2</v>
      </c>
      <c r="O23" s="2627">
        <f t="shared" si="112"/>
        <v>1.95E-2</v>
      </c>
      <c r="P23" s="2627">
        <f t="shared" si="112"/>
        <v>4.4800000000000006E-2</v>
      </c>
      <c r="Q23" s="2627">
        <f t="shared" si="112"/>
        <v>1.41E-2</v>
      </c>
      <c r="R23" s="2628"/>
      <c r="S23" s="2626"/>
      <c r="T23" s="2627"/>
      <c r="U23" s="2627"/>
      <c r="V23" s="2627"/>
      <c r="X23" s="2716">
        <f>ROUND(SUMPRODUCT(PRODUCT(1+N23:N$31)),4)</f>
        <v>1.1702999999999999</v>
      </c>
      <c r="Y23" s="2716">
        <f>ROUND(SUMPRODUCT(PRODUCT(1+O23:O$31)),4)</f>
        <v>1.1269</v>
      </c>
      <c r="Z23" s="2716">
        <f t="shared" si="0"/>
        <v>1.1269</v>
      </c>
      <c r="AA23" s="2716">
        <f>ROUND(SUMPRODUCT(PRODUCT(1+P23:P$31)),4)</f>
        <v>1.1858</v>
      </c>
      <c r="AB23" s="2716">
        <f>ROUND(SUMPRODUCT(PRODUCT(1+Q23:Q$31)),4)</f>
        <v>1.1152</v>
      </c>
      <c r="AD23" s="2636">
        <f>ROUND(AVERAGE(I23:I$32)/100,4)</f>
        <v>1.89E-2</v>
      </c>
      <c r="AE23" s="2636">
        <f>ROUND(AVERAGE(J23:J$32)/100,4)</f>
        <v>1.44E-2</v>
      </c>
      <c r="AF23" s="2636">
        <f t="shared" si="1"/>
        <v>1.44E-2</v>
      </c>
      <c r="AG23" s="2636">
        <f>ROUND(AVERAGE(K23:K$32)/100,4)</f>
        <v>2.06E-2</v>
      </c>
      <c r="AH23" s="2636">
        <f>ROUND(AVERAGE(L23:L$32)/100,4)</f>
        <v>1.23E-2</v>
      </c>
    </row>
    <row r="24" spans="1:34" ht="13.5" thickBot="1">
      <c r="A24" s="2618" t="s">
        <v>966</v>
      </c>
      <c r="B24" s="2631">
        <f t="shared" si="113"/>
        <v>346.720748986128</v>
      </c>
      <c r="C24" s="2631">
        <f t="shared" si="113"/>
        <v>284.30282172386285</v>
      </c>
      <c r="D24" s="2631">
        <f t="shared" si="114"/>
        <v>284.30282172386285</v>
      </c>
      <c r="E24" s="2631">
        <f t="shared" si="115"/>
        <v>479.58023546306947</v>
      </c>
      <c r="F24" s="2631">
        <f t="shared" si="115"/>
        <v>253.25788877571213</v>
      </c>
      <c r="G24" s="3545"/>
      <c r="H24" s="2621">
        <v>1</v>
      </c>
      <c r="I24" s="2621">
        <v>4.09</v>
      </c>
      <c r="J24" s="2621">
        <v>2.93</v>
      </c>
      <c r="K24" s="2621">
        <v>4.54</v>
      </c>
      <c r="L24" s="2632">
        <v>1.48</v>
      </c>
      <c r="N24" s="2626">
        <f t="shared" si="116"/>
        <v>4.0899999999999999E-2</v>
      </c>
      <c r="O24" s="2627">
        <f t="shared" si="112"/>
        <v>2.9300000000000003E-2</v>
      </c>
      <c r="P24" s="2627">
        <f t="shared" si="112"/>
        <v>4.5400000000000003E-2</v>
      </c>
      <c r="Q24" s="2627">
        <f t="shared" si="112"/>
        <v>1.4800000000000001E-2</v>
      </c>
      <c r="R24" s="2628"/>
      <c r="S24" s="2634">
        <f>B24/B25-1</f>
        <v>4.1203450408792808E-2</v>
      </c>
      <c r="T24" s="2635">
        <f>C24/C25-1</f>
        <v>2.6363977342465095E-2</v>
      </c>
      <c r="U24" s="2635">
        <f>E24/E25-1</f>
        <v>4.4837114298626357E-2</v>
      </c>
      <c r="V24" s="2635">
        <f>F24/F25-1</f>
        <v>1.7099954922538574E-2</v>
      </c>
      <c r="X24" s="2716">
        <f>ROUND(SUMPRODUCT(PRODUCT(1+N24:N$31)),4)</f>
        <v>1.1269</v>
      </c>
      <c r="Y24" s="2716">
        <f>ROUND(SUMPRODUCT(PRODUCT(1+O24:O$31)),4)</f>
        <v>1.1052999999999999</v>
      </c>
      <c r="Z24" s="2716">
        <f t="shared" si="0"/>
        <v>1.1052999999999999</v>
      </c>
      <c r="AA24" s="2716">
        <f>ROUND(SUMPRODUCT(PRODUCT(1+P24:P$31)),4)</f>
        <v>1.1349</v>
      </c>
      <c r="AB24" s="2716">
        <f>ROUND(SUMPRODUCT(PRODUCT(1+Q24:Q$31)),4)</f>
        <v>1.0996999999999999</v>
      </c>
      <c r="AD24" s="2636">
        <f>ROUND(AVERAGE(I24:I$32)/100,4)</f>
        <v>1.67E-2</v>
      </c>
      <c r="AE24" s="2636">
        <f>ROUND(AVERAGE(J24:J$32)/100,4)</f>
        <v>1.38E-2</v>
      </c>
      <c r="AF24" s="2636">
        <f t="shared" si="1"/>
        <v>1.38E-2</v>
      </c>
      <c r="AG24" s="2636">
        <f>ROUND(AVERAGE(K24:K$32)/100,4)</f>
        <v>1.7899999999999999E-2</v>
      </c>
      <c r="AH24" s="2636">
        <f>ROUND(AVERAGE(L24:L$32)/100,4)</f>
        <v>1.21E-2</v>
      </c>
    </row>
    <row r="25" spans="1:34" ht="13.5" thickBot="1">
      <c r="A25" s="2618" t="s">
        <v>965</v>
      </c>
      <c r="B25" s="2623">
        <v>333</v>
      </c>
      <c r="C25" s="2623">
        <v>277</v>
      </c>
      <c r="D25" s="2623">
        <f t="shared" si="114"/>
        <v>277</v>
      </c>
      <c r="E25" s="2623">
        <v>459</v>
      </c>
      <c r="F25" s="2624">
        <v>249</v>
      </c>
      <c r="G25" s="3543">
        <v>2015</v>
      </c>
      <c r="H25" s="2637">
        <v>4</v>
      </c>
      <c r="I25" s="2637">
        <v>1.63</v>
      </c>
      <c r="J25" s="2637">
        <v>1.1100000000000001</v>
      </c>
      <c r="K25" s="2637">
        <v>1.77</v>
      </c>
      <c r="L25" s="2638">
        <v>1.89</v>
      </c>
      <c r="N25" s="2639">
        <f t="shared" si="116"/>
        <v>1.6299999999999999E-2</v>
      </c>
      <c r="O25" s="2640">
        <f t="shared" si="112"/>
        <v>1.11E-2</v>
      </c>
      <c r="P25" s="2640">
        <f t="shared" si="112"/>
        <v>1.77E-2</v>
      </c>
      <c r="Q25" s="2640">
        <f t="shared" si="112"/>
        <v>1.89E-2</v>
      </c>
      <c r="R25" s="2628"/>
      <c r="X25" s="2716">
        <f>ROUND(SUMPRODUCT(PRODUCT(1+N25:N$31)),4)</f>
        <v>1.0826</v>
      </c>
      <c r="Y25" s="2716">
        <f>ROUND(SUMPRODUCT(PRODUCT(1+O25:O$31)),4)</f>
        <v>1.0738000000000001</v>
      </c>
      <c r="Z25" s="2716">
        <f t="shared" si="0"/>
        <v>1.0738000000000001</v>
      </c>
      <c r="AA25" s="2716">
        <f>ROUND(SUMPRODUCT(PRODUCT(1+P25:P$31)),4)</f>
        <v>1.0855999999999999</v>
      </c>
      <c r="AB25" s="2716">
        <f>ROUND(SUMPRODUCT(PRODUCT(1+Q25:Q$31)),4)</f>
        <v>1.0837000000000001</v>
      </c>
      <c r="AD25" s="2636">
        <f>ROUND(AVERAGE(I25:I$32)/100,4)</f>
        <v>1.37E-2</v>
      </c>
      <c r="AE25" s="2636">
        <f>ROUND(AVERAGE(J25:J$32)/100,4)</f>
        <v>1.1900000000000001E-2</v>
      </c>
      <c r="AF25" s="2636">
        <f t="shared" si="1"/>
        <v>1.1900000000000001E-2</v>
      </c>
      <c r="AG25" s="2636">
        <f>ROUND(AVERAGE(K25:K$32)/100,4)</f>
        <v>1.4500000000000001E-2</v>
      </c>
      <c r="AH25" s="2636">
        <f>ROUND(AVERAGE(L25:L$32)/100,4)</f>
        <v>1.18E-2</v>
      </c>
    </row>
    <row r="26" spans="1:34">
      <c r="A26" s="2618" t="s">
        <v>964</v>
      </c>
      <c r="B26" s="2631">
        <f t="shared" ref="B26:C28" si="117">B25/(1+N25)</f>
        <v>327.65915576109415</v>
      </c>
      <c r="C26" s="2631">
        <f t="shared" si="117"/>
        <v>273.95905449510434</v>
      </c>
      <c r="D26" s="2631">
        <f t="shared" si="114"/>
        <v>273.95905449510434</v>
      </c>
      <c r="E26" s="2631">
        <f t="shared" ref="E26:F28" si="118">E25/(1+P25)</f>
        <v>451.01699911565294</v>
      </c>
      <c r="F26" s="2631">
        <f t="shared" si="118"/>
        <v>244.38119540681129</v>
      </c>
      <c r="G26" s="3544"/>
      <c r="H26" s="2642">
        <v>3</v>
      </c>
      <c r="I26" s="2642">
        <v>1.65</v>
      </c>
      <c r="J26" s="2642">
        <v>0.92</v>
      </c>
      <c r="K26" s="2642">
        <v>1.88</v>
      </c>
      <c r="L26" s="2643">
        <v>1.26</v>
      </c>
      <c r="N26" s="2626">
        <f t="shared" si="116"/>
        <v>1.6500000000000001E-2</v>
      </c>
      <c r="O26" s="2644">
        <f t="shared" si="112"/>
        <v>9.1999999999999998E-3</v>
      </c>
      <c r="P26" s="2644">
        <f t="shared" si="112"/>
        <v>1.8799999999999997E-2</v>
      </c>
      <c r="Q26" s="2644">
        <f t="shared" si="112"/>
        <v>1.26E-2</v>
      </c>
      <c r="R26" s="2628"/>
      <c r="S26" s="2626"/>
      <c r="T26" s="2627"/>
      <c r="U26" s="2627"/>
      <c r="V26" s="2627"/>
      <c r="X26" s="2716">
        <f>ROUND(SUMPRODUCT(PRODUCT(1+N26:N$31)),4)</f>
        <v>1.0651999999999999</v>
      </c>
      <c r="Y26" s="2716">
        <f>ROUND(SUMPRODUCT(PRODUCT(1+O26:O$31)),4)</f>
        <v>1.0621</v>
      </c>
      <c r="Z26" s="2716">
        <f t="shared" si="0"/>
        <v>1.0621</v>
      </c>
      <c r="AA26" s="2716">
        <f>ROUND(SUMPRODUCT(PRODUCT(1+P26:P$31)),4)</f>
        <v>1.0668</v>
      </c>
      <c r="AB26" s="2716">
        <f>ROUND(SUMPRODUCT(PRODUCT(1+Q26:Q$31)),4)</f>
        <v>1.0636000000000001</v>
      </c>
      <c r="AD26" s="2636">
        <f>ROUND(AVERAGE(I26:I$32)/100,4)</f>
        <v>1.3299999999999999E-2</v>
      </c>
      <c r="AE26" s="2636">
        <f>ROUND(AVERAGE(J26:J$32)/100,4)</f>
        <v>1.2E-2</v>
      </c>
      <c r="AF26" s="2636">
        <f t="shared" si="1"/>
        <v>1.2E-2</v>
      </c>
      <c r="AG26" s="2636">
        <f>ROUND(AVERAGE(K26:K$32)/100,4)</f>
        <v>1.4E-2</v>
      </c>
      <c r="AH26" s="2636">
        <f>ROUND(AVERAGE(L26:L$32)/100,4)</f>
        <v>1.0800000000000001E-2</v>
      </c>
    </row>
    <row r="27" spans="1:34">
      <c r="A27" s="2618" t="s">
        <v>963</v>
      </c>
      <c r="B27" s="2631">
        <f t="shared" si="117"/>
        <v>322.34053690220776</v>
      </c>
      <c r="C27" s="2631">
        <f t="shared" si="117"/>
        <v>271.46160770422546</v>
      </c>
      <c r="D27" s="2631">
        <f t="shared" si="114"/>
        <v>271.46160770422546</v>
      </c>
      <c r="E27" s="2631">
        <f t="shared" si="118"/>
        <v>442.69434542172456</v>
      </c>
      <c r="F27" s="2631">
        <f t="shared" si="118"/>
        <v>241.34030753190925</v>
      </c>
      <c r="G27" s="3544"/>
      <c r="H27" s="2622">
        <v>2</v>
      </c>
      <c r="I27" s="2622">
        <v>0.77</v>
      </c>
      <c r="J27" s="2622">
        <v>0.69</v>
      </c>
      <c r="K27" s="2622">
        <v>0.8</v>
      </c>
      <c r="L27" s="2633">
        <v>0.88</v>
      </c>
      <c r="N27" s="2626">
        <f t="shared" si="116"/>
        <v>7.7000000000000002E-3</v>
      </c>
      <c r="O27" s="2644">
        <f t="shared" si="112"/>
        <v>6.8999999999999999E-3</v>
      </c>
      <c r="P27" s="2644">
        <f t="shared" si="112"/>
        <v>8.0000000000000002E-3</v>
      </c>
      <c r="Q27" s="2644">
        <f t="shared" si="112"/>
        <v>8.8000000000000005E-3</v>
      </c>
      <c r="R27" s="2628"/>
      <c r="S27" s="2626"/>
      <c r="T27" s="2627"/>
      <c r="U27" s="2627"/>
      <c r="V27" s="2627"/>
      <c r="X27" s="2716">
        <f>ROUND(SUMPRODUCT(PRODUCT(1+N27:N$31)),4)</f>
        <v>1.048</v>
      </c>
      <c r="Y27" s="2716">
        <f>ROUND(SUMPRODUCT(PRODUCT(1+O27:O$31)),4)</f>
        <v>1.0524</v>
      </c>
      <c r="Z27" s="2716">
        <f t="shared" si="0"/>
        <v>1.0524</v>
      </c>
      <c r="AA27" s="2716">
        <f>ROUND(SUMPRODUCT(PRODUCT(1+P27:P$31)),4)</f>
        <v>1.0470999999999999</v>
      </c>
      <c r="AB27" s="2716">
        <f>ROUND(SUMPRODUCT(PRODUCT(1+Q27:Q$31)),4)</f>
        <v>1.0504</v>
      </c>
      <c r="AD27" s="2636">
        <f>ROUND(AVERAGE(I27:I$32)/100,4)</f>
        <v>1.2800000000000001E-2</v>
      </c>
      <c r="AE27" s="2636">
        <f>ROUND(AVERAGE(J27:J$32)/100,4)</f>
        <v>1.2500000000000001E-2</v>
      </c>
      <c r="AF27" s="2636">
        <f t="shared" si="1"/>
        <v>1.2500000000000001E-2</v>
      </c>
      <c r="AG27" s="2636">
        <f>ROUND(AVERAGE(K27:K$32)/100,4)</f>
        <v>1.32E-2</v>
      </c>
      <c r="AH27" s="2636">
        <f>ROUND(AVERAGE(L27:L$32)/100,4)</f>
        <v>1.0500000000000001E-2</v>
      </c>
    </row>
    <row r="28" spans="1:34">
      <c r="A28" s="2618" t="s">
        <v>962</v>
      </c>
      <c r="B28" s="2631">
        <f t="shared" si="117"/>
        <v>319.87748030386797</v>
      </c>
      <c r="C28" s="2631">
        <f t="shared" si="117"/>
        <v>269.60135833173649</v>
      </c>
      <c r="D28" s="2631">
        <f t="shared" si="114"/>
        <v>269.60135833173649</v>
      </c>
      <c r="E28" s="2631">
        <f t="shared" si="118"/>
        <v>439.18089823583784</v>
      </c>
      <c r="F28" s="2631">
        <f t="shared" si="118"/>
        <v>239.23503918706311</v>
      </c>
      <c r="G28" s="3545"/>
      <c r="H28" s="2621">
        <v>1</v>
      </c>
      <c r="I28" s="2621">
        <v>0.51</v>
      </c>
      <c r="J28" s="2621">
        <v>0.54</v>
      </c>
      <c r="K28" s="2621">
        <v>0.48</v>
      </c>
      <c r="L28" s="2632">
        <v>0.93</v>
      </c>
      <c r="N28" s="2634">
        <f t="shared" si="116"/>
        <v>5.1000000000000004E-3</v>
      </c>
      <c r="O28" s="2635">
        <f t="shared" si="112"/>
        <v>5.4000000000000003E-3</v>
      </c>
      <c r="P28" s="2635">
        <f t="shared" si="112"/>
        <v>4.7999999999999996E-3</v>
      </c>
      <c r="Q28" s="2635">
        <f t="shared" si="112"/>
        <v>9.300000000000001E-3</v>
      </c>
      <c r="R28" s="2628"/>
      <c r="S28" s="2634">
        <f>B28/B29-1</f>
        <v>5.9040261127922822E-3</v>
      </c>
      <c r="T28" s="2635">
        <f>C28/C29-1</f>
        <v>5.9752176557332781E-3</v>
      </c>
      <c r="U28" s="2635">
        <f>E28/E29-1</f>
        <v>4.9906138119859556E-3</v>
      </c>
      <c r="V28" s="2635">
        <f>F28/F29-1</f>
        <v>9.4305450930933787E-3</v>
      </c>
      <c r="X28" s="2716">
        <f>ROUND(SUMPRODUCT(PRODUCT(1+N28:N$31)),4)</f>
        <v>1.0399</v>
      </c>
      <c r="Y28" s="2716">
        <f>ROUND(SUMPRODUCT(PRODUCT(1+O28:O$31)),4)</f>
        <v>1.0451999999999999</v>
      </c>
      <c r="Z28" s="2716">
        <f t="shared" si="0"/>
        <v>1.0451999999999999</v>
      </c>
      <c r="AA28" s="2716">
        <f>ROUND(SUMPRODUCT(PRODUCT(1+P28:P$31)),4)</f>
        <v>1.0387999999999999</v>
      </c>
      <c r="AB28" s="2716">
        <f>ROUND(SUMPRODUCT(PRODUCT(1+Q28:Q$31)),4)</f>
        <v>1.0411999999999999</v>
      </c>
      <c r="AD28" s="2636">
        <f>ROUND(AVERAGE(I28:I$32)/100,4)</f>
        <v>1.38E-2</v>
      </c>
      <c r="AE28" s="2636">
        <f>ROUND(AVERAGE(J28:J$32)/100,4)</f>
        <v>1.3599999999999999E-2</v>
      </c>
      <c r="AF28" s="2636">
        <f t="shared" si="1"/>
        <v>1.3599999999999999E-2</v>
      </c>
      <c r="AG28" s="2636">
        <f>ROUND(AVERAGE(K28:K$32)/100,4)</f>
        <v>1.4200000000000001E-2</v>
      </c>
      <c r="AH28" s="2636">
        <f>ROUND(AVERAGE(L28:L$32)/100,4)</f>
        <v>1.0800000000000001E-2</v>
      </c>
    </row>
    <row r="29" spans="1:34" ht="13.5" thickBot="1">
      <c r="A29" s="2618" t="s">
        <v>961</v>
      </c>
      <c r="B29" s="2645">
        <v>318</v>
      </c>
      <c r="C29" s="2645">
        <v>268</v>
      </c>
      <c r="D29" s="2645">
        <f t="shared" si="114"/>
        <v>268</v>
      </c>
      <c r="E29" s="2645">
        <v>437</v>
      </c>
      <c r="F29" s="2646">
        <v>237</v>
      </c>
      <c r="G29" s="3543">
        <v>2014</v>
      </c>
      <c r="H29" s="2637">
        <v>4</v>
      </c>
      <c r="I29" s="2637">
        <v>0.21</v>
      </c>
      <c r="J29" s="2637">
        <v>0.41</v>
      </c>
      <c r="K29" s="2637">
        <v>0.12</v>
      </c>
      <c r="L29" s="2638">
        <v>0.89</v>
      </c>
      <c r="N29" s="2626">
        <f t="shared" si="116"/>
        <v>2.0999999999999999E-3</v>
      </c>
      <c r="O29" s="2627">
        <f t="shared" si="112"/>
        <v>4.0999999999999995E-3</v>
      </c>
      <c r="P29" s="2627">
        <f t="shared" si="112"/>
        <v>1.1999999999999999E-3</v>
      </c>
      <c r="Q29" s="2627">
        <f t="shared" si="112"/>
        <v>8.8999999999999999E-3</v>
      </c>
      <c r="R29" s="2628"/>
      <c r="S29" s="2629"/>
      <c r="T29" s="2630"/>
      <c r="U29" s="2630"/>
      <c r="V29" s="2630"/>
      <c r="X29" s="2716">
        <f>ROUND(SUMPRODUCT(PRODUCT(1+N29:N$31)),4)</f>
        <v>1.0347</v>
      </c>
      <c r="Y29" s="2716">
        <f>ROUND(SUMPRODUCT(PRODUCT(1+O29:O$31)),4)</f>
        <v>1.0395000000000001</v>
      </c>
      <c r="Z29" s="2716">
        <f t="shared" si="0"/>
        <v>1.0395000000000001</v>
      </c>
      <c r="AA29" s="2716">
        <f>ROUND(SUMPRODUCT(PRODUCT(1+P29:P$31)),4)</f>
        <v>1.0338000000000001</v>
      </c>
      <c r="AB29" s="2716">
        <f>ROUND(SUMPRODUCT(PRODUCT(1+Q29:Q$31)),4)</f>
        <v>1.0316000000000001</v>
      </c>
      <c r="AD29" s="2636">
        <f>ROUND(AVERAGE(I29:I$32)/100,4)</f>
        <v>1.6E-2</v>
      </c>
      <c r="AE29" s="2636">
        <f>ROUND(AVERAGE(J29:J$32)/100,4)</f>
        <v>1.5599999999999999E-2</v>
      </c>
      <c r="AF29" s="2636">
        <f t="shared" si="1"/>
        <v>1.5599999999999999E-2</v>
      </c>
      <c r="AG29" s="2636">
        <f>ROUND(AVERAGE(K29:K$32)/100,4)</f>
        <v>1.66E-2</v>
      </c>
      <c r="AH29" s="2636">
        <f>ROUND(AVERAGE(L29:L$32)/100,4)</f>
        <v>1.12E-2</v>
      </c>
    </row>
    <row r="30" spans="1:34">
      <c r="A30" s="2618" t="s">
        <v>960</v>
      </c>
      <c r="B30" s="2631">
        <f t="shared" ref="B30:C32" si="119">B29/(1+N29)</f>
        <v>317.33359944117353</v>
      </c>
      <c r="C30" s="2631">
        <f t="shared" si="119"/>
        <v>266.90568668459315</v>
      </c>
      <c r="D30" s="2631">
        <f t="shared" si="114"/>
        <v>266.90568668459315</v>
      </c>
      <c r="E30" s="2631">
        <f t="shared" ref="E30:F32" si="120">E29/(1+P29)</f>
        <v>436.47622852576905</v>
      </c>
      <c r="F30" s="2631">
        <f t="shared" si="120"/>
        <v>234.90930716622066</v>
      </c>
      <c r="G30" s="3544"/>
      <c r="H30" s="2647">
        <v>3</v>
      </c>
      <c r="I30" s="2647">
        <v>0.83</v>
      </c>
      <c r="J30" s="2647">
        <v>1.47</v>
      </c>
      <c r="K30" s="2647">
        <v>0.65</v>
      </c>
      <c r="L30" s="2648">
        <v>0.72</v>
      </c>
      <c r="N30" s="2626">
        <f t="shared" si="116"/>
        <v>8.3000000000000001E-3</v>
      </c>
      <c r="O30" s="2627">
        <f t="shared" si="112"/>
        <v>1.47E-2</v>
      </c>
      <c r="P30" s="2627">
        <f t="shared" si="112"/>
        <v>6.5000000000000006E-3</v>
      </c>
      <c r="Q30" s="2627">
        <f t="shared" si="112"/>
        <v>7.1999999999999998E-3</v>
      </c>
      <c r="R30" s="2628"/>
      <c r="S30" s="2626"/>
      <c r="T30" s="2627"/>
      <c r="U30" s="2627"/>
      <c r="V30" s="2627"/>
      <c r="X30" s="2716">
        <f>ROUND(SUMPRODUCT(PRODUCT(1+N30:N$31)),4)</f>
        <v>1.0325</v>
      </c>
      <c r="Y30" s="2716">
        <f>ROUND(SUMPRODUCT(PRODUCT(1+O30:O$31)),4)</f>
        <v>1.0353000000000001</v>
      </c>
      <c r="Z30" s="2716">
        <f t="shared" ref="Z30:Z31" si="121">Y30</f>
        <v>1.0353000000000001</v>
      </c>
      <c r="AA30" s="2716">
        <f>ROUND(SUMPRODUCT(PRODUCT(1+P30:P$31)),4)</f>
        <v>1.0326</v>
      </c>
      <c r="AB30" s="2716">
        <f>ROUND(SUMPRODUCT(PRODUCT(1+Q30:Q$31)),4)</f>
        <v>1.0225</v>
      </c>
      <c r="AD30" s="2636">
        <f>ROUND(AVERAGE(I30:I$32)/100,4)</f>
        <v>2.07E-2</v>
      </c>
      <c r="AE30" s="2636">
        <f>ROUND(AVERAGE(J30:J$32)/100,4)</f>
        <v>1.95E-2</v>
      </c>
      <c r="AF30" s="2636">
        <f t="shared" si="1"/>
        <v>1.95E-2</v>
      </c>
      <c r="AG30" s="2636">
        <f>ROUND(AVERAGE(K30:K$32)/100,4)</f>
        <v>2.1700000000000001E-2</v>
      </c>
      <c r="AH30" s="2636">
        <f>ROUND(AVERAGE(L30:L$32)/100,4)</f>
        <v>1.2E-2</v>
      </c>
    </row>
    <row r="31" spans="1:34" ht="13.5" thickBot="1">
      <c r="A31" s="2618" t="s">
        <v>959</v>
      </c>
      <c r="B31" s="2631">
        <f t="shared" si="119"/>
        <v>314.72141172386546</v>
      </c>
      <c r="C31" s="2631">
        <f t="shared" si="119"/>
        <v>263.03901319069001</v>
      </c>
      <c r="D31" s="2631">
        <f t="shared" si="114"/>
        <v>263.03901319069001</v>
      </c>
      <c r="E31" s="2631">
        <f t="shared" si="120"/>
        <v>433.65745506782821</v>
      </c>
      <c r="F31" s="2631">
        <f t="shared" si="120"/>
        <v>233.23005080045735</v>
      </c>
      <c r="G31" s="3544"/>
      <c r="H31" s="2637">
        <v>2</v>
      </c>
      <c r="I31" s="2637">
        <v>2.4</v>
      </c>
      <c r="J31" s="2637">
        <v>2.0299999999999998</v>
      </c>
      <c r="K31" s="2637">
        <v>2.59</v>
      </c>
      <c r="L31" s="2638">
        <v>1.52</v>
      </c>
      <c r="N31" s="2626">
        <f t="shared" si="116"/>
        <v>2.4E-2</v>
      </c>
      <c r="O31" s="2627">
        <f t="shared" si="112"/>
        <v>2.0299999999999999E-2</v>
      </c>
      <c r="P31" s="2627">
        <f t="shared" si="112"/>
        <v>2.5899999999999999E-2</v>
      </c>
      <c r="Q31" s="2627">
        <f t="shared" si="112"/>
        <v>1.52E-2</v>
      </c>
      <c r="R31" s="2628"/>
      <c r="S31" s="2626"/>
      <c r="T31" s="2627"/>
      <c r="U31" s="2627"/>
      <c r="V31" s="2627"/>
      <c r="X31" s="2716">
        <f>1+N31</f>
        <v>1.024</v>
      </c>
      <c r="Y31" s="2716">
        <f>1+O31</f>
        <v>1.0203</v>
      </c>
      <c r="Z31" s="2716">
        <f t="shared" si="121"/>
        <v>1.0203</v>
      </c>
      <c r="AA31" s="2716">
        <f>1+P31</f>
        <v>1.0259</v>
      </c>
      <c r="AB31" s="2716">
        <f>1+Q31</f>
        <v>1.0152000000000001</v>
      </c>
      <c r="AD31" s="2636">
        <f>ROUND(AVERAGE(I31:I$32)/100,4)</f>
        <v>2.69E-2</v>
      </c>
      <c r="AE31" s="2636">
        <f>ROUND(AVERAGE(J31:J$32)/100,4)</f>
        <v>2.1899999999999999E-2</v>
      </c>
      <c r="AF31" s="2636">
        <f t="shared" ref="AF31" si="122">AE31</f>
        <v>2.1899999999999999E-2</v>
      </c>
      <c r="AG31" s="2636">
        <f>ROUND(AVERAGE(K31:K$32)/100,4)</f>
        <v>2.9399999999999999E-2</v>
      </c>
      <c r="AH31" s="2636">
        <f>ROUND(AVERAGE(L31:L$32)/100,4)</f>
        <v>1.44E-2</v>
      </c>
    </row>
    <row r="32" spans="1:34" s="2653" customFormat="1" ht="13.5" thickBot="1">
      <c r="A32" s="2649" t="s">
        <v>958</v>
      </c>
      <c r="B32" s="2650">
        <f t="shared" si="119"/>
        <v>307.34512863658733</v>
      </c>
      <c r="C32" s="2650">
        <f t="shared" si="119"/>
        <v>257.80556031626975</v>
      </c>
      <c r="D32" s="2650">
        <f t="shared" si="114"/>
        <v>257.80556031626975</v>
      </c>
      <c r="E32" s="2650">
        <f t="shared" si="120"/>
        <v>422.70928459677179</v>
      </c>
      <c r="F32" s="2650">
        <f t="shared" si="120"/>
        <v>229.73803270336617</v>
      </c>
      <c r="G32" s="3545"/>
      <c r="H32" s="2651">
        <v>1</v>
      </c>
      <c r="I32" s="2651">
        <v>2.97</v>
      </c>
      <c r="J32" s="2651">
        <v>2.34</v>
      </c>
      <c r="K32" s="2651">
        <v>3.28</v>
      </c>
      <c r="L32" s="2652">
        <v>1.36</v>
      </c>
      <c r="N32" s="2654">
        <f t="shared" si="116"/>
        <v>2.9700000000000001E-2</v>
      </c>
      <c r="O32" s="2655">
        <f t="shared" si="112"/>
        <v>2.3399999999999997E-2</v>
      </c>
      <c r="P32" s="2655">
        <f t="shared" si="112"/>
        <v>3.2799999999999996E-2</v>
      </c>
      <c r="Q32" s="2655">
        <f t="shared" si="112"/>
        <v>1.3600000000000001E-2</v>
      </c>
      <c r="R32" s="2656"/>
      <c r="S32" s="2657">
        <f>B32/B33-1</f>
        <v>2.7910129219355539E-2</v>
      </c>
      <c r="T32" s="2658">
        <f>C32/C33-1</f>
        <v>2.3037937762975247E-2</v>
      </c>
      <c r="U32" s="2658">
        <f>E32/E33-1</f>
        <v>3.3519033243940788E-2</v>
      </c>
      <c r="V32" s="2658">
        <f>F32/F33-1</f>
        <v>1.2061818076502862E-2</v>
      </c>
      <c r="W32" s="2724" t="s">
        <v>2634</v>
      </c>
      <c r="X32" s="2726">
        <v>1</v>
      </c>
      <c r="Y32" s="2726">
        <v>1</v>
      </c>
      <c r="Z32" s="2726">
        <v>1</v>
      </c>
      <c r="AA32" s="2726">
        <v>1</v>
      </c>
      <c r="AB32" s="2726">
        <v>1</v>
      </c>
      <c r="AD32" s="2958">
        <f>I32/100</f>
        <v>2.9700000000000001E-2</v>
      </c>
      <c r="AE32" s="2958">
        <f>J32/100</f>
        <v>2.3399999999999997E-2</v>
      </c>
      <c r="AF32" s="2958">
        <f>AE32</f>
        <v>2.3399999999999997E-2</v>
      </c>
      <c r="AG32" s="2958">
        <f>K32/100</f>
        <v>3.2799999999999996E-2</v>
      </c>
      <c r="AH32" s="2958">
        <f>L32/100</f>
        <v>1.3600000000000001E-2</v>
      </c>
    </row>
    <row r="33" spans="1:26" ht="13.5" thickBot="1">
      <c r="A33" s="2618" t="s">
        <v>2577</v>
      </c>
      <c r="B33" s="2623">
        <v>299</v>
      </c>
      <c r="C33" s="2623">
        <v>252</v>
      </c>
      <c r="D33" s="2623">
        <f t="shared" si="114"/>
        <v>252</v>
      </c>
      <c r="E33" s="2623">
        <v>409</v>
      </c>
      <c r="F33" s="2624">
        <v>227</v>
      </c>
      <c r="G33" s="3546">
        <v>2013</v>
      </c>
      <c r="H33" s="2659">
        <v>4</v>
      </c>
      <c r="I33" s="2659">
        <v>1.83</v>
      </c>
      <c r="J33" s="2659">
        <v>1.68</v>
      </c>
      <c r="K33" s="2659">
        <v>1.97</v>
      </c>
      <c r="L33" s="2660">
        <v>0.87</v>
      </c>
      <c r="N33" s="2639">
        <f t="shared" si="116"/>
        <v>1.83E-2</v>
      </c>
      <c r="O33" s="2640">
        <f t="shared" si="112"/>
        <v>1.6799999999999999E-2</v>
      </c>
      <c r="P33" s="2640">
        <f t="shared" si="112"/>
        <v>1.9699999999999999E-2</v>
      </c>
      <c r="Q33" s="2640">
        <f t="shared" si="112"/>
        <v>8.6999999999999994E-3</v>
      </c>
      <c r="R33" s="2628"/>
      <c r="S33" s="2629"/>
      <c r="T33" s="2630"/>
      <c r="U33" s="2630"/>
      <c r="V33" s="2630"/>
      <c r="X33" s="2630"/>
      <c r="Y33" s="2630"/>
      <c r="Z33" s="2630"/>
    </row>
    <row r="34" spans="1:26">
      <c r="A34" s="2618" t="s">
        <v>2578</v>
      </c>
      <c r="B34" s="2631">
        <f t="shared" ref="B34:C36" si="123">B33/(1+N33)</f>
        <v>293.62663262299913</v>
      </c>
      <c r="C34" s="2631">
        <f t="shared" si="123"/>
        <v>247.83634933123525</v>
      </c>
      <c r="D34" s="2631">
        <f t="shared" si="114"/>
        <v>247.83634933123525</v>
      </c>
      <c r="E34" s="2631">
        <f t="shared" ref="E34:F36" si="124">E33/(1+P33)</f>
        <v>401.09836226341076</v>
      </c>
      <c r="F34" s="2631">
        <f t="shared" si="124"/>
        <v>225.04213343908003</v>
      </c>
      <c r="G34" s="3547"/>
      <c r="H34" s="2642">
        <v>3</v>
      </c>
      <c r="I34" s="2642">
        <v>1.86</v>
      </c>
      <c r="J34" s="2642">
        <v>1.72</v>
      </c>
      <c r="K34" s="2642">
        <v>1.98</v>
      </c>
      <c r="L34" s="2643">
        <v>0.88</v>
      </c>
      <c r="N34" s="2626">
        <f t="shared" si="116"/>
        <v>1.8600000000000002E-2</v>
      </c>
      <c r="O34" s="2644">
        <f t="shared" si="112"/>
        <v>1.72E-2</v>
      </c>
      <c r="P34" s="2644">
        <f t="shared" si="112"/>
        <v>1.9799999999999998E-2</v>
      </c>
      <c r="Q34" s="2644">
        <f t="shared" si="112"/>
        <v>8.8000000000000005E-3</v>
      </c>
      <c r="R34" s="2628"/>
      <c r="S34" s="2626"/>
      <c r="T34" s="2627"/>
      <c r="U34" s="2627"/>
      <c r="V34" s="2627"/>
    </row>
    <row r="35" spans="1:26">
      <c r="A35" s="2618" t="s">
        <v>2579</v>
      </c>
      <c r="B35" s="2631">
        <f t="shared" si="123"/>
        <v>288.2649053828776</v>
      </c>
      <c r="C35" s="2631">
        <f t="shared" si="123"/>
        <v>243.64564425013293</v>
      </c>
      <c r="D35" s="2631">
        <f t="shared" si="114"/>
        <v>243.64564425013293</v>
      </c>
      <c r="E35" s="2631">
        <f t="shared" si="124"/>
        <v>393.31080825986544</v>
      </c>
      <c r="F35" s="2631">
        <f t="shared" si="124"/>
        <v>223.07903790551154</v>
      </c>
      <c r="G35" s="3547"/>
      <c r="H35" s="2622">
        <v>2</v>
      </c>
      <c r="I35" s="2622">
        <v>2.04</v>
      </c>
      <c r="J35" s="2622">
        <v>2.33</v>
      </c>
      <c r="K35" s="2622">
        <v>2.0699999999999998</v>
      </c>
      <c r="L35" s="2633">
        <v>0.69</v>
      </c>
      <c r="N35" s="2626">
        <f t="shared" si="116"/>
        <v>2.0400000000000001E-2</v>
      </c>
      <c r="O35" s="2644">
        <f t="shared" si="112"/>
        <v>2.3300000000000001E-2</v>
      </c>
      <c r="P35" s="2644">
        <f t="shared" si="112"/>
        <v>2.07E-2</v>
      </c>
      <c r="Q35" s="2644">
        <f t="shared" si="112"/>
        <v>6.8999999999999999E-3</v>
      </c>
      <c r="R35" s="2628"/>
      <c r="S35" s="2626"/>
      <c r="T35" s="2627"/>
      <c r="U35" s="2627"/>
      <c r="V35" s="2627"/>
      <c r="X35" s="2727"/>
      <c r="Y35" s="2729"/>
    </row>
    <row r="36" spans="1:26">
      <c r="A36" s="2618" t="s">
        <v>2580</v>
      </c>
      <c r="B36" s="2631">
        <f t="shared" si="123"/>
        <v>282.50186729015837</v>
      </c>
      <c r="C36" s="2631">
        <f t="shared" si="123"/>
        <v>238.09796174155468</v>
      </c>
      <c r="D36" s="2631">
        <f t="shared" si="114"/>
        <v>238.09796174155468</v>
      </c>
      <c r="E36" s="2631">
        <f t="shared" si="124"/>
        <v>385.33438646014054</v>
      </c>
      <c r="F36" s="2631">
        <f t="shared" si="124"/>
        <v>221.55034055567739</v>
      </c>
      <c r="G36" s="3548"/>
      <c r="H36" s="2621">
        <v>1</v>
      </c>
      <c r="I36" s="2621">
        <v>1.67</v>
      </c>
      <c r="J36" s="2621">
        <v>1.31</v>
      </c>
      <c r="K36" s="2621">
        <v>1.85</v>
      </c>
      <c r="L36" s="2632">
        <v>0.96</v>
      </c>
      <c r="N36" s="2634">
        <f t="shared" si="116"/>
        <v>1.67E-2</v>
      </c>
      <c r="O36" s="2635">
        <f t="shared" si="112"/>
        <v>1.3100000000000001E-2</v>
      </c>
      <c r="P36" s="2635">
        <f t="shared" si="112"/>
        <v>1.8500000000000003E-2</v>
      </c>
      <c r="Q36" s="2635">
        <f t="shared" si="112"/>
        <v>9.5999999999999992E-3</v>
      </c>
      <c r="R36" s="2628"/>
      <c r="S36" s="2634">
        <f>B36/B37-1</f>
        <v>1.6193767230785472E-2</v>
      </c>
      <c r="T36" s="2635">
        <f>C36/C37-1</f>
        <v>1.7512657015190891E-2</v>
      </c>
      <c r="U36" s="2635">
        <f>E36/E37-1</f>
        <v>1.6713420739157048E-2</v>
      </c>
      <c r="V36" s="2635">
        <f>F36/F37-1</f>
        <v>7.0470025258062563E-3</v>
      </c>
      <c r="X36" s="2728"/>
      <c r="Y36" s="2636"/>
      <c r="Z36" s="2636"/>
    </row>
    <row r="37" spans="1:26" ht="13.5" thickBot="1">
      <c r="A37" s="2618" t="s">
        <v>2581</v>
      </c>
      <c r="B37" s="2661">
        <v>278</v>
      </c>
      <c r="C37" s="2661">
        <v>234</v>
      </c>
      <c r="D37" s="2661">
        <f t="shared" si="114"/>
        <v>234</v>
      </c>
      <c r="E37" s="2661">
        <v>379</v>
      </c>
      <c r="F37" s="2662">
        <v>220</v>
      </c>
      <c r="G37" s="3543">
        <v>2012</v>
      </c>
      <c r="H37" s="2637">
        <v>4</v>
      </c>
      <c r="I37" s="2637">
        <v>0.91</v>
      </c>
      <c r="J37" s="2637">
        <v>0.68</v>
      </c>
      <c r="K37" s="2637">
        <v>0.98</v>
      </c>
      <c r="L37" s="2638">
        <v>0.9</v>
      </c>
      <c r="N37" s="2626">
        <f t="shared" si="116"/>
        <v>9.1000000000000004E-3</v>
      </c>
      <c r="O37" s="2627">
        <f t="shared" si="116"/>
        <v>6.8000000000000005E-3</v>
      </c>
      <c r="P37" s="2627">
        <f t="shared" si="116"/>
        <v>9.7999999999999997E-3</v>
      </c>
      <c r="Q37" s="2627">
        <f t="shared" si="116"/>
        <v>9.0000000000000011E-3</v>
      </c>
      <c r="R37" s="2628"/>
      <c r="S37" s="2629"/>
      <c r="T37" s="2630"/>
      <c r="U37" s="2630"/>
      <c r="V37" s="2630"/>
      <c r="X37" s="2630"/>
      <c r="Y37" s="2630"/>
      <c r="Z37" s="2630"/>
    </row>
    <row r="38" spans="1:26">
      <c r="A38" s="2618" t="s">
        <v>2582</v>
      </c>
      <c r="B38" s="2631">
        <f>B37/(1+N37)</f>
        <v>275.49301357645425</v>
      </c>
      <c r="C38" s="2631">
        <f>C37/(1+O37)</f>
        <v>232.41954707985698</v>
      </c>
      <c r="D38" s="2631">
        <f t="shared" si="114"/>
        <v>232.41954707985698</v>
      </c>
      <c r="E38" s="2631">
        <f t="shared" ref="E38:F40" si="125">E37/(1+P37)</f>
        <v>375.32184591008121</v>
      </c>
      <c r="F38" s="2631">
        <f t="shared" si="125"/>
        <v>218.03766105054513</v>
      </c>
      <c r="G38" s="3544"/>
      <c r="H38" s="2642">
        <v>3</v>
      </c>
      <c r="I38" s="2642">
        <v>0.09</v>
      </c>
      <c r="J38" s="2642">
        <v>0.28999999999999998</v>
      </c>
      <c r="K38" s="2642">
        <v>-0.01</v>
      </c>
      <c r="L38" s="2643">
        <v>0.57999999999999996</v>
      </c>
      <c r="N38" s="2626">
        <f t="shared" si="116"/>
        <v>8.9999999999999998E-4</v>
      </c>
      <c r="O38" s="2627">
        <f t="shared" si="116"/>
        <v>2.8999999999999998E-3</v>
      </c>
      <c r="P38" s="2627">
        <f t="shared" si="116"/>
        <v>-1E-4</v>
      </c>
      <c r="Q38" s="2627">
        <f t="shared" si="116"/>
        <v>5.7999999999999996E-3</v>
      </c>
      <c r="R38" s="2628"/>
      <c r="S38" s="2626"/>
      <c r="T38" s="2627"/>
      <c r="U38" s="2627"/>
      <c r="V38" s="2627"/>
    </row>
    <row r="39" spans="1:26">
      <c r="A39" s="2618" t="s">
        <v>2583</v>
      </c>
      <c r="B39" s="2631">
        <f>B38/(1+N38)</f>
        <v>275.24529281292263</v>
      </c>
      <c r="C39" s="2631">
        <f>C38/(1+O38)</f>
        <v>231.74747938962707</v>
      </c>
      <c r="D39" s="2631">
        <f t="shared" si="114"/>
        <v>231.74747938962707</v>
      </c>
      <c r="E39" s="2631">
        <f t="shared" si="125"/>
        <v>375.35938184826603</v>
      </c>
      <c r="F39" s="2631">
        <f t="shared" si="125"/>
        <v>216.78033510692495</v>
      </c>
      <c r="G39" s="3544"/>
      <c r="H39" s="2622">
        <v>2</v>
      </c>
      <c r="I39" s="2622">
        <v>0.02</v>
      </c>
      <c r="J39" s="2622">
        <v>0.12</v>
      </c>
      <c r="K39" s="2622">
        <v>-0.08</v>
      </c>
      <c r="L39" s="2633">
        <v>1.24</v>
      </c>
      <c r="N39" s="2626">
        <f t="shared" si="116"/>
        <v>2.0000000000000001E-4</v>
      </c>
      <c r="O39" s="2627">
        <f t="shared" si="116"/>
        <v>1.1999999999999999E-3</v>
      </c>
      <c r="P39" s="2627">
        <f t="shared" si="116"/>
        <v>-8.0000000000000004E-4</v>
      </c>
      <c r="Q39" s="2627">
        <f t="shared" si="116"/>
        <v>1.24E-2</v>
      </c>
      <c r="R39" s="2628"/>
      <c r="S39" s="2626"/>
      <c r="T39" s="2627"/>
      <c r="U39" s="2627"/>
      <c r="V39" s="2627"/>
    </row>
    <row r="40" spans="1:26" ht="13.5" thickBot="1">
      <c r="A40" s="2618" t="s">
        <v>2584</v>
      </c>
      <c r="B40" s="2631">
        <f>B39/(1+N39)</f>
        <v>275.19025476197027</v>
      </c>
      <c r="C40" s="2663">
        <v>232</v>
      </c>
      <c r="D40" s="2663">
        <f t="shared" si="114"/>
        <v>232</v>
      </c>
      <c r="E40" s="2631">
        <f t="shared" si="125"/>
        <v>375.65990977608692</v>
      </c>
      <c r="F40" s="2631">
        <f t="shared" si="125"/>
        <v>214.12518283971252</v>
      </c>
      <c r="G40" s="3545"/>
      <c r="H40" s="2621">
        <v>1</v>
      </c>
      <c r="I40" s="2621">
        <v>0.02</v>
      </c>
      <c r="J40" s="2621">
        <v>0.13</v>
      </c>
      <c r="K40" s="2621">
        <v>-0.04</v>
      </c>
      <c r="L40" s="2632">
        <v>0.46</v>
      </c>
      <c r="N40" s="2626">
        <f t="shared" si="116"/>
        <v>2.0000000000000001E-4</v>
      </c>
      <c r="O40" s="2627">
        <f t="shared" si="116"/>
        <v>1.2999999999999999E-3</v>
      </c>
      <c r="P40" s="2627">
        <f t="shared" si="116"/>
        <v>-4.0000000000000002E-4</v>
      </c>
      <c r="Q40" s="2627">
        <f t="shared" si="116"/>
        <v>4.5999999999999999E-3</v>
      </c>
      <c r="R40" s="2628"/>
      <c r="S40" s="2634">
        <f>B40/B41-1</f>
        <v>6.9183549807361189E-4</v>
      </c>
      <c r="T40" s="2635">
        <f>C40/C41-1</f>
        <v>0</v>
      </c>
      <c r="U40" s="2635">
        <f>E40/E41-1</f>
        <v>-9.0449527636460303E-4</v>
      </c>
      <c r="V40" s="2635">
        <f>F40/F41-1</f>
        <v>5.2825485432512753E-3</v>
      </c>
      <c r="X40" s="2636"/>
      <c r="Y40" s="2636"/>
      <c r="Z40" s="2636"/>
    </row>
    <row r="41" spans="1:26" ht="13.5" thickBot="1">
      <c r="A41" s="2618" t="s">
        <v>2585</v>
      </c>
      <c r="B41" s="2623">
        <v>275</v>
      </c>
      <c r="C41" s="2623">
        <v>232</v>
      </c>
      <c r="D41" s="2623">
        <f t="shared" si="114"/>
        <v>232</v>
      </c>
      <c r="E41" s="2623">
        <v>376</v>
      </c>
      <c r="F41" s="2624">
        <v>213</v>
      </c>
      <c r="G41" s="3543">
        <v>2011</v>
      </c>
      <c r="H41" s="2637">
        <v>4</v>
      </c>
      <c r="I41" s="2637">
        <v>-0.2</v>
      </c>
      <c r="J41" s="2637">
        <v>0.04</v>
      </c>
      <c r="K41" s="2637">
        <v>-0.34</v>
      </c>
      <c r="L41" s="2638">
        <v>0.46</v>
      </c>
      <c r="N41" s="2639">
        <f t="shared" si="116"/>
        <v>-2E-3</v>
      </c>
      <c r="O41" s="2640">
        <f t="shared" si="116"/>
        <v>4.0000000000000002E-4</v>
      </c>
      <c r="P41" s="2640">
        <f t="shared" si="116"/>
        <v>-3.4000000000000002E-3</v>
      </c>
      <c r="Q41" s="2640">
        <f t="shared" si="116"/>
        <v>4.5999999999999999E-3</v>
      </c>
      <c r="R41" s="2628"/>
      <c r="S41" s="2629"/>
      <c r="T41" s="2630"/>
      <c r="U41" s="2630"/>
      <c r="V41" s="2630"/>
      <c r="X41" s="2630"/>
      <c r="Y41" s="2630"/>
      <c r="Z41" s="2630"/>
    </row>
    <row r="42" spans="1:26">
      <c r="A42" s="2618" t="s">
        <v>2586</v>
      </c>
      <c r="B42" s="2631">
        <f t="shared" ref="B42:C44" si="126">B41/(1+N41)</f>
        <v>275.55110220440883</v>
      </c>
      <c r="C42" s="2631">
        <f t="shared" si="126"/>
        <v>231.90723710515795</v>
      </c>
      <c r="D42" s="2631">
        <f t="shared" si="114"/>
        <v>231.90723710515795</v>
      </c>
      <c r="E42" s="2631">
        <f t="shared" ref="E42:F44" si="127">E41/(1+P41)</f>
        <v>377.28276138872161</v>
      </c>
      <c r="F42" s="2631">
        <f t="shared" si="127"/>
        <v>212.02468644236512</v>
      </c>
      <c r="G42" s="3544">
        <v>2011</v>
      </c>
      <c r="H42" s="2642">
        <v>3</v>
      </c>
      <c r="I42" s="2642">
        <v>0.13</v>
      </c>
      <c r="J42" s="2642">
        <v>0.75</v>
      </c>
      <c r="K42" s="2642">
        <v>-0.08</v>
      </c>
      <c r="L42" s="2643">
        <v>0.53</v>
      </c>
      <c r="N42" s="2626">
        <f t="shared" si="116"/>
        <v>1.2999999999999999E-3</v>
      </c>
      <c r="O42" s="2644">
        <f t="shared" si="116"/>
        <v>7.4999999999999997E-3</v>
      </c>
      <c r="P42" s="2644">
        <f t="shared" si="116"/>
        <v>-8.0000000000000004E-4</v>
      </c>
      <c r="Q42" s="2644">
        <f t="shared" si="116"/>
        <v>5.3E-3</v>
      </c>
      <c r="R42" s="2628"/>
      <c r="S42" s="2626"/>
      <c r="T42" s="2627"/>
      <c r="U42" s="2627"/>
      <c r="V42" s="2627"/>
    </row>
    <row r="43" spans="1:26">
      <c r="A43" s="2618" t="s">
        <v>2587</v>
      </c>
      <c r="B43" s="2631">
        <f t="shared" si="126"/>
        <v>275.19335084830601</v>
      </c>
      <c r="C43" s="2631">
        <f t="shared" si="126"/>
        <v>230.18088050139744</v>
      </c>
      <c r="D43" s="2631">
        <f t="shared" si="114"/>
        <v>230.18088050139744</v>
      </c>
      <c r="E43" s="2631">
        <f t="shared" si="127"/>
        <v>377.58482925212331</v>
      </c>
      <c r="F43" s="2631">
        <f t="shared" si="127"/>
        <v>210.90687997847917</v>
      </c>
      <c r="G43" s="3544">
        <v>2011</v>
      </c>
      <c r="H43" s="2622">
        <v>2</v>
      </c>
      <c r="I43" s="2622">
        <v>-0.4</v>
      </c>
      <c r="J43" s="2622">
        <v>0.17</v>
      </c>
      <c r="K43" s="2622">
        <v>-0.57999999999999996</v>
      </c>
      <c r="L43" s="2633">
        <v>-0.2</v>
      </c>
      <c r="N43" s="2626">
        <f t="shared" si="116"/>
        <v>-4.0000000000000001E-3</v>
      </c>
      <c r="O43" s="2644">
        <f t="shared" si="116"/>
        <v>1.7000000000000001E-3</v>
      </c>
      <c r="P43" s="2644">
        <f t="shared" si="116"/>
        <v>-5.7999999999999996E-3</v>
      </c>
      <c r="Q43" s="2644">
        <f t="shared" si="116"/>
        <v>-2E-3</v>
      </c>
      <c r="R43" s="2628"/>
      <c r="S43" s="2626"/>
      <c r="T43" s="2627"/>
      <c r="U43" s="2627"/>
      <c r="V43" s="2627"/>
    </row>
    <row r="44" spans="1:26" ht="13.5" thickBot="1">
      <c r="A44" s="2618" t="s">
        <v>2588</v>
      </c>
      <c r="B44" s="2631">
        <f t="shared" si="126"/>
        <v>276.29854502841971</v>
      </c>
      <c r="C44" s="2631">
        <f t="shared" si="126"/>
        <v>229.79023709833027</v>
      </c>
      <c r="D44" s="2631">
        <f t="shared" si="114"/>
        <v>229.79023709833027</v>
      </c>
      <c r="E44" s="2631">
        <f t="shared" si="127"/>
        <v>379.78759731655936</v>
      </c>
      <c r="F44" s="2631">
        <f t="shared" si="127"/>
        <v>211.32953905659235</v>
      </c>
      <c r="G44" s="3545">
        <v>2011</v>
      </c>
      <c r="H44" s="2621">
        <v>1</v>
      </c>
      <c r="I44" s="2621">
        <v>2.65</v>
      </c>
      <c r="J44" s="2621">
        <v>3.76</v>
      </c>
      <c r="K44" s="2621">
        <v>1.89</v>
      </c>
      <c r="L44" s="2632">
        <v>7.95</v>
      </c>
      <c r="N44" s="2634">
        <f t="shared" si="116"/>
        <v>2.6499999999999999E-2</v>
      </c>
      <c r="O44" s="2635">
        <f t="shared" si="116"/>
        <v>3.7599999999999995E-2</v>
      </c>
      <c r="P44" s="2635">
        <f t="shared" si="116"/>
        <v>1.89E-2</v>
      </c>
      <c r="Q44" s="2635">
        <f t="shared" si="116"/>
        <v>7.9500000000000001E-2</v>
      </c>
      <c r="R44" s="2628"/>
      <c r="S44" s="2634">
        <f>B44/B45-1</f>
        <v>2.713213765211786E-2</v>
      </c>
      <c r="T44" s="2635">
        <f>C44/C45-1</f>
        <v>3.9774828499231862E-2</v>
      </c>
      <c r="U44" s="2635">
        <f>E44/E45-1</f>
        <v>1.8197311840641772E-2</v>
      </c>
      <c r="V44" s="2635">
        <f>F44/F45-1</f>
        <v>7.8211933962205826E-2</v>
      </c>
      <c r="X44" s="2636"/>
      <c r="Y44" s="2636"/>
      <c r="Z44" s="2636"/>
    </row>
    <row r="45" spans="1:26" ht="13.5" thickBot="1">
      <c r="A45" s="2618" t="s">
        <v>2589</v>
      </c>
      <c r="B45" s="2623">
        <v>269</v>
      </c>
      <c r="C45" s="2623">
        <v>221</v>
      </c>
      <c r="D45" s="2623">
        <f t="shared" si="114"/>
        <v>221</v>
      </c>
      <c r="E45" s="2623">
        <v>373</v>
      </c>
      <c r="F45" s="2624">
        <v>196</v>
      </c>
      <c r="G45" s="3543">
        <v>2010</v>
      </c>
      <c r="H45" s="2637">
        <v>4</v>
      </c>
      <c r="I45" s="2637">
        <v>5.72</v>
      </c>
      <c r="J45" s="2637">
        <v>6.57</v>
      </c>
      <c r="K45" s="2637">
        <v>5.72</v>
      </c>
      <c r="L45" s="2638">
        <v>2.72</v>
      </c>
      <c r="N45" s="2626">
        <f t="shared" si="116"/>
        <v>5.7200000000000001E-2</v>
      </c>
      <c r="O45" s="2627">
        <f t="shared" si="116"/>
        <v>6.5700000000000008E-2</v>
      </c>
      <c r="P45" s="2627">
        <f t="shared" si="116"/>
        <v>5.7200000000000001E-2</v>
      </c>
      <c r="Q45" s="2627">
        <f t="shared" si="116"/>
        <v>2.7200000000000002E-2</v>
      </c>
      <c r="R45" s="2628"/>
      <c r="S45" s="2629"/>
      <c r="T45" s="2630"/>
      <c r="U45" s="2630"/>
      <c r="V45" s="2630"/>
      <c r="X45" s="2630"/>
      <c r="Y45" s="2630"/>
      <c r="Z45" s="2630"/>
    </row>
    <row r="46" spans="1:26">
      <c r="A46" s="2618" t="s">
        <v>2590</v>
      </c>
      <c r="B46" s="2631">
        <f t="shared" ref="B46:C48" si="128">B45/(1+N45)</f>
        <v>254.44570563753314</v>
      </c>
      <c r="C46" s="2631">
        <f t="shared" si="128"/>
        <v>207.37543398705074</v>
      </c>
      <c r="D46" s="2631">
        <f t="shared" si="114"/>
        <v>207.37543398705074</v>
      </c>
      <c r="E46" s="2631">
        <f t="shared" ref="E46:F48" si="129">E45/(1+P45)</f>
        <v>352.81876655315932</v>
      </c>
      <c r="F46" s="2631">
        <f t="shared" si="129"/>
        <v>190.809968847352</v>
      </c>
      <c r="G46" s="3544">
        <v>2010</v>
      </c>
      <c r="H46" s="2642">
        <v>3</v>
      </c>
      <c r="I46" s="2642">
        <v>4.7300000000000004</v>
      </c>
      <c r="J46" s="2642">
        <v>3.9</v>
      </c>
      <c r="K46" s="2642">
        <v>5.03</v>
      </c>
      <c r="L46" s="2643">
        <v>4.21</v>
      </c>
      <c r="N46" s="2626">
        <f t="shared" si="116"/>
        <v>4.7300000000000002E-2</v>
      </c>
      <c r="O46" s="2627">
        <f t="shared" si="116"/>
        <v>3.9E-2</v>
      </c>
      <c r="P46" s="2627">
        <f t="shared" si="116"/>
        <v>5.0300000000000004E-2</v>
      </c>
      <c r="Q46" s="2627">
        <f t="shared" si="116"/>
        <v>4.2099999999999999E-2</v>
      </c>
      <c r="R46" s="2628"/>
      <c r="S46" s="2626"/>
      <c r="T46" s="2627"/>
      <c r="U46" s="2627"/>
      <c r="V46" s="2627"/>
    </row>
    <row r="47" spans="1:26">
      <c r="A47" s="2618" t="s">
        <v>2591</v>
      </c>
      <c r="B47" s="2631">
        <f t="shared" si="128"/>
        <v>242.95398227588385</v>
      </c>
      <c r="C47" s="2631">
        <f t="shared" si="128"/>
        <v>199.59137053614126</v>
      </c>
      <c r="D47" s="2631">
        <f t="shared" si="114"/>
        <v>199.59137053614126</v>
      </c>
      <c r="E47" s="2631">
        <f t="shared" si="129"/>
        <v>335.92189522342125</v>
      </c>
      <c r="F47" s="2631">
        <f t="shared" si="129"/>
        <v>183.10139991109489</v>
      </c>
      <c r="G47" s="3544">
        <v>2010</v>
      </c>
      <c r="H47" s="2622">
        <v>2</v>
      </c>
      <c r="I47" s="2622">
        <v>4.6900000000000004</v>
      </c>
      <c r="J47" s="2622">
        <v>3.55</v>
      </c>
      <c r="K47" s="2622">
        <v>5.07</v>
      </c>
      <c r="L47" s="2633">
        <v>4.2300000000000004</v>
      </c>
      <c r="N47" s="2626">
        <f t="shared" si="116"/>
        <v>4.6900000000000004E-2</v>
      </c>
      <c r="O47" s="2627">
        <f t="shared" si="116"/>
        <v>3.5499999999999997E-2</v>
      </c>
      <c r="P47" s="2627">
        <f t="shared" si="116"/>
        <v>5.0700000000000002E-2</v>
      </c>
      <c r="Q47" s="2627">
        <f t="shared" si="116"/>
        <v>4.2300000000000004E-2</v>
      </c>
      <c r="R47" s="2628"/>
      <c r="S47" s="2626"/>
      <c r="T47" s="2627"/>
      <c r="U47" s="2627"/>
      <c r="V47" s="2627"/>
    </row>
    <row r="48" spans="1:26" ht="13.5" thickBot="1">
      <c r="A48" s="2618" t="s">
        <v>2592</v>
      </c>
      <c r="B48" s="2631">
        <f t="shared" si="128"/>
        <v>232.06990378821649</v>
      </c>
      <c r="C48" s="2631">
        <f t="shared" si="128"/>
        <v>192.74878854286936</v>
      </c>
      <c r="D48" s="2631">
        <f t="shared" si="114"/>
        <v>192.74878854286936</v>
      </c>
      <c r="E48" s="2631">
        <f t="shared" si="129"/>
        <v>319.71247284992984</v>
      </c>
      <c r="F48" s="2631">
        <f t="shared" si="129"/>
        <v>175.67053622862409</v>
      </c>
      <c r="G48" s="3545">
        <v>2010</v>
      </c>
      <c r="H48" s="2621">
        <v>1</v>
      </c>
      <c r="I48" s="2621">
        <v>5.4</v>
      </c>
      <c r="J48" s="2621">
        <v>3.2</v>
      </c>
      <c r="K48" s="2621">
        <v>6.16</v>
      </c>
      <c r="L48" s="2632">
        <v>4.51</v>
      </c>
      <c r="N48" s="2626">
        <f t="shared" si="116"/>
        <v>5.4000000000000006E-2</v>
      </c>
      <c r="O48" s="2627">
        <f t="shared" si="116"/>
        <v>3.2000000000000001E-2</v>
      </c>
      <c r="P48" s="2627">
        <f t="shared" si="116"/>
        <v>6.1600000000000002E-2</v>
      </c>
      <c r="Q48" s="2627">
        <f t="shared" si="116"/>
        <v>4.5100000000000001E-2</v>
      </c>
      <c r="R48" s="2628"/>
      <c r="S48" s="2634">
        <f>B48/B49-1</f>
        <v>5.4863199037347599E-2</v>
      </c>
      <c r="T48" s="2635">
        <f>C48/C49-1</f>
        <v>3.0742184721226584E-2</v>
      </c>
      <c r="U48" s="2635">
        <f>E48/E49-1</f>
        <v>6.2167683886810154E-2</v>
      </c>
      <c r="V48" s="2635">
        <f>F48/F49-1</f>
        <v>4.5657953741810031E-2</v>
      </c>
      <c r="X48" s="2636"/>
      <c r="Y48" s="2636"/>
      <c r="Z48" s="2636"/>
    </row>
    <row r="49" spans="1:26" ht="13.5" thickBot="1">
      <c r="A49" s="2618" t="s">
        <v>2593</v>
      </c>
      <c r="B49" s="2623">
        <v>220</v>
      </c>
      <c r="C49" s="2623">
        <v>187</v>
      </c>
      <c r="D49" s="2623">
        <f t="shared" si="114"/>
        <v>187</v>
      </c>
      <c r="E49" s="2623">
        <v>301</v>
      </c>
      <c r="F49" s="2624">
        <v>168</v>
      </c>
      <c r="G49" s="3543">
        <v>2009</v>
      </c>
      <c r="H49" s="2637">
        <v>4</v>
      </c>
      <c r="I49" s="2637">
        <v>2.2999999999999998</v>
      </c>
      <c r="J49" s="2637">
        <v>1.04</v>
      </c>
      <c r="K49" s="2637">
        <v>2.84</v>
      </c>
      <c r="L49" s="2638">
        <v>0.67</v>
      </c>
      <c r="N49" s="2639">
        <f t="shared" si="116"/>
        <v>2.3E-2</v>
      </c>
      <c r="O49" s="2640">
        <f t="shared" si="116"/>
        <v>1.04E-2</v>
      </c>
      <c r="P49" s="2640">
        <f t="shared" si="116"/>
        <v>2.8399999999999998E-2</v>
      </c>
      <c r="Q49" s="2640">
        <f t="shared" si="116"/>
        <v>6.7000000000000002E-3</v>
      </c>
      <c r="R49" s="2628"/>
      <c r="S49" s="2629"/>
      <c r="T49" s="2630"/>
      <c r="U49" s="2630"/>
      <c r="V49" s="2630"/>
      <c r="X49" s="2630"/>
      <c r="Y49" s="2630"/>
      <c r="Z49" s="2630"/>
    </row>
    <row r="50" spans="1:26">
      <c r="A50" s="2618" t="s">
        <v>2594</v>
      </c>
      <c r="B50" s="2631">
        <f t="shared" ref="B50:C52" si="130">B49/(1+N49)</f>
        <v>215.05376344086022</v>
      </c>
      <c r="C50" s="2631">
        <f t="shared" si="130"/>
        <v>185.0752177355503</v>
      </c>
      <c r="D50" s="2631">
        <f t="shared" si="114"/>
        <v>185.0752177355503</v>
      </c>
      <c r="E50" s="2631">
        <f t="shared" ref="E50:F52" si="131">E49/(1+P49)</f>
        <v>292.68767016725008</v>
      </c>
      <c r="F50" s="2631">
        <f t="shared" si="131"/>
        <v>166.88189132810174</v>
      </c>
      <c r="G50" s="3544">
        <v>2009</v>
      </c>
      <c r="H50" s="2642">
        <v>3</v>
      </c>
      <c r="I50" s="2642">
        <v>2.1</v>
      </c>
      <c r="J50" s="2642">
        <v>1.86</v>
      </c>
      <c r="K50" s="2642">
        <v>2.29</v>
      </c>
      <c r="L50" s="2643">
        <v>0.85</v>
      </c>
      <c r="N50" s="2626">
        <f t="shared" si="116"/>
        <v>2.1000000000000001E-2</v>
      </c>
      <c r="O50" s="2644">
        <f t="shared" si="116"/>
        <v>1.8600000000000002E-2</v>
      </c>
      <c r="P50" s="2644">
        <f t="shared" si="116"/>
        <v>2.29E-2</v>
      </c>
      <c r="Q50" s="2644">
        <f t="shared" si="116"/>
        <v>8.5000000000000006E-3</v>
      </c>
      <c r="R50" s="2628"/>
      <c r="S50" s="2626"/>
      <c r="T50" s="2627"/>
      <c r="U50" s="2627"/>
      <c r="V50" s="2627"/>
    </row>
    <row r="51" spans="1:26">
      <c r="A51" s="2618" t="s">
        <v>2595</v>
      </c>
      <c r="B51" s="2631">
        <f t="shared" si="130"/>
        <v>210.630522469011</v>
      </c>
      <c r="C51" s="2631">
        <f t="shared" si="130"/>
        <v>181.69567812247232</v>
      </c>
      <c r="D51" s="2631">
        <f t="shared" si="114"/>
        <v>181.69567812247232</v>
      </c>
      <c r="E51" s="2631">
        <f t="shared" si="131"/>
        <v>286.13517466736738</v>
      </c>
      <c r="F51" s="2631">
        <f t="shared" si="131"/>
        <v>165.47535084591149</v>
      </c>
      <c r="G51" s="3544">
        <v>2009</v>
      </c>
      <c r="H51" s="2622">
        <v>2</v>
      </c>
      <c r="I51" s="2622">
        <v>0.86</v>
      </c>
      <c r="J51" s="2622">
        <v>-1.1299999999999999</v>
      </c>
      <c r="K51" s="2622">
        <v>1.79</v>
      </c>
      <c r="L51" s="2633">
        <v>-2.0699999999999998</v>
      </c>
      <c r="N51" s="2626">
        <f t="shared" si="116"/>
        <v>8.6E-3</v>
      </c>
      <c r="O51" s="2644">
        <f t="shared" si="116"/>
        <v>-1.1299999999999999E-2</v>
      </c>
      <c r="P51" s="2644">
        <f t="shared" si="116"/>
        <v>1.7899999999999999E-2</v>
      </c>
      <c r="Q51" s="2644">
        <f t="shared" si="116"/>
        <v>-2.07E-2</v>
      </c>
      <c r="R51" s="2628"/>
      <c r="S51" s="2626"/>
      <c r="T51" s="2627"/>
      <c r="U51" s="2627"/>
      <c r="V51" s="2627"/>
    </row>
    <row r="52" spans="1:26">
      <c r="A52" s="2618" t="s">
        <v>2596</v>
      </c>
      <c r="B52" s="2631">
        <f t="shared" si="130"/>
        <v>208.83454537875372</v>
      </c>
      <c r="C52" s="2631">
        <f t="shared" si="130"/>
        <v>183.77230517090351</v>
      </c>
      <c r="D52" s="2631">
        <f t="shared" si="114"/>
        <v>183.77230517090351</v>
      </c>
      <c r="E52" s="2631">
        <f t="shared" si="131"/>
        <v>281.10342338870947</v>
      </c>
      <c r="F52" s="2631">
        <f t="shared" si="131"/>
        <v>168.97309388942256</v>
      </c>
      <c r="G52" s="3545">
        <v>2009</v>
      </c>
      <c r="H52" s="2621">
        <v>1</v>
      </c>
      <c r="I52" s="2621">
        <v>-2.64</v>
      </c>
      <c r="J52" s="2621">
        <v>-2.5299999999999998</v>
      </c>
      <c r="K52" s="2621">
        <v>-3.02</v>
      </c>
      <c r="L52" s="2632">
        <v>1.52</v>
      </c>
      <c r="N52" s="2634">
        <f t="shared" si="116"/>
        <v>-2.64E-2</v>
      </c>
      <c r="O52" s="2635">
        <f t="shared" si="116"/>
        <v>-2.53E-2</v>
      </c>
      <c r="P52" s="2635">
        <f t="shared" si="116"/>
        <v>-3.0200000000000001E-2</v>
      </c>
      <c r="Q52" s="2635">
        <f t="shared" si="116"/>
        <v>1.52E-2</v>
      </c>
      <c r="R52" s="2628"/>
      <c r="S52" s="2634">
        <f>B52/B53-1</f>
        <v>-2.4137638417038754E-2</v>
      </c>
      <c r="T52" s="2635">
        <f>C52/C53-1</f>
        <v>-2.248773845264096E-2</v>
      </c>
      <c r="U52" s="2635">
        <f>E52/E53-1</f>
        <v>-2.7323794502735366E-2</v>
      </c>
      <c r="V52" s="2635">
        <f>F52/F53-1</f>
        <v>1.7910204153148035E-2</v>
      </c>
      <c r="X52" s="2636"/>
      <c r="Y52" s="2636"/>
      <c r="Z52" s="2636"/>
    </row>
    <row r="53" spans="1:26" ht="13.5" thickBot="1">
      <c r="A53" s="2618" t="s">
        <v>2597</v>
      </c>
      <c r="B53" s="2661">
        <v>214</v>
      </c>
      <c r="C53" s="2661">
        <v>188</v>
      </c>
      <c r="D53" s="2661">
        <f t="shared" si="114"/>
        <v>188</v>
      </c>
      <c r="E53" s="2661">
        <v>289</v>
      </c>
      <c r="F53" s="2662">
        <v>166</v>
      </c>
      <c r="G53" s="3543">
        <v>2008</v>
      </c>
      <c r="H53" s="2637">
        <v>4</v>
      </c>
      <c r="I53" s="2637">
        <v>1.73</v>
      </c>
      <c r="J53" s="2637">
        <v>0.03</v>
      </c>
      <c r="K53" s="2637">
        <v>2.59</v>
      </c>
      <c r="L53" s="2638">
        <v>-1.66</v>
      </c>
      <c r="N53" s="2626">
        <f t="shared" si="116"/>
        <v>1.7299999999999999E-2</v>
      </c>
      <c r="O53" s="2627">
        <f t="shared" si="116"/>
        <v>2.9999999999999997E-4</v>
      </c>
      <c r="P53" s="2627">
        <f t="shared" si="116"/>
        <v>2.5899999999999999E-2</v>
      </c>
      <c r="Q53" s="2627">
        <f t="shared" si="116"/>
        <v>-1.66E-2</v>
      </c>
      <c r="R53" s="2628"/>
      <c r="S53" s="2629"/>
      <c r="T53" s="2630"/>
      <c r="U53" s="2630"/>
      <c r="V53" s="2630"/>
      <c r="X53" s="2630"/>
      <c r="Y53" s="2630"/>
      <c r="Z53" s="2630"/>
    </row>
    <row r="54" spans="1:26">
      <c r="A54" s="2618" t="s">
        <v>2598</v>
      </c>
      <c r="B54" s="2631">
        <f t="shared" ref="B54:C56" si="132">B53/(1+N53)</f>
        <v>210.36075887152265</v>
      </c>
      <c r="C54" s="2631">
        <f t="shared" si="132"/>
        <v>187.94361691492554</v>
      </c>
      <c r="D54" s="2631">
        <f t="shared" si="114"/>
        <v>187.94361691492554</v>
      </c>
      <c r="E54" s="2631">
        <f t="shared" ref="E54:F56" si="133">E53/(1+P53)</f>
        <v>281.70386977288234</v>
      </c>
      <c r="F54" s="2631">
        <f t="shared" si="133"/>
        <v>168.80211511083994</v>
      </c>
      <c r="G54" s="3544">
        <v>2008</v>
      </c>
      <c r="H54" s="2642">
        <v>3</v>
      </c>
      <c r="I54" s="2642">
        <v>1.96</v>
      </c>
      <c r="J54" s="2642">
        <v>2.36</v>
      </c>
      <c r="K54" s="2642">
        <v>1.82</v>
      </c>
      <c r="L54" s="2643">
        <v>2.2200000000000002</v>
      </c>
      <c r="N54" s="2626">
        <f t="shared" si="116"/>
        <v>1.9599999999999999E-2</v>
      </c>
      <c r="O54" s="2627">
        <f t="shared" si="116"/>
        <v>2.3599999999999999E-2</v>
      </c>
      <c r="P54" s="2627">
        <f t="shared" si="116"/>
        <v>1.8200000000000001E-2</v>
      </c>
      <c r="Q54" s="2627">
        <f t="shared" si="116"/>
        <v>2.2200000000000001E-2</v>
      </c>
      <c r="R54" s="2628"/>
      <c r="S54" s="2626"/>
      <c r="T54" s="2627"/>
      <c r="U54" s="2627"/>
      <c r="V54" s="2627"/>
    </row>
    <row r="55" spans="1:26">
      <c r="A55" s="2618" t="s">
        <v>2599</v>
      </c>
      <c r="B55" s="2631">
        <f t="shared" si="132"/>
        <v>206.31694671589116</v>
      </c>
      <c r="C55" s="2631">
        <f t="shared" si="132"/>
        <v>183.61041121036101</v>
      </c>
      <c r="D55" s="2631">
        <f t="shared" si="114"/>
        <v>183.61041121036101</v>
      </c>
      <c r="E55" s="2631">
        <f t="shared" si="133"/>
        <v>276.66850301795557</v>
      </c>
      <c r="F55" s="2631">
        <f t="shared" si="133"/>
        <v>165.1360938278614</v>
      </c>
      <c r="G55" s="3544">
        <v>2008</v>
      </c>
      <c r="H55" s="2622">
        <v>2</v>
      </c>
      <c r="I55" s="2622">
        <v>4.93</v>
      </c>
      <c r="J55" s="2622">
        <v>7.38</v>
      </c>
      <c r="K55" s="2622">
        <v>3.98</v>
      </c>
      <c r="L55" s="2633">
        <v>6.86</v>
      </c>
      <c r="N55" s="2626">
        <f t="shared" si="116"/>
        <v>4.9299999999999997E-2</v>
      </c>
      <c r="O55" s="2627">
        <f t="shared" si="116"/>
        <v>7.3800000000000004E-2</v>
      </c>
      <c r="P55" s="2627">
        <f t="shared" si="116"/>
        <v>3.9800000000000002E-2</v>
      </c>
      <c r="Q55" s="2627">
        <f t="shared" si="116"/>
        <v>6.8600000000000008E-2</v>
      </c>
      <c r="R55" s="2628"/>
      <c r="S55" s="2626"/>
      <c r="T55" s="2627"/>
      <c r="U55" s="2627"/>
      <c r="V55" s="2627"/>
    </row>
    <row r="56" spans="1:26" s="2667" customFormat="1" ht="13.5" thickBot="1">
      <c r="A56" s="2618" t="s">
        <v>2600</v>
      </c>
      <c r="B56" s="2664">
        <f t="shared" si="132"/>
        <v>196.62341248059772</v>
      </c>
      <c r="C56" s="2664">
        <f t="shared" si="132"/>
        <v>170.99125648199012</v>
      </c>
      <c r="D56" s="2664">
        <f t="shared" si="114"/>
        <v>170.99125648199012</v>
      </c>
      <c r="E56" s="2664">
        <f t="shared" si="133"/>
        <v>266.07857570490052</v>
      </c>
      <c r="F56" s="2664">
        <f t="shared" si="133"/>
        <v>154.53499328828505</v>
      </c>
      <c r="G56" s="3545">
        <v>2008</v>
      </c>
      <c r="H56" s="2665">
        <v>1</v>
      </c>
      <c r="I56" s="2665">
        <v>4.1399999999999997</v>
      </c>
      <c r="J56" s="2665">
        <v>3.45</v>
      </c>
      <c r="K56" s="2665">
        <v>4.95</v>
      </c>
      <c r="L56" s="2666">
        <v>4.82</v>
      </c>
      <c r="N56" s="2668">
        <f t="shared" si="116"/>
        <v>4.1399999999999999E-2</v>
      </c>
      <c r="O56" s="2669">
        <f t="shared" si="116"/>
        <v>3.4500000000000003E-2</v>
      </c>
      <c r="P56" s="2669">
        <f t="shared" si="116"/>
        <v>4.9500000000000002E-2</v>
      </c>
      <c r="Q56" s="2669">
        <f t="shared" si="116"/>
        <v>4.82E-2</v>
      </c>
      <c r="R56" s="2670"/>
      <c r="S56" s="2668">
        <f>B56/B57-1</f>
        <v>4.5869215322328349E-2</v>
      </c>
      <c r="T56" s="2669">
        <f>C56/C57-1</f>
        <v>3.6310645345394743E-2</v>
      </c>
      <c r="U56" s="2669">
        <f>E56/E57-1</f>
        <v>4.7553447657088688E-2</v>
      </c>
      <c r="V56" s="2669">
        <f>F56/F57-1</f>
        <v>4.4155360055980086E-2</v>
      </c>
      <c r="X56" s="2671"/>
      <c r="Y56" s="2671"/>
      <c r="Z56" s="2671"/>
    </row>
    <row r="57" spans="1:26" ht="13.5" thickBot="1">
      <c r="A57" s="2618" t="s">
        <v>2601</v>
      </c>
      <c r="B57" s="2623">
        <v>188</v>
      </c>
      <c r="C57" s="2623">
        <v>165</v>
      </c>
      <c r="D57" s="2623">
        <f t="shared" si="114"/>
        <v>165</v>
      </c>
      <c r="E57" s="2623">
        <v>254</v>
      </c>
      <c r="F57" s="2624">
        <v>148</v>
      </c>
      <c r="G57" s="3543">
        <v>2007</v>
      </c>
      <c r="H57" s="2672">
        <v>4</v>
      </c>
      <c r="I57" s="2672">
        <v>5.51</v>
      </c>
      <c r="J57" s="2672">
        <v>4.8899999999999997</v>
      </c>
      <c r="K57" s="2672">
        <v>6.43</v>
      </c>
      <c r="L57" s="2673">
        <v>5.36</v>
      </c>
      <c r="N57" s="2674">
        <f t="shared" ref="N57:O60" si="134">B57/B58-1</f>
        <v>4.1339718365245526E-2</v>
      </c>
      <c r="O57" s="2675">
        <f t="shared" si="134"/>
        <v>4.0324492593776018E-2</v>
      </c>
      <c r="P57" s="2675">
        <f t="shared" ref="P57:Q60" si="135">E57/E58-1</f>
        <v>6.1625555347990968E-2</v>
      </c>
      <c r="Q57" s="2675">
        <f t="shared" si="135"/>
        <v>4.6757569250590603E-2</v>
      </c>
      <c r="R57" s="2628"/>
      <c r="S57" s="2629"/>
      <c r="T57" s="2630"/>
      <c r="U57" s="2630"/>
      <c r="V57" s="2630"/>
      <c r="X57" s="2630"/>
      <c r="Y57" s="2630"/>
      <c r="Z57" s="2630"/>
    </row>
    <row r="58" spans="1:26">
      <c r="A58" s="2618" t="s">
        <v>2602</v>
      </c>
      <c r="B58" s="2631">
        <f t="shared" ref="B58:C60" si="136">B59+(B$57-B$61)*I58/SUM(I$57:I$60)</f>
        <v>180.5366651097618</v>
      </c>
      <c r="C58" s="2631">
        <f t="shared" si="136"/>
        <v>158.60435967302453</v>
      </c>
      <c r="D58" s="2631">
        <f t="shared" si="114"/>
        <v>158.60435967302453</v>
      </c>
      <c r="E58" s="2631">
        <f t="shared" ref="E58:F60" si="137">E59+(E$57-E$61)*K58/SUM(K$57:K$60)</f>
        <v>239.25573260785075</v>
      </c>
      <c r="F58" s="2631">
        <f t="shared" si="137"/>
        <v>141.38899430740037</v>
      </c>
      <c r="G58" s="3544">
        <v>2007</v>
      </c>
      <c r="H58" s="2642">
        <v>3</v>
      </c>
      <c r="I58" s="2642">
        <v>8.65</v>
      </c>
      <c r="J58" s="2642">
        <v>8.06</v>
      </c>
      <c r="K58" s="2642">
        <v>9.94</v>
      </c>
      <c r="L58" s="2643">
        <v>5.8</v>
      </c>
      <c r="N58" s="2674">
        <f t="shared" si="134"/>
        <v>6.940217571740015E-2</v>
      </c>
      <c r="O58" s="2675">
        <f t="shared" si="134"/>
        <v>7.1197482471153428E-2</v>
      </c>
      <c r="P58" s="2675">
        <f t="shared" si="135"/>
        <v>0.10529679922579582</v>
      </c>
      <c r="Q58" s="2675">
        <f t="shared" si="135"/>
        <v>5.3292245059512133E-2</v>
      </c>
      <c r="R58" s="2628"/>
      <c r="S58" s="2626"/>
      <c r="T58" s="2627"/>
      <c r="U58" s="2627"/>
      <c r="V58" s="2627"/>
      <c r="X58" s="2676"/>
      <c r="Y58" s="2676"/>
      <c r="Z58" s="2676"/>
    </row>
    <row r="59" spans="1:26">
      <c r="A59" s="2618" t="s">
        <v>2603</v>
      </c>
      <c r="B59" s="2631">
        <f t="shared" si="136"/>
        <v>168.82017748715555</v>
      </c>
      <c r="C59" s="2631">
        <f t="shared" si="136"/>
        <v>148.06267029972753</v>
      </c>
      <c r="D59" s="2631">
        <f t="shared" si="114"/>
        <v>148.06267029972753</v>
      </c>
      <c r="E59" s="2631">
        <f t="shared" si="137"/>
        <v>216.46288379323747</v>
      </c>
      <c r="F59" s="2631">
        <f t="shared" si="137"/>
        <v>134.23529411764704</v>
      </c>
      <c r="G59" s="3544">
        <v>2007</v>
      </c>
      <c r="H59" s="2622">
        <v>2</v>
      </c>
      <c r="I59" s="2622">
        <v>3.67</v>
      </c>
      <c r="J59" s="2622">
        <v>2.3199999999999998</v>
      </c>
      <c r="K59" s="2622">
        <v>5.0199999999999996</v>
      </c>
      <c r="L59" s="2633">
        <v>6.71</v>
      </c>
      <c r="N59" s="2674">
        <f t="shared" si="134"/>
        <v>3.0339138143848032E-2</v>
      </c>
      <c r="O59" s="2675">
        <f t="shared" si="134"/>
        <v>2.0922341588790472E-2</v>
      </c>
      <c r="P59" s="2675">
        <f t="shared" si="135"/>
        <v>5.6164796592717003E-2</v>
      </c>
      <c r="Q59" s="2675">
        <f t="shared" si="135"/>
        <v>6.5704536723887319E-2</v>
      </c>
      <c r="R59" s="2628"/>
      <c r="S59" s="2626"/>
      <c r="T59" s="2627"/>
      <c r="U59" s="2627"/>
      <c r="V59" s="2627"/>
      <c r="X59" s="2676"/>
      <c r="Y59" s="2676"/>
      <c r="Z59" s="2676"/>
    </row>
    <row r="60" spans="1:26">
      <c r="A60" s="2618" t="s">
        <v>2604</v>
      </c>
      <c r="B60" s="2631">
        <f t="shared" si="136"/>
        <v>163.84913591779542</v>
      </c>
      <c r="C60" s="2631">
        <f t="shared" si="136"/>
        <v>145.0283378746594</v>
      </c>
      <c r="D60" s="2631">
        <f t="shared" si="114"/>
        <v>145.0283378746594</v>
      </c>
      <c r="E60" s="2631">
        <f t="shared" si="137"/>
        <v>204.95180722891567</v>
      </c>
      <c r="F60" s="2631">
        <f t="shared" si="137"/>
        <v>125.95920303605313</v>
      </c>
      <c r="G60" s="3545">
        <v>2007</v>
      </c>
      <c r="H60" s="2621">
        <v>1</v>
      </c>
      <c r="I60" s="2621">
        <v>3.58</v>
      </c>
      <c r="J60" s="2621">
        <v>3.08</v>
      </c>
      <c r="K60" s="2621">
        <v>4.34</v>
      </c>
      <c r="L60" s="2632">
        <v>3.21</v>
      </c>
      <c r="N60" s="2677">
        <f t="shared" si="134"/>
        <v>3.0497710174814063E-2</v>
      </c>
      <c r="O60" s="2678">
        <f t="shared" si="134"/>
        <v>2.8569772160704998E-2</v>
      </c>
      <c r="P60" s="2678">
        <f t="shared" si="135"/>
        <v>5.1034908866234296E-2</v>
      </c>
      <c r="Q60" s="2678">
        <f t="shared" si="135"/>
        <v>3.245248390207478E-2</v>
      </c>
      <c r="R60" s="2628"/>
      <c r="S60" s="2634">
        <f>B60/B61-1</f>
        <v>3.0497710174814063E-2</v>
      </c>
      <c r="T60" s="2635">
        <f>C60/C61-1</f>
        <v>2.8569772160704998E-2</v>
      </c>
      <c r="U60" s="2635">
        <f>E60/E61-1</f>
        <v>5.1034908866234296E-2</v>
      </c>
      <c r="V60" s="2635">
        <f>F60/F61-1</f>
        <v>3.245248390207478E-2</v>
      </c>
      <c r="X60" s="2676"/>
      <c r="Y60" s="2676"/>
      <c r="Z60" s="2676"/>
    </row>
    <row r="61" spans="1:26" ht="13.5" thickBot="1">
      <c r="A61" s="2618" t="s">
        <v>2605</v>
      </c>
      <c r="B61" s="2645">
        <v>159</v>
      </c>
      <c r="C61" s="2645">
        <v>141</v>
      </c>
      <c r="D61" s="2645">
        <f t="shared" si="114"/>
        <v>141</v>
      </c>
      <c r="E61" s="2645">
        <v>195</v>
      </c>
      <c r="F61" s="2646">
        <v>122</v>
      </c>
      <c r="G61" s="3543">
        <v>2006</v>
      </c>
      <c r="H61" s="2637">
        <v>4</v>
      </c>
      <c r="I61" s="2637">
        <v>3.79</v>
      </c>
      <c r="J61" s="2637">
        <v>2.21</v>
      </c>
      <c r="K61" s="2637">
        <v>5.65</v>
      </c>
      <c r="L61" s="2638">
        <v>5.41</v>
      </c>
      <c r="N61" s="2674">
        <f t="shared" ref="N61:O64" si="138">I61/SUM(I$61:I$64)*(B$61/B$65-1)</f>
        <v>7.245466462748526E-2</v>
      </c>
      <c r="O61" s="2675">
        <f t="shared" si="138"/>
        <v>2.3237230038062766E-2</v>
      </c>
      <c r="P61" s="2675">
        <f t="shared" ref="P61:Q64" si="139">K61/SUM(K$61:K$64)*(E$61/E$65-1)</f>
        <v>0.16146893866323722</v>
      </c>
      <c r="Q61" s="2675">
        <f t="shared" si="139"/>
        <v>5.0755230321793784E-2</v>
      </c>
      <c r="R61" s="2628"/>
      <c r="S61" s="2629"/>
      <c r="T61" s="2630"/>
      <c r="U61" s="2630"/>
      <c r="V61" s="2630"/>
      <c r="X61" s="2676"/>
      <c r="Y61" s="2676"/>
      <c r="Z61" s="2676"/>
    </row>
    <row r="62" spans="1:26">
      <c r="A62" s="2618" t="s">
        <v>2606</v>
      </c>
      <c r="B62" s="2631">
        <f t="shared" ref="B62:C64" si="140">B63+(B$61-B$65)*I62/SUM(I$61:I$64)</f>
        <v>149.00125628140702</v>
      </c>
      <c r="C62" s="2631">
        <f t="shared" si="140"/>
        <v>137.95592286501378</v>
      </c>
      <c r="D62" s="2631">
        <f t="shared" si="114"/>
        <v>137.95592286501378</v>
      </c>
      <c r="E62" s="2631">
        <f t="shared" ref="E62:F64" si="141">E63+(E$61-E$65)*K62/SUM(K$61:K$64)</f>
        <v>169.97231450719823</v>
      </c>
      <c r="F62" s="2631">
        <f t="shared" si="141"/>
        <v>116.21390374331551</v>
      </c>
      <c r="G62" s="3544">
        <v>2006</v>
      </c>
      <c r="H62" s="2642">
        <v>3</v>
      </c>
      <c r="I62" s="2642">
        <v>0.92</v>
      </c>
      <c r="J62" s="2642">
        <v>1.08</v>
      </c>
      <c r="K62" s="2642">
        <v>0.73</v>
      </c>
      <c r="L62" s="2643">
        <v>1.08</v>
      </c>
      <c r="N62" s="2674">
        <f t="shared" si="138"/>
        <v>1.7587939698492462E-2</v>
      </c>
      <c r="O62" s="2675">
        <f t="shared" si="138"/>
        <v>1.1355750425840628E-2</v>
      </c>
      <c r="P62" s="2675">
        <f t="shared" si="139"/>
        <v>2.0862358446754544E-2</v>
      </c>
      <c r="Q62" s="2675">
        <f t="shared" si="139"/>
        <v>1.0132282578103011E-2</v>
      </c>
      <c r="R62" s="2628"/>
      <c r="S62" s="2626"/>
      <c r="T62" s="2627"/>
      <c r="U62" s="2627"/>
      <c r="V62" s="2627"/>
      <c r="X62" s="2676"/>
      <c r="Y62" s="2676"/>
      <c r="Z62" s="2676"/>
    </row>
    <row r="63" spans="1:26">
      <c r="A63" s="2618" t="s">
        <v>2607</v>
      </c>
      <c r="B63" s="2631">
        <f t="shared" si="140"/>
        <v>146.57412060301507</v>
      </c>
      <c r="C63" s="2631">
        <f t="shared" si="140"/>
        <v>136.46831955922866</v>
      </c>
      <c r="D63" s="2631">
        <f t="shared" si="114"/>
        <v>136.46831955922866</v>
      </c>
      <c r="E63" s="2631">
        <f t="shared" si="141"/>
        <v>166.73864894795128</v>
      </c>
      <c r="F63" s="2631">
        <f t="shared" si="141"/>
        <v>115.05882352941177</v>
      </c>
      <c r="G63" s="3544">
        <v>2006</v>
      </c>
      <c r="H63" s="2622">
        <v>2</v>
      </c>
      <c r="I63" s="2622">
        <v>0.96</v>
      </c>
      <c r="J63" s="2622">
        <v>0.25</v>
      </c>
      <c r="K63" s="2622">
        <v>1.9</v>
      </c>
      <c r="L63" s="2633">
        <v>0.95</v>
      </c>
      <c r="N63" s="2674">
        <f t="shared" si="138"/>
        <v>1.8352632728861701E-2</v>
      </c>
      <c r="O63" s="2675">
        <f t="shared" si="138"/>
        <v>2.6286459319075526E-3</v>
      </c>
      <c r="P63" s="2675">
        <f t="shared" si="139"/>
        <v>5.4299289107991269E-2</v>
      </c>
      <c r="Q63" s="2675">
        <f t="shared" si="139"/>
        <v>8.9126559714794995E-3</v>
      </c>
      <c r="R63" s="2628"/>
      <c r="S63" s="2626"/>
      <c r="T63" s="2627"/>
      <c r="U63" s="2627"/>
      <c r="V63" s="2627"/>
      <c r="X63" s="2676"/>
      <c r="Y63" s="2676"/>
      <c r="Z63" s="2676"/>
    </row>
    <row r="64" spans="1:26">
      <c r="A64" s="2618" t="s">
        <v>2608</v>
      </c>
      <c r="B64" s="2631">
        <f t="shared" si="140"/>
        <v>144.04145728643215</v>
      </c>
      <c r="C64" s="2631">
        <f t="shared" si="140"/>
        <v>136.12396694214877</v>
      </c>
      <c r="D64" s="2631">
        <f t="shared" si="114"/>
        <v>136.12396694214877</v>
      </c>
      <c r="E64" s="2631">
        <f t="shared" si="141"/>
        <v>158.32225913621264</v>
      </c>
      <c r="F64" s="2631">
        <f t="shared" si="141"/>
        <v>114.04278074866311</v>
      </c>
      <c r="G64" s="3545">
        <v>2006</v>
      </c>
      <c r="H64" s="2621">
        <v>1</v>
      </c>
      <c r="I64" s="2621">
        <v>2.29</v>
      </c>
      <c r="J64" s="2621">
        <v>3.72</v>
      </c>
      <c r="K64" s="2621">
        <v>0.75</v>
      </c>
      <c r="L64" s="2632">
        <v>0.04</v>
      </c>
      <c r="N64" s="2677">
        <f t="shared" si="138"/>
        <v>4.3778675988638847E-2</v>
      </c>
      <c r="O64" s="2678">
        <f t="shared" si="138"/>
        <v>3.9114251466784385E-2</v>
      </c>
      <c r="P64" s="2678">
        <f t="shared" si="139"/>
        <v>2.1433929911049188E-2</v>
      </c>
      <c r="Q64" s="2678">
        <f t="shared" si="139"/>
        <v>3.7526972511492629E-4</v>
      </c>
      <c r="R64" s="2628"/>
      <c r="S64" s="2634">
        <f>B64/B65-1</f>
        <v>4.3778675988638716E-2</v>
      </c>
      <c r="T64" s="2635">
        <f>C64/C65-1</f>
        <v>3.91142514667846E-2</v>
      </c>
      <c r="U64" s="2635">
        <f>E64/E65-1</f>
        <v>2.143392991104931E-2</v>
      </c>
      <c r="V64" s="2635">
        <f>F64/F65-1</f>
        <v>3.7526972511492396E-4</v>
      </c>
      <c r="X64" s="2676"/>
      <c r="Y64" s="2676"/>
      <c r="Z64" s="2676"/>
    </row>
    <row r="65" spans="1:26" ht="13.5" thickBot="1">
      <c r="A65" s="2618" t="s">
        <v>2609</v>
      </c>
      <c r="B65" s="2645">
        <v>138</v>
      </c>
      <c r="C65" s="2645">
        <v>131</v>
      </c>
      <c r="D65" s="2645">
        <f t="shared" si="114"/>
        <v>131</v>
      </c>
      <c r="E65" s="2645">
        <v>155</v>
      </c>
      <c r="F65" s="2646">
        <v>114</v>
      </c>
      <c r="G65" s="3543">
        <v>2005</v>
      </c>
      <c r="H65" s="2637">
        <v>4</v>
      </c>
      <c r="I65" s="2637">
        <v>3.29</v>
      </c>
      <c r="J65" s="2637">
        <v>1.44</v>
      </c>
      <c r="K65" s="2637">
        <v>0.66</v>
      </c>
      <c r="L65" s="2638">
        <v>7.78</v>
      </c>
      <c r="N65" s="2674">
        <f t="shared" ref="N65:O68" si="142">I65/SUM(I$65:I$68)*(B$65/B$69-1)</f>
        <v>9.9404603216919935E-2</v>
      </c>
      <c r="O65" s="2675">
        <f t="shared" si="142"/>
        <v>4.7636550760861554E-2</v>
      </c>
      <c r="P65" s="2675">
        <f t="shared" ref="P65:Q68" si="143">K65/SUM(K$65:K$68)*(E$65/E$69-1)</f>
        <v>8.3756345177664976E-2</v>
      </c>
      <c r="Q65" s="2675">
        <f t="shared" si="143"/>
        <v>5.2148766661559584E-2</v>
      </c>
      <c r="R65" s="2628"/>
      <c r="S65" s="2629"/>
      <c r="T65" s="2630"/>
      <c r="U65" s="2630"/>
      <c r="V65" s="2630"/>
      <c r="X65" s="2676"/>
      <c r="Y65" s="2676"/>
      <c r="Z65" s="2676"/>
    </row>
    <row r="66" spans="1:26">
      <c r="A66" s="2618" t="s">
        <v>2610</v>
      </c>
      <c r="B66" s="2631">
        <f t="shared" ref="B66:C68" si="144">B67+(B$65-B$69)*I66/SUM(I$65:I$68)</f>
        <v>125.9720430107527</v>
      </c>
      <c r="C66" s="2631">
        <f t="shared" si="144"/>
        <v>125.1883408071749</v>
      </c>
      <c r="D66" s="2631">
        <f t="shared" si="114"/>
        <v>125.1883408071749</v>
      </c>
      <c r="E66" s="2631">
        <f t="shared" ref="E66:F68" si="145">E67+(E$65-E$69)*K66/SUM(K$65:K$68)</f>
        <v>144.61421319796952</v>
      </c>
      <c r="F66" s="2631">
        <f t="shared" si="145"/>
        <v>108.42008196721311</v>
      </c>
      <c r="G66" s="3544">
        <v>2005</v>
      </c>
      <c r="H66" s="2642">
        <v>3</v>
      </c>
      <c r="I66" s="2642">
        <v>0.46</v>
      </c>
      <c r="J66" s="2642">
        <v>0.32</v>
      </c>
      <c r="K66" s="2642">
        <v>0.42</v>
      </c>
      <c r="L66" s="2643">
        <v>0.64</v>
      </c>
      <c r="N66" s="2674">
        <f t="shared" si="142"/>
        <v>1.3898515951301874E-2</v>
      </c>
      <c r="O66" s="2675">
        <f t="shared" si="142"/>
        <v>1.0585900169080346E-2</v>
      </c>
      <c r="P66" s="2675">
        <f t="shared" si="143"/>
        <v>5.3299492385786795E-2</v>
      </c>
      <c r="Q66" s="2675">
        <f t="shared" si="143"/>
        <v>4.2898728359123568E-3</v>
      </c>
      <c r="R66" s="2628"/>
      <c r="S66" s="2626"/>
      <c r="T66" s="2627"/>
      <c r="U66" s="2627"/>
      <c r="V66" s="2627"/>
      <c r="X66" s="2676"/>
      <c r="Y66" s="2676"/>
      <c r="Z66" s="2676"/>
    </row>
    <row r="67" spans="1:26">
      <c r="A67" s="2618" t="s">
        <v>2611</v>
      </c>
      <c r="B67" s="2631">
        <f t="shared" si="144"/>
        <v>124.29032258064517</v>
      </c>
      <c r="C67" s="2631">
        <f t="shared" si="144"/>
        <v>123.8968609865471</v>
      </c>
      <c r="D67" s="2631">
        <f t="shared" si="114"/>
        <v>123.8968609865471</v>
      </c>
      <c r="E67" s="2631">
        <f t="shared" si="145"/>
        <v>138.00507614213197</v>
      </c>
      <c r="F67" s="2631">
        <f t="shared" si="145"/>
        <v>107.96106557377048</v>
      </c>
      <c r="G67" s="3544">
        <v>2005</v>
      </c>
      <c r="H67" s="2622">
        <v>2</v>
      </c>
      <c r="I67" s="2622">
        <v>0.47</v>
      </c>
      <c r="J67" s="2622">
        <v>0.1</v>
      </c>
      <c r="K67" s="2622">
        <v>0.52</v>
      </c>
      <c r="L67" s="2633">
        <v>0.79</v>
      </c>
      <c r="N67" s="2674">
        <f t="shared" si="142"/>
        <v>1.420065760241713E-2</v>
      </c>
      <c r="O67" s="2675">
        <f t="shared" si="142"/>
        <v>3.3080938028376083E-3</v>
      </c>
      <c r="P67" s="2675">
        <f t="shared" si="143"/>
        <v>6.598984771573603E-2</v>
      </c>
      <c r="Q67" s="2675">
        <f t="shared" si="143"/>
        <v>5.2953117818293153E-3</v>
      </c>
      <c r="R67" s="2628"/>
      <c r="S67" s="2626"/>
      <c r="T67" s="2627"/>
      <c r="U67" s="2627"/>
      <c r="V67" s="2627"/>
      <c r="X67" s="2676"/>
      <c r="Y67" s="2676"/>
      <c r="Z67" s="2676"/>
    </row>
    <row r="68" spans="1:26">
      <c r="A68" s="2618" t="s">
        <v>2612</v>
      </c>
      <c r="B68" s="2631">
        <f t="shared" si="144"/>
        <v>122.57204301075269</v>
      </c>
      <c r="C68" s="2631">
        <f t="shared" si="144"/>
        <v>123.4932735426009</v>
      </c>
      <c r="D68" s="2631">
        <f t="shared" si="114"/>
        <v>123.4932735426009</v>
      </c>
      <c r="E68" s="2631">
        <f t="shared" si="145"/>
        <v>129.82233502538071</v>
      </c>
      <c r="F68" s="2631">
        <f t="shared" si="145"/>
        <v>107.39446721311475</v>
      </c>
      <c r="G68" s="3545">
        <v>2005</v>
      </c>
      <c r="H68" s="2621">
        <v>1</v>
      </c>
      <c r="I68" s="2621">
        <v>0.43</v>
      </c>
      <c r="J68" s="2621">
        <v>0.37</v>
      </c>
      <c r="K68" s="2621">
        <v>0.37</v>
      </c>
      <c r="L68" s="2632">
        <v>0.55000000000000004</v>
      </c>
      <c r="N68" s="2677">
        <f t="shared" si="142"/>
        <v>1.2992090997956099E-2</v>
      </c>
      <c r="O68" s="2678">
        <f t="shared" si="142"/>
        <v>1.2239947070499151E-2</v>
      </c>
      <c r="P68" s="2678">
        <f t="shared" si="143"/>
        <v>4.6954314720812178E-2</v>
      </c>
      <c r="Q68" s="2678">
        <f t="shared" si="143"/>
        <v>3.6866094683621815E-3</v>
      </c>
      <c r="R68" s="2628"/>
      <c r="S68" s="2634">
        <f>B68/B69-1</f>
        <v>1.2992090997956174E-2</v>
      </c>
      <c r="T68" s="2635">
        <f>C68/C69-1</f>
        <v>1.2239947070499246E-2</v>
      </c>
      <c r="U68" s="2635">
        <f>E68/E69-1</f>
        <v>4.695431472081224E-2</v>
      </c>
      <c r="V68" s="2635">
        <f>F68/F69-1</f>
        <v>3.6866094683620787E-3</v>
      </c>
      <c r="X68" s="2676"/>
      <c r="Y68" s="2676"/>
      <c r="Z68" s="2676"/>
    </row>
    <row r="69" spans="1:26" ht="13.5" thickBot="1">
      <c r="A69" s="2618" t="s">
        <v>2613</v>
      </c>
      <c r="B69" s="2661">
        <v>121</v>
      </c>
      <c r="C69" s="2661">
        <v>122</v>
      </c>
      <c r="D69" s="2661">
        <f t="shared" si="114"/>
        <v>122</v>
      </c>
      <c r="E69" s="2661">
        <v>124</v>
      </c>
      <c r="F69" s="2662">
        <v>107</v>
      </c>
      <c r="G69" s="3543">
        <v>2004</v>
      </c>
      <c r="H69" s="2637">
        <v>4</v>
      </c>
      <c r="I69" s="2637">
        <v>0.33</v>
      </c>
      <c r="J69" s="2637">
        <v>0.5</v>
      </c>
      <c r="K69" s="2637">
        <v>0.5</v>
      </c>
      <c r="L69" s="2638">
        <v>0</v>
      </c>
      <c r="N69" s="2674">
        <f t="shared" ref="N69:O72" si="146">I69/SUM(I$69:I$72)*(B$69/B$73-1)</f>
        <v>1.3391770148526898E-2</v>
      </c>
      <c r="O69" s="2675">
        <f t="shared" si="146"/>
        <v>1.063264221158958E-2</v>
      </c>
      <c r="P69" s="2675">
        <f t="shared" ref="P69:Q72" si="147">K69/SUM(K$69:K$72)*(E$69/E$73-1)</f>
        <v>2.2244466688911134E-2</v>
      </c>
      <c r="Q69" s="2675">
        <f t="shared" si="147"/>
        <v>0</v>
      </c>
      <c r="R69" s="2628"/>
      <c r="S69" s="2629"/>
      <c r="T69" s="2630"/>
      <c r="U69" s="2630"/>
      <c r="V69" s="2630"/>
      <c r="X69" s="2676"/>
      <c r="Y69" s="2676"/>
      <c r="Z69" s="2676"/>
    </row>
    <row r="70" spans="1:26">
      <c r="A70" s="2618" t="s">
        <v>2614</v>
      </c>
      <c r="B70" s="2631">
        <f t="shared" ref="B70:C72" si="148">B71+(B$69-B$73)*I70/SUM(I$69:I$72)</f>
        <v>119.51351351351352</v>
      </c>
      <c r="C70" s="2631">
        <f t="shared" si="148"/>
        <v>120.7878787878788</v>
      </c>
      <c r="D70" s="2631">
        <f t="shared" si="114"/>
        <v>120.7878787878788</v>
      </c>
      <c r="E70" s="2631">
        <f t="shared" ref="E70:F72" si="149">E71+(E$69-E$73)*K70/SUM(K$69:K$72)</f>
        <v>121.5975975975976</v>
      </c>
      <c r="F70" s="2631">
        <f t="shared" si="149"/>
        <v>107</v>
      </c>
      <c r="G70" s="3544">
        <v>2004</v>
      </c>
      <c r="H70" s="2642">
        <v>3</v>
      </c>
      <c r="I70" s="2642">
        <v>0.56000000000000005</v>
      </c>
      <c r="J70" s="2642">
        <v>0.8</v>
      </c>
      <c r="K70" s="2642">
        <v>0.83</v>
      </c>
      <c r="L70" s="2643">
        <v>0.06</v>
      </c>
      <c r="N70" s="2674">
        <f t="shared" si="146"/>
        <v>2.2725428130833527E-2</v>
      </c>
      <c r="O70" s="2675">
        <f t="shared" si="146"/>
        <v>1.7012227538543329E-2</v>
      </c>
      <c r="P70" s="2675">
        <f t="shared" si="147"/>
        <v>3.6925814703592477E-2</v>
      </c>
      <c r="Q70" s="2675">
        <f t="shared" si="147"/>
        <v>2.8846153846153744E-2</v>
      </c>
      <c r="R70" s="2628"/>
      <c r="S70" s="2626"/>
      <c r="T70" s="2627"/>
      <c r="U70" s="2627"/>
      <c r="V70" s="2627"/>
      <c r="X70" s="2676"/>
      <c r="Y70" s="2676"/>
      <c r="Z70" s="2676"/>
    </row>
    <row r="71" spans="1:26">
      <c r="A71" s="2618" t="s">
        <v>2615</v>
      </c>
      <c r="B71" s="2631">
        <f t="shared" si="148"/>
        <v>116.99099099099099</v>
      </c>
      <c r="C71" s="2631">
        <f t="shared" si="148"/>
        <v>118.84848484848486</v>
      </c>
      <c r="D71" s="2631">
        <f t="shared" si="114"/>
        <v>118.84848484848486</v>
      </c>
      <c r="E71" s="2631">
        <f t="shared" si="149"/>
        <v>117.60960960960961</v>
      </c>
      <c r="F71" s="2631">
        <f t="shared" si="149"/>
        <v>104</v>
      </c>
      <c r="G71" s="3544">
        <v>2004</v>
      </c>
      <c r="H71" s="2622">
        <v>2</v>
      </c>
      <c r="I71" s="2622">
        <v>1</v>
      </c>
      <c r="J71" s="2622">
        <v>1.5</v>
      </c>
      <c r="K71" s="2622">
        <v>1.5</v>
      </c>
      <c r="L71" s="2633">
        <v>0</v>
      </c>
      <c r="N71" s="2674">
        <f t="shared" si="146"/>
        <v>4.0581121662202721E-2</v>
      </c>
      <c r="O71" s="2675">
        <f t="shared" si="146"/>
        <v>3.1897926634768738E-2</v>
      </c>
      <c r="P71" s="2675">
        <f t="shared" si="147"/>
        <v>6.6733400066733395E-2</v>
      </c>
      <c r="Q71" s="2675">
        <f t="shared" si="147"/>
        <v>0</v>
      </c>
      <c r="R71" s="2628"/>
      <c r="S71" s="2626"/>
      <c r="T71" s="2627"/>
      <c r="U71" s="2627"/>
      <c r="V71" s="2627"/>
      <c r="X71" s="2676"/>
      <c r="Y71" s="2676"/>
      <c r="Z71" s="2676"/>
    </row>
    <row r="72" spans="1:26" s="2667" customFormat="1" ht="13.5" thickBot="1">
      <c r="A72" s="2618" t="s">
        <v>2616</v>
      </c>
      <c r="B72" s="2664">
        <f t="shared" si="148"/>
        <v>112.48648648648648</v>
      </c>
      <c r="C72" s="2664">
        <f t="shared" si="148"/>
        <v>115.21212121212122</v>
      </c>
      <c r="D72" s="2664">
        <f t="shared" si="114"/>
        <v>115.21212121212122</v>
      </c>
      <c r="E72" s="2664">
        <f t="shared" si="149"/>
        <v>110.4024024024024</v>
      </c>
      <c r="F72" s="2664">
        <f t="shared" si="149"/>
        <v>104</v>
      </c>
      <c r="G72" s="3545">
        <v>2004</v>
      </c>
      <c r="H72" s="2665">
        <v>1</v>
      </c>
      <c r="I72" s="2665">
        <v>0.33</v>
      </c>
      <c r="J72" s="2665">
        <v>0.5</v>
      </c>
      <c r="K72" s="2665">
        <v>0.5</v>
      </c>
      <c r="L72" s="2666">
        <v>0</v>
      </c>
      <c r="N72" s="2679">
        <f t="shared" si="146"/>
        <v>1.3391770148526898E-2</v>
      </c>
      <c r="O72" s="2680">
        <f t="shared" si="146"/>
        <v>1.063264221158958E-2</v>
      </c>
      <c r="P72" s="2680">
        <f t="shared" si="147"/>
        <v>2.2244466688911134E-2</v>
      </c>
      <c r="Q72" s="2680">
        <f t="shared" si="147"/>
        <v>0</v>
      </c>
      <c r="R72" s="2670"/>
      <c r="S72" s="2668">
        <f>B72/B73-1</f>
        <v>1.3391770148526883E-2</v>
      </c>
      <c r="T72" s="2669">
        <f>C72/C73-1</f>
        <v>1.063264221158966E-2</v>
      </c>
      <c r="U72" s="2669">
        <f>E72/E73-1</f>
        <v>2.2244466688911224E-2</v>
      </c>
      <c r="V72" s="2669">
        <f>F72/F73-1</f>
        <v>0</v>
      </c>
      <c r="X72" s="2681"/>
      <c r="Y72" s="2681"/>
      <c r="Z72" s="2681"/>
    </row>
    <row r="73" spans="1:26" ht="13.5" thickBot="1">
      <c r="A73" s="2618" t="s">
        <v>2617</v>
      </c>
      <c r="B73" s="2682">
        <v>111</v>
      </c>
      <c r="C73" s="2682">
        <v>114</v>
      </c>
      <c r="D73" s="2682">
        <f t="shared" si="114"/>
        <v>114</v>
      </c>
      <c r="E73" s="2682">
        <v>108</v>
      </c>
      <c r="F73" s="2683">
        <v>104</v>
      </c>
      <c r="G73" s="3543">
        <v>2003</v>
      </c>
      <c r="H73" s="2672">
        <v>4</v>
      </c>
      <c r="I73" s="2684"/>
      <c r="J73" s="2684"/>
      <c r="K73" s="2684"/>
      <c r="L73" s="2684"/>
      <c r="N73" s="2685"/>
      <c r="O73" s="2684"/>
      <c r="P73" s="2684"/>
      <c r="Q73" s="2684"/>
      <c r="S73" s="2685"/>
      <c r="T73" s="2684"/>
      <c r="U73" s="2684"/>
      <c r="V73" s="2684"/>
      <c r="X73" s="2676"/>
      <c r="Y73" s="2676"/>
      <c r="Z73" s="2676"/>
    </row>
    <row r="74" spans="1:26">
      <c r="A74" s="2618" t="s">
        <v>2618</v>
      </c>
      <c r="B74" s="2686">
        <f t="shared" ref="B74:C76" si="150">B75+(B$73-B$77)/4</f>
        <v>109.75</v>
      </c>
      <c r="C74" s="2686">
        <f t="shared" si="150"/>
        <v>112.25</v>
      </c>
      <c r="D74" s="2686">
        <f t="shared" si="114"/>
        <v>112.25</v>
      </c>
      <c r="E74" s="2686">
        <f t="shared" ref="E74:F76" si="151">E75+(E$73-E$77)/4</f>
        <v>107.25</v>
      </c>
      <c r="F74" s="2686">
        <f t="shared" si="151"/>
        <v>103.5</v>
      </c>
      <c r="G74" s="3544">
        <v>2003</v>
      </c>
      <c r="H74" s="2642">
        <v>3</v>
      </c>
      <c r="I74" s="2684"/>
      <c r="J74" s="2684"/>
      <c r="K74" s="2684"/>
      <c r="L74" s="2684"/>
      <c r="X74" s="2676"/>
      <c r="Y74" s="2676"/>
      <c r="Z74" s="2676"/>
    </row>
    <row r="75" spans="1:26">
      <c r="A75" s="2618" t="s">
        <v>2619</v>
      </c>
      <c r="B75" s="2686">
        <f t="shared" si="150"/>
        <v>108.5</v>
      </c>
      <c r="C75" s="2686">
        <f t="shared" si="150"/>
        <v>110.5</v>
      </c>
      <c r="D75" s="2686">
        <f t="shared" si="114"/>
        <v>110.5</v>
      </c>
      <c r="E75" s="2686">
        <f t="shared" si="151"/>
        <v>106.5</v>
      </c>
      <c r="F75" s="2686">
        <f t="shared" si="151"/>
        <v>103</v>
      </c>
      <c r="G75" s="3544">
        <v>2003</v>
      </c>
      <c r="H75" s="2622">
        <v>2</v>
      </c>
      <c r="I75" s="2684"/>
      <c r="J75" s="2684"/>
      <c r="K75" s="2684"/>
      <c r="L75" s="2684"/>
      <c r="X75" s="2676"/>
      <c r="Y75" s="2676"/>
      <c r="Z75" s="2676"/>
    </row>
    <row r="76" spans="1:26" ht="13.5" thickBot="1">
      <c r="A76" s="2618" t="s">
        <v>2620</v>
      </c>
      <c r="B76" s="2686">
        <f t="shared" si="150"/>
        <v>107.25</v>
      </c>
      <c r="C76" s="2686">
        <f t="shared" si="150"/>
        <v>108.75</v>
      </c>
      <c r="D76" s="2686">
        <f t="shared" si="114"/>
        <v>108.75</v>
      </c>
      <c r="E76" s="2686">
        <f t="shared" si="151"/>
        <v>105.75</v>
      </c>
      <c r="F76" s="2686">
        <f t="shared" si="151"/>
        <v>102.5</v>
      </c>
      <c r="G76" s="3545">
        <v>2003</v>
      </c>
      <c r="H76" s="2687">
        <v>1</v>
      </c>
      <c r="I76" s="2684"/>
      <c r="J76" s="2684"/>
      <c r="K76" s="2684"/>
      <c r="L76" s="2684"/>
      <c r="S76" s="2626"/>
      <c r="T76" s="2627"/>
      <c r="U76" s="2627"/>
      <c r="X76" s="2676"/>
      <c r="Y76" s="2676"/>
      <c r="Z76" s="2676"/>
    </row>
    <row r="77" spans="1:26" ht="13.5" thickBot="1">
      <c r="A77" s="2618" t="s">
        <v>2621</v>
      </c>
      <c r="B77" s="2688">
        <v>106</v>
      </c>
      <c r="C77" s="2688">
        <v>107</v>
      </c>
      <c r="D77" s="2688">
        <f t="shared" si="114"/>
        <v>107</v>
      </c>
      <c r="E77" s="2688">
        <v>105</v>
      </c>
      <c r="F77" s="2689">
        <v>102</v>
      </c>
      <c r="G77" s="3543">
        <v>2002</v>
      </c>
      <c r="H77" s="2637">
        <v>4</v>
      </c>
      <c r="I77" s="2684"/>
      <c r="J77" s="2684"/>
      <c r="K77" s="2684"/>
      <c r="L77" s="2684"/>
      <c r="N77" s="2685"/>
      <c r="O77" s="2684"/>
      <c r="P77" s="2684"/>
      <c r="Q77" s="2684"/>
      <c r="S77" s="2685"/>
      <c r="T77" s="2684"/>
      <c r="U77" s="2684"/>
      <c r="V77" s="2684"/>
      <c r="X77" s="2676"/>
      <c r="Y77" s="2676"/>
      <c r="Z77" s="2676"/>
    </row>
    <row r="78" spans="1:26">
      <c r="A78" s="2618" t="s">
        <v>2622</v>
      </c>
      <c r="B78" s="2686">
        <f t="shared" ref="B78:C80" si="152">B79+(B$77-B$81)/4</f>
        <v>105</v>
      </c>
      <c r="C78" s="2686">
        <f t="shared" si="152"/>
        <v>106</v>
      </c>
      <c r="D78" s="2686">
        <f t="shared" si="114"/>
        <v>106</v>
      </c>
      <c r="E78" s="2686">
        <f t="shared" ref="E78:F80" si="153">E79+(E$77-E$81)/4</f>
        <v>104.5</v>
      </c>
      <c r="F78" s="2686">
        <f t="shared" si="153"/>
        <v>101.5</v>
      </c>
      <c r="G78" s="3544">
        <v>2002</v>
      </c>
      <c r="H78" s="2642">
        <v>3</v>
      </c>
      <c r="I78" s="2684"/>
      <c r="J78" s="2684"/>
      <c r="K78" s="2684"/>
      <c r="L78" s="2684"/>
      <c r="X78" s="2676"/>
      <c r="Y78" s="2676"/>
      <c r="Z78" s="2676"/>
    </row>
    <row r="79" spans="1:26">
      <c r="A79" s="2618" t="s">
        <v>2623</v>
      </c>
      <c r="B79" s="2686">
        <f t="shared" si="152"/>
        <v>104</v>
      </c>
      <c r="C79" s="2686">
        <f t="shared" si="152"/>
        <v>105</v>
      </c>
      <c r="D79" s="2686">
        <f t="shared" si="114"/>
        <v>105</v>
      </c>
      <c r="E79" s="2686">
        <f t="shared" si="153"/>
        <v>104</v>
      </c>
      <c r="F79" s="2686">
        <f t="shared" si="153"/>
        <v>101</v>
      </c>
      <c r="G79" s="3544">
        <v>2002</v>
      </c>
      <c r="H79" s="2622">
        <v>2</v>
      </c>
      <c r="I79" s="2684"/>
      <c r="J79" s="2684"/>
      <c r="K79" s="2684"/>
      <c r="L79" s="2684"/>
      <c r="X79" s="2676"/>
      <c r="Y79" s="2676"/>
      <c r="Z79" s="2676"/>
    </row>
    <row r="80" spans="1:26" s="2653" customFormat="1" ht="13.5" thickBot="1">
      <c r="A80" s="2649" t="s">
        <v>2624</v>
      </c>
      <c r="B80" s="2690">
        <f t="shared" si="152"/>
        <v>103</v>
      </c>
      <c r="C80" s="2690">
        <f t="shared" si="152"/>
        <v>104</v>
      </c>
      <c r="D80" s="2690">
        <f t="shared" si="114"/>
        <v>104</v>
      </c>
      <c r="E80" s="2690">
        <f t="shared" si="153"/>
        <v>103.5</v>
      </c>
      <c r="F80" s="2690">
        <f t="shared" si="153"/>
        <v>100.5</v>
      </c>
      <c r="G80" s="3545">
        <v>2002</v>
      </c>
      <c r="H80" s="2691">
        <v>1</v>
      </c>
      <c r="I80" s="2692"/>
      <c r="J80" s="2692"/>
      <c r="K80" s="2692"/>
      <c r="L80" s="2692"/>
      <c r="N80" s="2693"/>
      <c r="S80" s="2693"/>
      <c r="X80" s="2694"/>
      <c r="Y80" s="2694"/>
      <c r="Z80" s="2694"/>
    </row>
    <row r="81" spans="1:26" ht="13.5" thickBot="1">
      <c r="B81" s="2695">
        <v>102</v>
      </c>
      <c r="C81" s="2696">
        <v>103</v>
      </c>
      <c r="D81" s="2696">
        <f t="shared" si="114"/>
        <v>103</v>
      </c>
      <c r="E81" s="2696">
        <v>103</v>
      </c>
      <c r="F81" s="2697">
        <v>100</v>
      </c>
      <c r="I81" s="2684"/>
      <c r="J81" s="2684"/>
      <c r="K81" s="2684"/>
      <c r="L81" s="2684"/>
      <c r="N81" s="2685"/>
      <c r="O81" s="2684"/>
      <c r="P81" s="2684"/>
      <c r="Q81" s="2684"/>
      <c r="S81" s="2685"/>
      <c r="T81" s="2684"/>
      <c r="U81" s="2684"/>
      <c r="V81" s="2684"/>
      <c r="X81" s="2630"/>
      <c r="Y81" s="2630"/>
      <c r="Z81" s="2630"/>
    </row>
    <row r="83" spans="1:26" s="2699" customFormat="1">
      <c r="A83" s="2698" t="s">
        <v>2625</v>
      </c>
      <c r="G83" s="2700"/>
      <c r="N83" s="2700"/>
      <c r="S83" s="2700"/>
    </row>
    <row r="84" spans="1:26" s="2699" customFormat="1">
      <c r="A84" s="2699" t="s">
        <v>2626</v>
      </c>
      <c r="G84" s="2700"/>
      <c r="N84" s="2700"/>
      <c r="S84" s="2700"/>
    </row>
    <row r="85" spans="1:26" s="2699" customFormat="1">
      <c r="A85" s="2699" t="s">
        <v>2627</v>
      </c>
      <c r="G85" s="2700"/>
      <c r="I85" s="2701"/>
      <c r="J85" s="2701"/>
      <c r="K85" s="2701"/>
      <c r="L85" s="2701"/>
      <c r="N85" s="2702"/>
      <c r="O85" s="2701"/>
      <c r="P85" s="2701"/>
      <c r="Q85" s="2701"/>
      <c r="S85" s="2702"/>
      <c r="T85" s="2701"/>
      <c r="U85" s="2701"/>
      <c r="V85" s="2701"/>
    </row>
    <row r="86" spans="1:26" s="2699" customFormat="1">
      <c r="A86" s="2699" t="s">
        <v>2628</v>
      </c>
      <c r="G86" s="2700"/>
      <c r="N86" s="2700"/>
      <c r="S86" s="2700"/>
    </row>
    <row r="93" spans="1:26" ht="13.5" thickBot="1"/>
    <row r="94" spans="1:26">
      <c r="G94" s="2625"/>
      <c r="S94" s="2703" t="s">
        <v>2629</v>
      </c>
      <c r="T94" s="2704" t="s">
        <v>2630</v>
      </c>
      <c r="U94" s="2704" t="s">
        <v>2631</v>
      </c>
      <c r="V94" s="2704" t="s">
        <v>2632</v>
      </c>
    </row>
    <row r="95" spans="1:26">
      <c r="G95" s="2625"/>
      <c r="N95" s="2629"/>
      <c r="O95" s="2630"/>
      <c r="P95" s="2630"/>
      <c r="Q95" s="2630"/>
      <c r="S95" s="2705">
        <v>2006</v>
      </c>
      <c r="T95" s="2706">
        <v>15.1</v>
      </c>
      <c r="U95" s="2706">
        <v>7.43</v>
      </c>
      <c r="V95" s="2706">
        <v>26.26</v>
      </c>
    </row>
    <row r="96" spans="1:26">
      <c r="G96" s="2625"/>
      <c r="N96" s="2629"/>
      <c r="O96" s="2630"/>
      <c r="P96" s="2630"/>
      <c r="Q96" s="2630"/>
      <c r="S96" s="2708">
        <v>2005</v>
      </c>
      <c r="T96" s="2707">
        <v>13.9</v>
      </c>
      <c r="U96" s="2707">
        <v>7.49</v>
      </c>
      <c r="V96" s="2707">
        <v>24.92</v>
      </c>
    </row>
    <row r="97" spans="7:22">
      <c r="G97" s="2625"/>
      <c r="N97" s="2629"/>
      <c r="O97" s="2630"/>
      <c r="P97" s="2630"/>
      <c r="Q97" s="2630"/>
      <c r="S97" s="2705">
        <v>2004</v>
      </c>
      <c r="T97" s="2706">
        <v>9.48</v>
      </c>
      <c r="U97" s="2706">
        <v>7.2</v>
      </c>
      <c r="V97" s="2706">
        <v>14.68</v>
      </c>
    </row>
    <row r="98" spans="7:22">
      <c r="G98" s="2625"/>
      <c r="N98" s="2629"/>
      <c r="O98" s="2630"/>
      <c r="P98" s="2630"/>
      <c r="Q98" s="2630"/>
      <c r="S98" s="2708">
        <v>2003</v>
      </c>
      <c r="T98" s="2707">
        <v>4.5</v>
      </c>
      <c r="U98" s="2707">
        <v>6.12</v>
      </c>
      <c r="V98" s="2707">
        <v>2.34</v>
      </c>
    </row>
    <row r="99" spans="7:22" ht="13.5" thickBot="1">
      <c r="G99" s="2625"/>
      <c r="N99" s="2629"/>
      <c r="O99" s="2630"/>
      <c r="P99" s="2630"/>
      <c r="Q99" s="2630"/>
      <c r="S99" s="2709">
        <v>2002</v>
      </c>
      <c r="T99" s="2710">
        <v>3.59</v>
      </c>
      <c r="U99" s="2710">
        <v>4.54</v>
      </c>
      <c r="V99" s="2710">
        <v>2.5499999999999998</v>
      </c>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row>
    <row r="109" spans="7:22">
      <c r="G109" s="2625"/>
      <c r="N109" s="2629"/>
      <c r="O109" s="2630"/>
      <c r="P109" s="2630"/>
      <c r="Q109" s="2630"/>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row r="114" spans="7:19">
      <c r="G114" s="2625"/>
      <c r="N114" s="2629"/>
      <c r="O114" s="2630"/>
      <c r="P114" s="2630"/>
      <c r="Q114" s="2630"/>
      <c r="S114" s="2625"/>
    </row>
    <row r="115" spans="7:19">
      <c r="G115" s="2625"/>
      <c r="N115" s="2629"/>
      <c r="O115" s="2630"/>
      <c r="P115" s="2630"/>
      <c r="Q115" s="2630"/>
      <c r="S115" s="2625"/>
    </row>
  </sheetData>
  <sheetProtection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2034</v>
      </c>
      <c r="B1" s="3249"/>
      <c r="C1" s="3249"/>
      <c r="D1" s="3249"/>
      <c r="E1" s="3249"/>
      <c r="F1" s="3249"/>
      <c r="G1" s="3249"/>
      <c r="H1" s="3249"/>
      <c r="I1" s="3249"/>
      <c r="J1" s="3249"/>
      <c r="K1" s="3249"/>
      <c r="L1" s="3249"/>
      <c r="M1" s="3249"/>
      <c r="N1" s="3249"/>
      <c r="O1" s="3249"/>
      <c r="P1" s="3249"/>
      <c r="Q1" s="3249"/>
      <c r="R1" s="3249"/>
    </row>
    <row r="2" spans="1:18">
      <c r="A2" s="1791" t="s">
        <v>2036</v>
      </c>
      <c r="B2" s="1791"/>
      <c r="C2" s="1791"/>
      <c r="D2" s="1791"/>
      <c r="E2" s="1791"/>
      <c r="F2" s="1791"/>
      <c r="G2" s="1791"/>
      <c r="H2" s="1791"/>
      <c r="I2" s="1792"/>
      <c r="J2" s="1792"/>
      <c r="K2" s="1793" t="str">
        <f>"估价期日："&amp;TEXT(项目基本情况!D3,"yyyy年m月d日;;")</f>
        <v>估价期日：2020年10月30日</v>
      </c>
      <c r="L2" s="1791"/>
      <c r="M2" s="1791"/>
      <c r="N2" s="1791"/>
      <c r="O2" s="1791"/>
      <c r="P2" s="1791"/>
      <c r="Q2" s="1791"/>
      <c r="R2" s="1793" t="str">
        <f>"估价期日的国有建设用地使用权性质："&amp;项目基本情况!B16</f>
        <v>估价期日的国有建设用地使用权性质：划拨</v>
      </c>
    </row>
    <row r="3" spans="1:18" ht="23.25" customHeight="1">
      <c r="A3" s="3250" t="s">
        <v>2025</v>
      </c>
      <c r="B3" s="3250" t="s">
        <v>2725</v>
      </c>
      <c r="C3" s="3251" t="s">
        <v>2026</v>
      </c>
      <c r="D3" s="3250" t="s">
        <v>2729</v>
      </c>
      <c r="E3" s="3245" t="s">
        <v>2027</v>
      </c>
      <c r="F3" s="3245"/>
      <c r="G3" s="3245"/>
      <c r="H3" s="3245" t="s">
        <v>2028</v>
      </c>
      <c r="I3" s="3245"/>
      <c r="J3" s="3245"/>
      <c r="K3" s="3251" t="s">
        <v>2029</v>
      </c>
      <c r="L3" s="3251" t="s">
        <v>2030</v>
      </c>
      <c r="M3" s="3250" t="s">
        <v>2726</v>
      </c>
      <c r="N3" s="3252" t="str">
        <f>"（分摊）"&amp;项目基本情况!B16&amp;"国有建设用地使用权面积/㎡"</f>
        <v>（分摊）划拨国有建设用地使用权面积/㎡</v>
      </c>
      <c r="O3" s="3250" t="s">
        <v>2059</v>
      </c>
      <c r="P3" s="3251" t="s">
        <v>2039</v>
      </c>
      <c r="Q3" s="3251" t="s">
        <v>2060</v>
      </c>
      <c r="R3" s="3251" t="s">
        <v>2031</v>
      </c>
    </row>
    <row r="4" spans="1:18" ht="36.75" customHeight="1">
      <c r="A4" s="3250"/>
      <c r="B4" s="3250"/>
      <c r="C4" s="3251"/>
      <c r="D4" s="3250"/>
      <c r="E4" s="2612" t="s">
        <v>2038</v>
      </c>
      <c r="F4" s="2612" t="s">
        <v>2738</v>
      </c>
      <c r="G4" s="2612" t="s">
        <v>2032</v>
      </c>
      <c r="H4" s="2612" t="s">
        <v>2033</v>
      </c>
      <c r="I4" s="2612" t="s">
        <v>2739</v>
      </c>
      <c r="J4" s="2612" t="s">
        <v>2032</v>
      </c>
      <c r="K4" s="3251"/>
      <c r="L4" s="3251"/>
      <c r="M4" s="3250"/>
      <c r="N4" s="3252"/>
      <c r="O4" s="3250"/>
      <c r="P4" s="3251"/>
      <c r="Q4" s="3251"/>
      <c r="R4" s="3251"/>
    </row>
    <row r="5" spans="1:18" ht="135" customHeight="1">
      <c r="A5" s="1927" t="s">
        <v>2649</v>
      </c>
      <c r="B5" s="2819"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v>
      </c>
      <c r="N5" s="1794">
        <f>项目基本情况!C22</f>
        <v>96343.56</v>
      </c>
      <c r="O5" s="1794">
        <f>项目基本情况!C21</f>
        <v>96343.56</v>
      </c>
      <c r="P5" s="1794">
        <f ca="1">结果表!E42</f>
        <v>4429</v>
      </c>
      <c r="Q5" s="1794">
        <f ca="1">结果表!D42</f>
        <v>4429</v>
      </c>
      <c r="R5" s="1795">
        <f ca="1">结果表!C42</f>
        <v>42672</v>
      </c>
    </row>
    <row r="6" spans="1:18">
      <c r="A6" s="3246" t="str">
        <f>IF(项目基本情况!B9="市场价格","——","抵押价格")</f>
        <v>——</v>
      </c>
      <c r="B6" s="3247"/>
      <c r="C6" s="3247"/>
      <c r="D6" s="3247"/>
      <c r="E6" s="3247"/>
      <c r="F6" s="3247"/>
      <c r="G6" s="3247"/>
      <c r="H6" s="3247"/>
      <c r="I6" s="3247"/>
      <c r="J6" s="3247"/>
      <c r="K6" s="3247"/>
      <c r="L6" s="3247"/>
      <c r="M6" s="3247"/>
      <c r="N6" s="3247"/>
      <c r="O6" s="3247"/>
      <c r="P6" s="3247"/>
      <c r="Q6" s="3248"/>
      <c r="R6" s="1796" t="str">
        <f>结果表!O39</f>
        <v>——</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796" t="str">
        <f>结果表!O40</f>
        <v>——</v>
      </c>
    </row>
    <row r="8" spans="1:18">
      <c r="A8" s="3246" t="str">
        <f>IF(项目基本情况!B9="市场价格","——",项目基本情况!E9)</f>
        <v>——</v>
      </c>
      <c r="B8" s="3247"/>
      <c r="C8" s="3247"/>
      <c r="D8" s="3247"/>
      <c r="E8" s="3247"/>
      <c r="F8" s="3247"/>
      <c r="G8" s="3247"/>
      <c r="H8" s="3247"/>
      <c r="I8" s="3247"/>
      <c r="J8" s="3247"/>
      <c r="K8" s="3247"/>
      <c r="L8" s="3247"/>
      <c r="M8" s="3247"/>
      <c r="N8" s="3247"/>
      <c r="O8" s="3247"/>
      <c r="P8" s="3247"/>
      <c r="Q8" s="3248"/>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3" t="s">
        <v>2061</v>
      </c>
      <c r="B1" s="3253"/>
      <c r="C1" s="3253"/>
      <c r="D1" s="3253"/>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6" t="s">
        <v>2062</v>
      </c>
      <c r="B5" s="3256"/>
      <c r="C5" s="3256"/>
      <c r="D5" s="3256"/>
    </row>
    <row r="6" spans="1:4">
      <c r="A6" s="3253" t="s">
        <v>2040</v>
      </c>
      <c r="B6" s="3253"/>
      <c r="C6" s="3253"/>
      <c r="D6" s="3253"/>
    </row>
    <row r="7" spans="1:4" ht="33" customHeight="1">
      <c r="A7" s="3253" t="s">
        <v>2569</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6" t="s">
        <v>2064</v>
      </c>
      <c r="B12" s="3256"/>
      <c r="C12" s="3256"/>
      <c r="D12" s="3256"/>
    </row>
    <row r="13" spans="1:4">
      <c r="A13" s="3254" t="s">
        <v>2740</v>
      </c>
      <c r="B13" s="3254"/>
      <c r="C13" s="3254"/>
      <c r="D13" s="3254"/>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2696</v>
      </c>
      <c r="B17" s="3253"/>
      <c r="C17" s="3253"/>
      <c r="D17" s="3253"/>
    </row>
    <row r="18" spans="1:4">
      <c r="A18" s="3253" t="s">
        <v>2688</v>
      </c>
      <c r="B18" s="3253"/>
      <c r="C18" s="3253"/>
      <c r="D18" s="3253"/>
    </row>
    <row r="19" spans="1:4">
      <c r="A19" s="2820" t="s">
        <v>2689</v>
      </c>
      <c r="B19" s="2820" t="s">
        <v>2690</v>
      </c>
      <c r="C19" s="2820" t="s">
        <v>2691</v>
      </c>
      <c r="D19" s="2820" t="s">
        <v>2692</v>
      </c>
    </row>
    <row r="20" spans="1:4">
      <c r="A20" s="2820" t="str">
        <f>项目基本情况!B4</f>
        <v>土地估价师</v>
      </c>
      <c r="B20" s="2820">
        <f>项目基本情况!C4</f>
        <v>0</v>
      </c>
      <c r="C20" s="2822"/>
      <c r="D20" s="1784" t="s">
        <v>2697</v>
      </c>
    </row>
    <row r="21" spans="1:4">
      <c r="A21" s="2820" t="str">
        <f>项目基本情况!D4</f>
        <v>土地估价师</v>
      </c>
      <c r="B21" s="2820">
        <f>项目基本情况!E4</f>
        <v>0</v>
      </c>
      <c r="C21" s="2822"/>
      <c r="D21" s="1784" t="s">
        <v>2698</v>
      </c>
    </row>
    <row r="23" spans="1:4">
      <c r="A23" s="3253" t="s">
        <v>2693</v>
      </c>
      <c r="B23" s="3253"/>
      <c r="C23" s="3253"/>
      <c r="D23" s="3253"/>
    </row>
    <row r="24" spans="1:4">
      <c r="A24" s="2820" t="s">
        <v>2689</v>
      </c>
      <c r="B24" s="2820" t="s">
        <v>2694</v>
      </c>
      <c r="C24" s="2820" t="s">
        <v>2691</v>
      </c>
      <c r="D24" s="2820" t="s">
        <v>2692</v>
      </c>
    </row>
    <row r="25" spans="1:4">
      <c r="A25" s="2823" t="s">
        <v>2695</v>
      </c>
      <c r="B25" s="2820" t="s">
        <v>950</v>
      </c>
      <c r="C25" s="2822"/>
      <c r="D25" s="1784" t="s">
        <v>2698</v>
      </c>
    </row>
    <row r="29" spans="1:4">
      <c r="D29" s="2821" t="s">
        <v>2035</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5" t="s">
        <v>53</v>
      </c>
      <c r="B15" s="3266" t="s">
        <v>844</v>
      </c>
      <c r="C15" s="3262"/>
    </row>
    <row r="16" spans="1:7" ht="14.25">
      <c r="A16" s="3265"/>
      <c r="B16" s="3263" t="s">
        <v>54</v>
      </c>
      <c r="C16" s="1166" t="s">
        <v>53</v>
      </c>
    </row>
    <row r="17" spans="1:3" ht="14.25">
      <c r="A17" s="3265"/>
      <c r="B17" s="3263"/>
      <c r="C17" s="1166" t="s">
        <v>55</v>
      </c>
    </row>
    <row r="18" spans="1:3" ht="14.25">
      <c r="A18" s="3265"/>
      <c r="B18" s="3263"/>
      <c r="C18" s="1166" t="s">
        <v>56</v>
      </c>
    </row>
    <row r="19" spans="1:3" ht="14.25">
      <c r="A19" s="3265"/>
      <c r="B19" s="3261" t="s">
        <v>57</v>
      </c>
      <c r="C19" s="3262"/>
    </row>
    <row r="20" spans="1:3" ht="14.25">
      <c r="A20" s="1167" t="s">
        <v>58</v>
      </c>
      <c r="B20" s="1168"/>
      <c r="C20" s="1169"/>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0" t="s">
        <v>835</v>
      </c>
    </row>
    <row r="25" spans="1:3" ht="14.25">
      <c r="A25" s="3264"/>
      <c r="B25" s="3268"/>
      <c r="C25" s="1170" t="s">
        <v>836</v>
      </c>
    </row>
    <row r="26" spans="1:3" ht="14.25">
      <c r="A26" s="3264"/>
      <c r="B26" s="3268"/>
      <c r="C26" s="1170" t="s">
        <v>837</v>
      </c>
    </row>
    <row r="27" spans="1:3" ht="14.25">
      <c r="A27" s="3264"/>
      <c r="B27" s="3268"/>
      <c r="C27" s="1170" t="s">
        <v>838</v>
      </c>
    </row>
    <row r="28" spans="1:3" ht="14.25">
      <c r="A28" s="3264"/>
      <c r="B28" s="3268"/>
      <c r="C28" s="1170" t="s">
        <v>839</v>
      </c>
    </row>
    <row r="29" spans="1:3" ht="14.25">
      <c r="A29" s="3264"/>
      <c r="B29" s="3268"/>
      <c r="C29" s="1170" t="s">
        <v>840</v>
      </c>
    </row>
    <row r="30" spans="1:3" ht="14.25">
      <c r="A30" s="3264"/>
      <c r="B30" s="3268"/>
      <c r="C30" s="1170" t="s">
        <v>841</v>
      </c>
    </row>
    <row r="31" spans="1:3" ht="14.25">
      <c r="A31" s="3264"/>
      <c r="B31" s="3268"/>
      <c r="C31" s="1170" t="s">
        <v>842</v>
      </c>
    </row>
    <row r="32" spans="1:3" ht="14.25">
      <c r="A32" s="3264"/>
      <c r="B32" s="3268"/>
      <c r="C32" s="1170" t="s">
        <v>1644</v>
      </c>
    </row>
    <row r="33" spans="1:3" ht="14.25">
      <c r="A33" s="3264"/>
      <c r="B33" s="3258" t="s">
        <v>1650</v>
      </c>
      <c r="C33" s="1170" t="s">
        <v>1645</v>
      </c>
    </row>
    <row r="34" spans="1:3" ht="14.25">
      <c r="A34" s="3264"/>
      <c r="B34" s="3259"/>
      <c r="C34" s="1175" t="s">
        <v>1646</v>
      </c>
    </row>
    <row r="35" spans="1:3" ht="14.25">
      <c r="A35" s="3264"/>
      <c r="B35" s="3259"/>
      <c r="C35" s="1176" t="s">
        <v>1647</v>
      </c>
    </row>
    <row r="36" spans="1:3" ht="14.25">
      <c r="A36" s="3264"/>
      <c r="B36" s="3259"/>
      <c r="C36" s="1176" t="s">
        <v>1648</v>
      </c>
    </row>
    <row r="37" spans="1:3" ht="14.25">
      <c r="A37" s="3264"/>
      <c r="B37" s="326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12" customWidth="1"/>
    <col min="2" max="5" width="22.625" style="3112"/>
    <col min="6" max="6" width="25.625" style="3112" customWidth="1"/>
    <col min="7" max="16384" width="22.625" style="3112"/>
  </cols>
  <sheetData>
    <row r="2" spans="1:6" ht="20.25" customHeight="1">
      <c r="A2" s="3109" t="s">
        <v>1905</v>
      </c>
      <c r="B2" s="3110">
        <f ca="1">TODAY()</f>
        <v>44349</v>
      </c>
      <c r="C2" s="3111" t="s">
        <v>1906</v>
      </c>
      <c r="D2" s="3111"/>
    </row>
    <row r="3" spans="1:6" ht="20.25" customHeight="1">
      <c r="A3" s="3113" t="s">
        <v>1907</v>
      </c>
      <c r="B3" s="3114" t="s">
        <v>1908</v>
      </c>
      <c r="C3" s="3114" t="s">
        <v>1909</v>
      </c>
      <c r="D3" s="3115" t="s">
        <v>1910</v>
      </c>
      <c r="E3" s="3114" t="s">
        <v>1911</v>
      </c>
      <c r="F3" s="3114" t="s">
        <v>1909</v>
      </c>
    </row>
    <row r="4" spans="1:6" ht="20.25" customHeight="1">
      <c r="A4" s="3114" t="s">
        <v>1912</v>
      </c>
      <c r="B4" s="3114">
        <f ca="1">IF(C4&lt;B2,"已过期",1119970066)</f>
        <v>1119970066</v>
      </c>
      <c r="C4" s="3116">
        <v>44876</v>
      </c>
      <c r="D4" s="3114" t="s">
        <v>1912</v>
      </c>
      <c r="E4" s="3114">
        <f ca="1">IF(F4&lt;B2,"已过期",96010014)</f>
        <v>96010014</v>
      </c>
      <c r="F4" s="3117">
        <v>47118</v>
      </c>
    </row>
    <row r="5" spans="1:6" ht="20.25" customHeight="1">
      <c r="A5" s="3114"/>
      <c r="B5" s="3114"/>
      <c r="C5" s="3116"/>
      <c r="D5" s="3114"/>
      <c r="E5" s="3114"/>
      <c r="F5" s="3117"/>
    </row>
    <row r="6" spans="1:6" ht="20.25" customHeight="1">
      <c r="A6" s="3114" t="s">
        <v>1913</v>
      </c>
      <c r="B6" s="3114">
        <f ca="1">IF(C6&lt;B2,"已过期",1119970111)</f>
        <v>1119970111</v>
      </c>
      <c r="C6" s="3116">
        <v>44876</v>
      </c>
      <c r="D6" s="3114" t="s">
        <v>1913</v>
      </c>
      <c r="E6" s="3114">
        <f ca="1">IF(F6&lt;B2,"已过期",94010078)</f>
        <v>94010078</v>
      </c>
      <c r="F6" s="3117">
        <v>46387</v>
      </c>
    </row>
    <row r="7" spans="1:6" ht="20.25" customHeight="1">
      <c r="A7" s="3114" t="s">
        <v>1914</v>
      </c>
      <c r="B7" s="3114">
        <f ca="1">IF(C7&lt;B2,"已过期",1120050019)</f>
        <v>1120050019</v>
      </c>
      <c r="C7" s="3116">
        <v>44395</v>
      </c>
      <c r="D7" s="3114" t="s">
        <v>1914</v>
      </c>
      <c r="E7" s="3114">
        <f ca="1">IF(F7&lt;B2,"已过期",2002110030)</f>
        <v>2002110030</v>
      </c>
      <c r="F7" s="3117">
        <v>46387</v>
      </c>
    </row>
    <row r="8" spans="1:6" ht="20.25" customHeight="1">
      <c r="A8" s="3114" t="s">
        <v>1915</v>
      </c>
      <c r="B8" s="3114">
        <f ca="1">IF(C8&lt;B2,"已过期",1120000080)</f>
        <v>1120000080</v>
      </c>
      <c r="C8" s="3116">
        <v>44876</v>
      </c>
      <c r="D8" s="3114" t="s">
        <v>1915</v>
      </c>
      <c r="E8" s="3114">
        <f ca="1">IF(F8&lt;B2,"已过期",2000110082)</f>
        <v>2000110082</v>
      </c>
      <c r="F8" s="3117">
        <v>46387</v>
      </c>
    </row>
    <row r="9" spans="1:6" ht="20.25" customHeight="1">
      <c r="A9" s="3114" t="s">
        <v>1916</v>
      </c>
      <c r="B9" s="3114">
        <f ca="1">IF(C9&lt;B2,"已过期",1419970001)</f>
        <v>1419970001</v>
      </c>
      <c r="C9" s="3116">
        <v>44899</v>
      </c>
      <c r="D9" s="3114" t="s">
        <v>1916</v>
      </c>
      <c r="E9" s="3114">
        <f ca="1">IF(F9&lt;B2,"已过期",2002110125)</f>
        <v>2002110125</v>
      </c>
      <c r="F9" s="3117">
        <v>47118</v>
      </c>
    </row>
    <row r="10" spans="1:6" ht="20.25" customHeight="1">
      <c r="A10" s="3114" t="s">
        <v>1917</v>
      </c>
      <c r="B10" s="3114">
        <f ca="1">IF(C10&lt;B2,"已过期",1120060040)</f>
        <v>1120060040</v>
      </c>
      <c r="C10" s="3116">
        <v>44554</v>
      </c>
      <c r="D10" s="3114" t="s">
        <v>1917</v>
      </c>
      <c r="E10" s="3114">
        <f ca="1">IF(F10&lt;B2,"已过期",2004110096)</f>
        <v>2004110096</v>
      </c>
      <c r="F10" s="3117">
        <v>47118</v>
      </c>
    </row>
    <row r="11" spans="1:6" ht="20.25" customHeight="1">
      <c r="A11" s="3114" t="s">
        <v>1918</v>
      </c>
      <c r="B11" s="3114">
        <f ca="1">IF(C11&lt;B2,"已过期",1120100036)</f>
        <v>1120100036</v>
      </c>
      <c r="C11" s="3116">
        <v>44675</v>
      </c>
      <c r="D11" s="3114" t="s">
        <v>1918</v>
      </c>
      <c r="E11" s="3114">
        <f ca="1">IF(F11&lt;B2,"已过期",2010110070)</f>
        <v>2010110070</v>
      </c>
      <c r="F11" s="3117">
        <v>47907</v>
      </c>
    </row>
    <row r="12" spans="1:6" ht="20.25" customHeight="1">
      <c r="A12" s="3114"/>
      <c r="B12" s="3114"/>
      <c r="C12" s="3116"/>
      <c r="D12" s="3114"/>
      <c r="E12" s="3114"/>
      <c r="F12" s="3117"/>
    </row>
    <row r="13" spans="1:6" ht="20.25" customHeight="1">
      <c r="A13" s="3114" t="s">
        <v>1919</v>
      </c>
      <c r="B13" s="3114">
        <f ca="1">IF(C13&lt;B2,"已过期",1120070131)</f>
        <v>1120070131</v>
      </c>
      <c r="C13" s="3116">
        <v>44849</v>
      </c>
      <c r="D13" s="3114" t="s">
        <v>1919</v>
      </c>
      <c r="E13" s="3114">
        <f ca="1">IF(F13&lt;B2,"已过期",2014110011)</f>
        <v>2014110011</v>
      </c>
      <c r="F13" s="3117">
        <v>49302</v>
      </c>
    </row>
    <row r="14" spans="1:6" ht="20.25" customHeight="1">
      <c r="A14" s="3114" t="s">
        <v>2973</v>
      </c>
      <c r="B14" s="3114">
        <f ca="1">IF(C14&lt;B2,"已过期",1120040230)</f>
        <v>1120040230</v>
      </c>
      <c r="C14" s="3118">
        <v>44864</v>
      </c>
      <c r="D14" s="3119" t="s">
        <v>2974</v>
      </c>
      <c r="E14" s="3114">
        <f ca="1">IF(F14&lt;B2,"已过期",98030020)</f>
        <v>98030020</v>
      </c>
      <c r="F14" s="3117">
        <v>47118</v>
      </c>
    </row>
    <row r="15" spans="1:6" ht="20.25" customHeight="1">
      <c r="A15" s="3114"/>
      <c r="B15" s="3114"/>
      <c r="C15" s="3118"/>
      <c r="D15" s="3114"/>
      <c r="E15" s="3114"/>
      <c r="F15" s="3120"/>
    </row>
    <row r="16" spans="1:6" ht="20.25" customHeight="1">
      <c r="A16" s="3114"/>
      <c r="B16" s="3114"/>
      <c r="C16" s="3116"/>
      <c r="D16" s="3114"/>
      <c r="E16" s="3114"/>
      <c r="F16" s="3117"/>
    </row>
    <row r="17" spans="1:7" ht="20.25" customHeight="1">
      <c r="A17" s="3114"/>
      <c r="B17" s="3114"/>
      <c r="C17" s="3116"/>
      <c r="D17" s="3119"/>
      <c r="E17" s="3114"/>
      <c r="F17" s="3117"/>
    </row>
    <row r="18" spans="1:7" ht="20.25" customHeight="1">
      <c r="A18" s="3114" t="s">
        <v>2985</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1920</v>
      </c>
      <c r="E21" s="3114">
        <f ca="1">IF(F21&lt;B2,"已过期",2011110090)</f>
        <v>2011110090</v>
      </c>
      <c r="F21" s="3117">
        <v>48302</v>
      </c>
    </row>
    <row r="22" spans="1:7" ht="20.25" customHeight="1">
      <c r="A22" s="3114" t="s">
        <v>1921</v>
      </c>
      <c r="B22" s="3114" t="str">
        <f ca="1">IF(C22&lt;B2,"已过期",1120020033)</f>
        <v>已过期</v>
      </c>
      <c r="C22" s="3116">
        <v>44339</v>
      </c>
      <c r="D22" s="3114" t="s">
        <v>1921</v>
      </c>
      <c r="E22" s="3114">
        <f ca="1">IF(F22&lt;B2,"已过期",2000110137)</f>
        <v>2000110137</v>
      </c>
      <c r="F22" s="3117">
        <v>46387</v>
      </c>
    </row>
    <row r="23" spans="1:7" ht="20.25" customHeight="1">
      <c r="A23" s="3114" t="s">
        <v>2987</v>
      </c>
      <c r="B23" s="3114">
        <v>1119980106</v>
      </c>
      <c r="C23" s="3116">
        <v>44969</v>
      </c>
      <c r="D23" s="3114"/>
      <c r="E23" s="3114"/>
      <c r="F23" s="3114"/>
    </row>
    <row r="24" spans="1:7" s="3122" customFormat="1" ht="20.25" customHeight="1">
      <c r="A24" s="3113" t="s">
        <v>2049</v>
      </c>
      <c r="B24" s="3113" t="s">
        <v>2049</v>
      </c>
      <c r="C24" s="3116"/>
      <c r="D24" s="3121" t="s">
        <v>2049</v>
      </c>
      <c r="E24" s="3113" t="s">
        <v>2049</v>
      </c>
      <c r="F24" s="3120"/>
    </row>
    <row r="25" spans="1:7" ht="20.25" customHeight="1">
      <c r="A25" s="3269" t="s">
        <v>1922</v>
      </c>
      <c r="B25" s="3269"/>
      <c r="C25" s="3269"/>
      <c r="D25" s="3269"/>
      <c r="E25" s="3269"/>
      <c r="F25" s="3269"/>
      <c r="G25" s="3269"/>
    </row>
    <row r="26" spans="1:7" ht="20.25" customHeight="1">
      <c r="A26" s="3270" t="s">
        <v>1923</v>
      </c>
      <c r="B26" s="3270"/>
      <c r="C26" s="3270"/>
      <c r="D26" s="3270" t="s">
        <v>1924</v>
      </c>
      <c r="E26" s="3270"/>
      <c r="F26" s="3270"/>
    </row>
    <row r="27" spans="1:7" s="3109" customFormat="1" ht="20.25" customHeight="1">
      <c r="A27" s="3123" t="s">
        <v>1925</v>
      </c>
      <c r="B27" s="3124" t="s">
        <v>1926</v>
      </c>
      <c r="C27" s="3124" t="s">
        <v>1927</v>
      </c>
      <c r="D27" s="3114" t="s">
        <v>1925</v>
      </c>
      <c r="E27" s="3124" t="s">
        <v>1926</v>
      </c>
      <c r="F27" s="3124" t="s">
        <v>1927</v>
      </c>
    </row>
    <row r="28" spans="1:7" s="3109" customFormat="1" ht="20.25" customHeight="1">
      <c r="A28" s="3125" t="s">
        <v>1928</v>
      </c>
      <c r="B28" s="3125" t="s">
        <v>1929</v>
      </c>
      <c r="C28" s="3117">
        <v>44820</v>
      </c>
      <c r="D28" s="3125" t="s">
        <v>1930</v>
      </c>
      <c r="E28" s="3125" t="s">
        <v>1931</v>
      </c>
      <c r="F28" s="3126">
        <v>44377</v>
      </c>
    </row>
    <row r="29" spans="1:7" s="3109" customFormat="1" ht="20.25" customHeight="1">
      <c r="A29" s="3125"/>
      <c r="B29" s="3125"/>
      <c r="C29" s="3127"/>
      <c r="D29" s="3125" t="s">
        <v>1932</v>
      </c>
      <c r="E29" s="3125" t="s">
        <v>2986</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5" t="s">
        <v>2948</v>
      </c>
      <c r="C18" s="1539"/>
    </row>
    <row r="19" spans="1:3">
      <c r="A19" s="8" t="s">
        <v>120</v>
      </c>
      <c r="B19" s="3055"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1"/>
    </row>
    <row r="52" spans="1:5">
      <c r="A52" s="1749" t="s">
        <v>1982</v>
      </c>
      <c r="B52" s="1752" t="s">
        <v>1983</v>
      </c>
      <c r="C52" s="1750" t="s">
        <v>1984</v>
      </c>
      <c r="D52" s="1750" t="s">
        <v>1985</v>
      </c>
      <c r="E52" s="1751"/>
    </row>
    <row r="53" spans="1:5">
      <c r="A53" s="327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c r="D53" s="1751"/>
      <c r="E53" s="1751"/>
    </row>
    <row r="54" spans="1:5">
      <c r="A54" s="327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1"/>
      <c r="E54" s="1751"/>
    </row>
    <row r="55" spans="1:5">
      <c r="A55" s="327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1"/>
      <c r="E55" s="1751"/>
    </row>
    <row r="56" spans="1:5">
      <c r="A56" s="327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1"/>
      <c r="E56" s="1751"/>
    </row>
    <row r="57" spans="1:5">
      <c r="A57" s="327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收益还原法</vt:lpstr>
      <vt:lpstr>存贷款利率</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2021-06-02T02:03:21Z</dcterms:modified>
</cp:coreProperties>
</file>